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defaultThemeVersion="124226"/>
  <mc:AlternateContent xmlns:mc="http://schemas.openxmlformats.org/markup-compatibility/2006">
    <mc:Choice Requires="x15">
      <x15ac:absPath xmlns:x15ac="http://schemas.microsoft.com/office/spreadsheetml/2010/11/ac" url="C:\Users\fpass\OneDrive\Documents\PBDSB\WFH 7.11.2024\FEFP\"/>
    </mc:Choice>
  </mc:AlternateContent>
  <xr:revisionPtr revIDLastSave="0" documentId="13_ncr:1_{91172612-E049-4A77-A3E1-89B2452839E5}" xr6:coauthVersionLast="47" xr6:coauthVersionMax="47" xr10:uidLastSave="{00000000-0000-0000-0000-000000000000}"/>
  <bookViews>
    <workbookView xWindow="-120" yWindow="-120" windowWidth="20640" windowHeight="11160" activeTab="1" xr2:uid="{6B9F6E1B-F104-43C0-B03E-71F478F41A51}"/>
  </bookViews>
  <sheets>
    <sheet name="Net Payment" sheetId="64" r:id="rId1"/>
    <sheet name="Charter Schools" sheetId="65" r:id="rId2"/>
    <sheet name="Consolidated" sheetId="60" r:id="rId3"/>
    <sheet name="Cumulative Payments" sheetId="79" state="hidden" r:id="rId4"/>
    <sheet name="1461" sheetId="7" r:id="rId5"/>
    <sheet name="1571" sheetId="16" r:id="rId6"/>
    <sheet name="2521" sheetId="17" r:id="rId7"/>
    <sheet name="2531" sheetId="18" r:id="rId8"/>
    <sheet name="2791" sheetId="20" r:id="rId9"/>
    <sheet name="2801" sheetId="21" r:id="rId10"/>
    <sheet name="2911" sheetId="25" r:id="rId11"/>
    <sheet name="2941" sheetId="24" r:id="rId12"/>
    <sheet name="3083" sheetId="22" r:id="rId13"/>
    <sheet name="3345" sheetId="26" r:id="rId14"/>
    <sheet name="3381" sheetId="27" r:id="rId15"/>
    <sheet name="3382" sheetId="28" r:id="rId16"/>
    <sheet name="3391" sheetId="31" r:id="rId17"/>
    <sheet name="3394" sheetId="32" r:id="rId18"/>
    <sheet name="3395" sheetId="33" r:id="rId19"/>
    <sheet name="3396" sheetId="34" r:id="rId20"/>
    <sheet name="3398" sheetId="35" r:id="rId21"/>
    <sheet name="3400" sheetId="23" r:id="rId22"/>
    <sheet name="3401" sheetId="36" r:id="rId23"/>
    <sheet name="3413" sheetId="37" r:id="rId24"/>
    <sheet name="3421" sheetId="38" r:id="rId25"/>
    <sheet name="3431" sheetId="39" r:id="rId26"/>
    <sheet name="3441" sheetId="40" r:id="rId27"/>
    <sheet name="3924" sheetId="42" r:id="rId28"/>
    <sheet name="3941" sheetId="43" r:id="rId29"/>
    <sheet name="3961" sheetId="44" r:id="rId30"/>
    <sheet name="3971" sheetId="45" r:id="rId31"/>
    <sheet name="4001" sheetId="47" r:id="rId32"/>
    <sheet name="4002" sheetId="48" r:id="rId33"/>
    <sheet name="4012" sheetId="50" r:id="rId34"/>
    <sheet name="4013" sheetId="51" r:id="rId35"/>
    <sheet name="4020" sheetId="52" r:id="rId36"/>
    <sheet name="4030" sheetId="75" r:id="rId37"/>
    <sheet name="4031" sheetId="76" r:id="rId38"/>
    <sheet name="4041" sheetId="55" r:id="rId39"/>
    <sheet name="4050" sheetId="56" r:id="rId40"/>
    <sheet name="4051" sheetId="57" r:id="rId41"/>
    <sheet name="4061" sheetId="58" r:id="rId42"/>
    <sheet name="4080" sheetId="66" r:id="rId43"/>
    <sheet name="4081" sheetId="67" r:id="rId44"/>
    <sheet name="4090" sheetId="69" r:id="rId45"/>
    <sheet name="4091" sheetId="70" r:id="rId46"/>
    <sheet name="4100" sheetId="71" r:id="rId47"/>
    <sheet name="4102" sheetId="68" r:id="rId48"/>
    <sheet name="4103" sheetId="77" r:id="rId49"/>
    <sheet name="4111" sheetId="78" r:id="rId50"/>
    <sheet name="4131" sheetId="30" r:id="rId51"/>
    <sheet name="Virtual" sheetId="62" state="hidden" r:id="rId52"/>
  </sheets>
  <definedNames>
    <definedName name="_xlnm._FilterDatabase" localSheetId="0" hidden="1">'Net Payment'!$A$4:$G$441</definedName>
    <definedName name="CAP" localSheetId="4" hidden="1">{#N/A,#N/A,FALSE,"Summation";#N/A,#N/A,FALSE,"BSA";#N/A,#N/A,FALSE,"Detail1";#N/A,#N/A,FALSE,"Detail2";#N/A,#N/A,FALSE,"Detail3";#N/A,#N/A,FALSE,"WFTE_Summary";#N/A,#N/A,FALSE,"Funded_WFTE";#N/A,#N/A,FALSE,"PYADJ96"}</definedName>
    <definedName name="CAP" localSheetId="5" hidden="1">{#N/A,#N/A,FALSE,"Summation";#N/A,#N/A,FALSE,"BSA";#N/A,#N/A,FALSE,"Detail1";#N/A,#N/A,FALSE,"Detail2";#N/A,#N/A,FALSE,"Detail3";#N/A,#N/A,FALSE,"WFTE_Summary";#N/A,#N/A,FALSE,"Funded_WFTE";#N/A,#N/A,FALSE,"PYADJ96"}</definedName>
    <definedName name="CAP" localSheetId="6" hidden="1">{#N/A,#N/A,FALSE,"Summation";#N/A,#N/A,FALSE,"BSA";#N/A,#N/A,FALSE,"Detail1";#N/A,#N/A,FALSE,"Detail2";#N/A,#N/A,FALSE,"Detail3";#N/A,#N/A,FALSE,"WFTE_Summary";#N/A,#N/A,FALSE,"Funded_WFTE";#N/A,#N/A,FALSE,"PYADJ96"}</definedName>
    <definedName name="CAP" localSheetId="7" hidden="1">{#N/A,#N/A,FALSE,"Summation";#N/A,#N/A,FALSE,"BSA";#N/A,#N/A,FALSE,"Detail1";#N/A,#N/A,FALSE,"Detail2";#N/A,#N/A,FALSE,"Detail3";#N/A,#N/A,FALSE,"WFTE_Summary";#N/A,#N/A,FALSE,"Funded_WFTE";#N/A,#N/A,FALSE,"PYADJ96"}</definedName>
    <definedName name="CAP" localSheetId="8" hidden="1">{#N/A,#N/A,FALSE,"Summation";#N/A,#N/A,FALSE,"BSA";#N/A,#N/A,FALSE,"Detail1";#N/A,#N/A,FALSE,"Detail2";#N/A,#N/A,FALSE,"Detail3";#N/A,#N/A,FALSE,"WFTE_Summary";#N/A,#N/A,FALSE,"Funded_WFTE";#N/A,#N/A,FALSE,"PYADJ96"}</definedName>
    <definedName name="CAP" localSheetId="9" hidden="1">{#N/A,#N/A,FALSE,"Summation";#N/A,#N/A,FALSE,"BSA";#N/A,#N/A,FALSE,"Detail1";#N/A,#N/A,FALSE,"Detail2";#N/A,#N/A,FALSE,"Detail3";#N/A,#N/A,FALSE,"WFTE_Summary";#N/A,#N/A,FALSE,"Funded_WFTE";#N/A,#N/A,FALSE,"PYADJ96"}</definedName>
    <definedName name="CAP" localSheetId="10" hidden="1">{#N/A,#N/A,FALSE,"Summation";#N/A,#N/A,FALSE,"BSA";#N/A,#N/A,FALSE,"Detail1";#N/A,#N/A,FALSE,"Detail2";#N/A,#N/A,FALSE,"Detail3";#N/A,#N/A,FALSE,"WFTE_Summary";#N/A,#N/A,FALSE,"Funded_WFTE";#N/A,#N/A,FALSE,"PYADJ96"}</definedName>
    <definedName name="CAP" localSheetId="11" hidden="1">{#N/A,#N/A,FALSE,"Summation";#N/A,#N/A,FALSE,"BSA";#N/A,#N/A,FALSE,"Detail1";#N/A,#N/A,FALSE,"Detail2";#N/A,#N/A,FALSE,"Detail3";#N/A,#N/A,FALSE,"WFTE_Summary";#N/A,#N/A,FALSE,"Funded_WFTE";#N/A,#N/A,FALSE,"PYADJ96"}</definedName>
    <definedName name="CAP" localSheetId="12" hidden="1">{#N/A,#N/A,FALSE,"Summation";#N/A,#N/A,FALSE,"BSA";#N/A,#N/A,FALSE,"Detail1";#N/A,#N/A,FALSE,"Detail2";#N/A,#N/A,FALSE,"Detail3";#N/A,#N/A,FALSE,"WFTE_Summary";#N/A,#N/A,FALSE,"Funded_WFTE";#N/A,#N/A,FALSE,"PYADJ96"}</definedName>
    <definedName name="CAP" localSheetId="13" hidden="1">{#N/A,#N/A,FALSE,"Summation";#N/A,#N/A,FALSE,"BSA";#N/A,#N/A,FALSE,"Detail1";#N/A,#N/A,FALSE,"Detail2";#N/A,#N/A,FALSE,"Detail3";#N/A,#N/A,FALSE,"WFTE_Summary";#N/A,#N/A,FALSE,"Funded_WFTE";#N/A,#N/A,FALSE,"PYADJ96"}</definedName>
    <definedName name="CAP" localSheetId="14" hidden="1">{#N/A,#N/A,FALSE,"Summation";#N/A,#N/A,FALSE,"BSA";#N/A,#N/A,FALSE,"Detail1";#N/A,#N/A,FALSE,"Detail2";#N/A,#N/A,FALSE,"Detail3";#N/A,#N/A,FALSE,"WFTE_Summary";#N/A,#N/A,FALSE,"Funded_WFTE";#N/A,#N/A,FALSE,"PYADJ96"}</definedName>
    <definedName name="CAP" localSheetId="15" hidden="1">{#N/A,#N/A,FALSE,"Summation";#N/A,#N/A,FALSE,"BSA";#N/A,#N/A,FALSE,"Detail1";#N/A,#N/A,FALSE,"Detail2";#N/A,#N/A,FALSE,"Detail3";#N/A,#N/A,FALSE,"WFTE_Summary";#N/A,#N/A,FALSE,"Funded_WFTE";#N/A,#N/A,FALSE,"PYADJ96"}</definedName>
    <definedName name="CAP" localSheetId="16" hidden="1">{#N/A,#N/A,FALSE,"Summation";#N/A,#N/A,FALSE,"BSA";#N/A,#N/A,FALSE,"Detail1";#N/A,#N/A,FALSE,"Detail2";#N/A,#N/A,FALSE,"Detail3";#N/A,#N/A,FALSE,"WFTE_Summary";#N/A,#N/A,FALSE,"Funded_WFTE";#N/A,#N/A,FALSE,"PYADJ96"}</definedName>
    <definedName name="CAP" localSheetId="17" hidden="1">{#N/A,#N/A,FALSE,"Summation";#N/A,#N/A,FALSE,"BSA";#N/A,#N/A,FALSE,"Detail1";#N/A,#N/A,FALSE,"Detail2";#N/A,#N/A,FALSE,"Detail3";#N/A,#N/A,FALSE,"WFTE_Summary";#N/A,#N/A,FALSE,"Funded_WFTE";#N/A,#N/A,FALSE,"PYADJ96"}</definedName>
    <definedName name="CAP" localSheetId="18" hidden="1">{#N/A,#N/A,FALSE,"Summation";#N/A,#N/A,FALSE,"BSA";#N/A,#N/A,FALSE,"Detail1";#N/A,#N/A,FALSE,"Detail2";#N/A,#N/A,FALSE,"Detail3";#N/A,#N/A,FALSE,"WFTE_Summary";#N/A,#N/A,FALSE,"Funded_WFTE";#N/A,#N/A,FALSE,"PYADJ96"}</definedName>
    <definedName name="CAP" localSheetId="19" hidden="1">{#N/A,#N/A,FALSE,"Summation";#N/A,#N/A,FALSE,"BSA";#N/A,#N/A,FALSE,"Detail1";#N/A,#N/A,FALSE,"Detail2";#N/A,#N/A,FALSE,"Detail3";#N/A,#N/A,FALSE,"WFTE_Summary";#N/A,#N/A,FALSE,"Funded_WFTE";#N/A,#N/A,FALSE,"PYADJ96"}</definedName>
    <definedName name="CAP" localSheetId="20" hidden="1">{#N/A,#N/A,FALSE,"Summation";#N/A,#N/A,FALSE,"BSA";#N/A,#N/A,FALSE,"Detail1";#N/A,#N/A,FALSE,"Detail2";#N/A,#N/A,FALSE,"Detail3";#N/A,#N/A,FALSE,"WFTE_Summary";#N/A,#N/A,FALSE,"Funded_WFTE";#N/A,#N/A,FALSE,"PYADJ96"}</definedName>
    <definedName name="CAP" localSheetId="21" hidden="1">{#N/A,#N/A,FALSE,"Summation";#N/A,#N/A,FALSE,"BSA";#N/A,#N/A,FALSE,"Detail1";#N/A,#N/A,FALSE,"Detail2";#N/A,#N/A,FALSE,"Detail3";#N/A,#N/A,FALSE,"WFTE_Summary";#N/A,#N/A,FALSE,"Funded_WFTE";#N/A,#N/A,FALSE,"PYADJ96"}</definedName>
    <definedName name="CAP" localSheetId="22" hidden="1">{#N/A,#N/A,FALSE,"Summation";#N/A,#N/A,FALSE,"BSA";#N/A,#N/A,FALSE,"Detail1";#N/A,#N/A,FALSE,"Detail2";#N/A,#N/A,FALSE,"Detail3";#N/A,#N/A,FALSE,"WFTE_Summary";#N/A,#N/A,FALSE,"Funded_WFTE";#N/A,#N/A,FALSE,"PYADJ96"}</definedName>
    <definedName name="CAP" localSheetId="23" hidden="1">{#N/A,#N/A,FALSE,"Summation";#N/A,#N/A,FALSE,"BSA";#N/A,#N/A,FALSE,"Detail1";#N/A,#N/A,FALSE,"Detail2";#N/A,#N/A,FALSE,"Detail3";#N/A,#N/A,FALSE,"WFTE_Summary";#N/A,#N/A,FALSE,"Funded_WFTE";#N/A,#N/A,FALSE,"PYADJ96"}</definedName>
    <definedName name="CAP" localSheetId="24" hidden="1">{#N/A,#N/A,FALSE,"Summation";#N/A,#N/A,FALSE,"BSA";#N/A,#N/A,FALSE,"Detail1";#N/A,#N/A,FALSE,"Detail2";#N/A,#N/A,FALSE,"Detail3";#N/A,#N/A,FALSE,"WFTE_Summary";#N/A,#N/A,FALSE,"Funded_WFTE";#N/A,#N/A,FALSE,"PYADJ96"}</definedName>
    <definedName name="CAP" localSheetId="25" hidden="1">{#N/A,#N/A,FALSE,"Summation";#N/A,#N/A,FALSE,"BSA";#N/A,#N/A,FALSE,"Detail1";#N/A,#N/A,FALSE,"Detail2";#N/A,#N/A,FALSE,"Detail3";#N/A,#N/A,FALSE,"WFTE_Summary";#N/A,#N/A,FALSE,"Funded_WFTE";#N/A,#N/A,FALSE,"PYADJ96"}</definedName>
    <definedName name="CAP" localSheetId="26" hidden="1">{#N/A,#N/A,FALSE,"Summation";#N/A,#N/A,FALSE,"BSA";#N/A,#N/A,FALSE,"Detail1";#N/A,#N/A,FALSE,"Detail2";#N/A,#N/A,FALSE,"Detail3";#N/A,#N/A,FALSE,"WFTE_Summary";#N/A,#N/A,FALSE,"Funded_WFTE";#N/A,#N/A,FALSE,"PYADJ96"}</definedName>
    <definedName name="CAP" localSheetId="27" hidden="1">{#N/A,#N/A,FALSE,"Summation";#N/A,#N/A,FALSE,"BSA";#N/A,#N/A,FALSE,"Detail1";#N/A,#N/A,FALSE,"Detail2";#N/A,#N/A,FALSE,"Detail3";#N/A,#N/A,FALSE,"WFTE_Summary";#N/A,#N/A,FALSE,"Funded_WFTE";#N/A,#N/A,FALSE,"PYADJ96"}</definedName>
    <definedName name="CAP" localSheetId="28" hidden="1">{#N/A,#N/A,FALSE,"Summation";#N/A,#N/A,FALSE,"BSA";#N/A,#N/A,FALSE,"Detail1";#N/A,#N/A,FALSE,"Detail2";#N/A,#N/A,FALSE,"Detail3";#N/A,#N/A,FALSE,"WFTE_Summary";#N/A,#N/A,FALSE,"Funded_WFTE";#N/A,#N/A,FALSE,"PYADJ96"}</definedName>
    <definedName name="CAP" localSheetId="29" hidden="1">{#N/A,#N/A,FALSE,"Summation";#N/A,#N/A,FALSE,"BSA";#N/A,#N/A,FALSE,"Detail1";#N/A,#N/A,FALSE,"Detail2";#N/A,#N/A,FALSE,"Detail3";#N/A,#N/A,FALSE,"WFTE_Summary";#N/A,#N/A,FALSE,"Funded_WFTE";#N/A,#N/A,FALSE,"PYADJ96"}</definedName>
    <definedName name="CAP" localSheetId="30" hidden="1">{#N/A,#N/A,FALSE,"Summation";#N/A,#N/A,FALSE,"BSA";#N/A,#N/A,FALSE,"Detail1";#N/A,#N/A,FALSE,"Detail2";#N/A,#N/A,FALSE,"Detail3";#N/A,#N/A,FALSE,"WFTE_Summary";#N/A,#N/A,FALSE,"Funded_WFTE";#N/A,#N/A,FALSE,"PYADJ96"}</definedName>
    <definedName name="CAP" localSheetId="31" hidden="1">{#N/A,#N/A,FALSE,"Summation";#N/A,#N/A,FALSE,"BSA";#N/A,#N/A,FALSE,"Detail1";#N/A,#N/A,FALSE,"Detail2";#N/A,#N/A,FALSE,"Detail3";#N/A,#N/A,FALSE,"WFTE_Summary";#N/A,#N/A,FALSE,"Funded_WFTE";#N/A,#N/A,FALSE,"PYADJ96"}</definedName>
    <definedName name="CAP" localSheetId="32" hidden="1">{#N/A,#N/A,FALSE,"Summation";#N/A,#N/A,FALSE,"BSA";#N/A,#N/A,FALSE,"Detail1";#N/A,#N/A,FALSE,"Detail2";#N/A,#N/A,FALSE,"Detail3";#N/A,#N/A,FALSE,"WFTE_Summary";#N/A,#N/A,FALSE,"Funded_WFTE";#N/A,#N/A,FALSE,"PYADJ96"}</definedName>
    <definedName name="CAP" localSheetId="33" hidden="1">{#N/A,#N/A,FALSE,"Summation";#N/A,#N/A,FALSE,"BSA";#N/A,#N/A,FALSE,"Detail1";#N/A,#N/A,FALSE,"Detail2";#N/A,#N/A,FALSE,"Detail3";#N/A,#N/A,FALSE,"WFTE_Summary";#N/A,#N/A,FALSE,"Funded_WFTE";#N/A,#N/A,FALSE,"PYADJ96"}</definedName>
    <definedName name="CAP" localSheetId="34" hidden="1">{#N/A,#N/A,FALSE,"Summation";#N/A,#N/A,FALSE,"BSA";#N/A,#N/A,FALSE,"Detail1";#N/A,#N/A,FALSE,"Detail2";#N/A,#N/A,FALSE,"Detail3";#N/A,#N/A,FALSE,"WFTE_Summary";#N/A,#N/A,FALSE,"Funded_WFTE";#N/A,#N/A,FALSE,"PYADJ96"}</definedName>
    <definedName name="CAP" localSheetId="35" hidden="1">{#N/A,#N/A,FALSE,"Summation";#N/A,#N/A,FALSE,"BSA";#N/A,#N/A,FALSE,"Detail1";#N/A,#N/A,FALSE,"Detail2";#N/A,#N/A,FALSE,"Detail3";#N/A,#N/A,FALSE,"WFTE_Summary";#N/A,#N/A,FALSE,"Funded_WFTE";#N/A,#N/A,FALSE,"PYADJ96"}</definedName>
    <definedName name="CAP" localSheetId="36" hidden="1">{#N/A,#N/A,FALSE,"Summation";#N/A,#N/A,FALSE,"BSA";#N/A,#N/A,FALSE,"Detail1";#N/A,#N/A,FALSE,"Detail2";#N/A,#N/A,FALSE,"Detail3";#N/A,#N/A,FALSE,"WFTE_Summary";#N/A,#N/A,FALSE,"Funded_WFTE";#N/A,#N/A,FALSE,"PYADJ96"}</definedName>
    <definedName name="CAP" localSheetId="37" hidden="1">{#N/A,#N/A,FALSE,"Summation";#N/A,#N/A,FALSE,"BSA";#N/A,#N/A,FALSE,"Detail1";#N/A,#N/A,FALSE,"Detail2";#N/A,#N/A,FALSE,"Detail3";#N/A,#N/A,FALSE,"WFTE_Summary";#N/A,#N/A,FALSE,"Funded_WFTE";#N/A,#N/A,FALSE,"PYADJ96"}</definedName>
    <definedName name="CAP" localSheetId="38" hidden="1">{#N/A,#N/A,FALSE,"Summation";#N/A,#N/A,FALSE,"BSA";#N/A,#N/A,FALSE,"Detail1";#N/A,#N/A,FALSE,"Detail2";#N/A,#N/A,FALSE,"Detail3";#N/A,#N/A,FALSE,"WFTE_Summary";#N/A,#N/A,FALSE,"Funded_WFTE";#N/A,#N/A,FALSE,"PYADJ96"}</definedName>
    <definedName name="CAP" localSheetId="39" hidden="1">{#N/A,#N/A,FALSE,"Summation";#N/A,#N/A,FALSE,"BSA";#N/A,#N/A,FALSE,"Detail1";#N/A,#N/A,FALSE,"Detail2";#N/A,#N/A,FALSE,"Detail3";#N/A,#N/A,FALSE,"WFTE_Summary";#N/A,#N/A,FALSE,"Funded_WFTE";#N/A,#N/A,FALSE,"PYADJ96"}</definedName>
    <definedName name="CAP" localSheetId="40" hidden="1">{#N/A,#N/A,FALSE,"Summation";#N/A,#N/A,FALSE,"BSA";#N/A,#N/A,FALSE,"Detail1";#N/A,#N/A,FALSE,"Detail2";#N/A,#N/A,FALSE,"Detail3";#N/A,#N/A,FALSE,"WFTE_Summary";#N/A,#N/A,FALSE,"Funded_WFTE";#N/A,#N/A,FALSE,"PYADJ96"}</definedName>
    <definedName name="CAP" localSheetId="41" hidden="1">{#N/A,#N/A,FALSE,"Summation";#N/A,#N/A,FALSE,"BSA";#N/A,#N/A,FALSE,"Detail1";#N/A,#N/A,FALSE,"Detail2";#N/A,#N/A,FALSE,"Detail3";#N/A,#N/A,FALSE,"WFTE_Summary";#N/A,#N/A,FALSE,"Funded_WFTE";#N/A,#N/A,FALSE,"PYADJ96"}</definedName>
    <definedName name="CAP" localSheetId="42" hidden="1">{#N/A,#N/A,FALSE,"Summation";#N/A,#N/A,FALSE,"BSA";#N/A,#N/A,FALSE,"Detail1";#N/A,#N/A,FALSE,"Detail2";#N/A,#N/A,FALSE,"Detail3";#N/A,#N/A,FALSE,"WFTE_Summary";#N/A,#N/A,FALSE,"Funded_WFTE";#N/A,#N/A,FALSE,"PYADJ96"}</definedName>
    <definedName name="CAP" localSheetId="43" hidden="1">{#N/A,#N/A,FALSE,"Summation";#N/A,#N/A,FALSE,"BSA";#N/A,#N/A,FALSE,"Detail1";#N/A,#N/A,FALSE,"Detail2";#N/A,#N/A,FALSE,"Detail3";#N/A,#N/A,FALSE,"WFTE_Summary";#N/A,#N/A,FALSE,"Funded_WFTE";#N/A,#N/A,FALSE,"PYADJ96"}</definedName>
    <definedName name="CAP" localSheetId="44" hidden="1">{#N/A,#N/A,FALSE,"Summation";#N/A,#N/A,FALSE,"BSA";#N/A,#N/A,FALSE,"Detail1";#N/A,#N/A,FALSE,"Detail2";#N/A,#N/A,FALSE,"Detail3";#N/A,#N/A,FALSE,"WFTE_Summary";#N/A,#N/A,FALSE,"Funded_WFTE";#N/A,#N/A,FALSE,"PYADJ96"}</definedName>
    <definedName name="CAP" localSheetId="45" hidden="1">{#N/A,#N/A,FALSE,"Summation";#N/A,#N/A,FALSE,"BSA";#N/A,#N/A,FALSE,"Detail1";#N/A,#N/A,FALSE,"Detail2";#N/A,#N/A,FALSE,"Detail3";#N/A,#N/A,FALSE,"WFTE_Summary";#N/A,#N/A,FALSE,"Funded_WFTE";#N/A,#N/A,FALSE,"PYADJ96"}</definedName>
    <definedName name="CAP" localSheetId="46" hidden="1">{#N/A,#N/A,FALSE,"Summation";#N/A,#N/A,FALSE,"BSA";#N/A,#N/A,FALSE,"Detail1";#N/A,#N/A,FALSE,"Detail2";#N/A,#N/A,FALSE,"Detail3";#N/A,#N/A,FALSE,"WFTE_Summary";#N/A,#N/A,FALSE,"Funded_WFTE";#N/A,#N/A,FALSE,"PYADJ96"}</definedName>
    <definedName name="CAP" localSheetId="47" hidden="1">{#N/A,#N/A,FALSE,"Summation";#N/A,#N/A,FALSE,"BSA";#N/A,#N/A,FALSE,"Detail1";#N/A,#N/A,FALSE,"Detail2";#N/A,#N/A,FALSE,"Detail3";#N/A,#N/A,FALSE,"WFTE_Summary";#N/A,#N/A,FALSE,"Funded_WFTE";#N/A,#N/A,FALSE,"PYADJ96"}</definedName>
    <definedName name="CAP" localSheetId="48" hidden="1">{#N/A,#N/A,FALSE,"Summation";#N/A,#N/A,FALSE,"BSA";#N/A,#N/A,FALSE,"Detail1";#N/A,#N/A,FALSE,"Detail2";#N/A,#N/A,FALSE,"Detail3";#N/A,#N/A,FALSE,"WFTE_Summary";#N/A,#N/A,FALSE,"Funded_WFTE";#N/A,#N/A,FALSE,"PYADJ96"}</definedName>
    <definedName name="CAP" localSheetId="49" hidden="1">{#N/A,#N/A,FALSE,"Summation";#N/A,#N/A,FALSE,"BSA";#N/A,#N/A,FALSE,"Detail1";#N/A,#N/A,FALSE,"Detail2";#N/A,#N/A,FALSE,"Detail3";#N/A,#N/A,FALSE,"WFTE_Summary";#N/A,#N/A,FALSE,"Funded_WFTE";#N/A,#N/A,FALSE,"PYADJ96"}</definedName>
    <definedName name="CAP" localSheetId="50" hidden="1">{#N/A,#N/A,FALSE,"Summation";#N/A,#N/A,FALSE,"BSA";#N/A,#N/A,FALSE,"Detail1";#N/A,#N/A,FALSE,"Detail2";#N/A,#N/A,FALSE,"Detail3";#N/A,#N/A,FALSE,"WFTE_Summary";#N/A,#N/A,FALSE,"Funded_WFTE";#N/A,#N/A,FALSE,"PYADJ96"}</definedName>
    <definedName name="CAP" localSheetId="2" hidden="1">{#N/A,#N/A,FALSE,"Summation";#N/A,#N/A,FALSE,"BSA";#N/A,#N/A,FALSE,"Detail1";#N/A,#N/A,FALSE,"Detail2";#N/A,#N/A,FALSE,"Detail3";#N/A,#N/A,FALSE,"WFTE_Summary";#N/A,#N/A,FALSE,"Funded_WFTE";#N/A,#N/A,FALSE,"PYADJ96"}</definedName>
    <definedName name="CAP" hidden="1">{#N/A,#N/A,FALSE,"Summation";#N/A,#N/A,FALSE,"BSA";#N/A,#N/A,FALSE,"Detail1";#N/A,#N/A,FALSE,"Detail2";#N/A,#N/A,FALSE,"Detail3";#N/A,#N/A,FALSE,"WFTE_Summary";#N/A,#N/A,FALSE,"Funded_WFTE";#N/A,#N/A,FALSE,"PYADJ96"}</definedName>
    <definedName name="HTML_CodePage" hidden="1">1252</definedName>
    <definedName name="HTML_Control" hidden="1">{"'AssumptionsHTML'!$B$9:$E$357","'SummationHTML'!$A$4:$J$93","'Difference'!$A$11:$K$101","'DifferenceFTE'!$A$11:$K$101","'Detail1'!$A$11:$I$97","'Detail2'!$A$11:$J$97","'Detail3'!$A$11:$J$97","'Categorical1'!$A$11:$L$97"}</definedName>
    <definedName name="HTML_Description" hidden="1">""</definedName>
    <definedName name="HTML_Email" hidden="1">""</definedName>
    <definedName name="HTML_Header" hidden="1">""</definedName>
    <definedName name="HTML_LastUpdate" hidden="1">"9/4/97"</definedName>
    <definedName name="HTML_LineAfter" hidden="1">FALSE</definedName>
    <definedName name="HTML_LineBefore" hidden="1">FALSE</definedName>
    <definedName name="HTML_Name" hidden="1">"David Montford"</definedName>
    <definedName name="HTML_OBDlg2" hidden="1">TRUE</definedName>
    <definedName name="HTML_OBDlg4" hidden="1">TRUE</definedName>
    <definedName name="HTML_OS" hidden="1">0</definedName>
    <definedName name="HTML_PathFile" hidden="1">"H:\XLFILES\test.htm"</definedName>
    <definedName name="HTML_Title" hidden="1">""</definedName>
    <definedName name="PRACTICE" localSheetId="4" hidden="1">{#N/A,#N/A,FALSE,"Summation";#N/A,#N/A,FALSE,"BSA";#N/A,#N/A,FALSE,"Detail1";#N/A,#N/A,FALSE,"Detail2";#N/A,#N/A,FALSE,"Detail3";#N/A,#N/A,FALSE,"WFTE_Summary";#N/A,#N/A,FALSE,"Funded_WFTE";#N/A,#N/A,FALSE,"PYADJ96"}</definedName>
    <definedName name="PRACTICE" localSheetId="5" hidden="1">{#N/A,#N/A,FALSE,"Summation";#N/A,#N/A,FALSE,"BSA";#N/A,#N/A,FALSE,"Detail1";#N/A,#N/A,FALSE,"Detail2";#N/A,#N/A,FALSE,"Detail3";#N/A,#N/A,FALSE,"WFTE_Summary";#N/A,#N/A,FALSE,"Funded_WFTE";#N/A,#N/A,FALSE,"PYADJ96"}</definedName>
    <definedName name="PRACTICE" localSheetId="6" hidden="1">{#N/A,#N/A,FALSE,"Summation";#N/A,#N/A,FALSE,"BSA";#N/A,#N/A,FALSE,"Detail1";#N/A,#N/A,FALSE,"Detail2";#N/A,#N/A,FALSE,"Detail3";#N/A,#N/A,FALSE,"WFTE_Summary";#N/A,#N/A,FALSE,"Funded_WFTE";#N/A,#N/A,FALSE,"PYADJ96"}</definedName>
    <definedName name="PRACTICE" localSheetId="7" hidden="1">{#N/A,#N/A,FALSE,"Summation";#N/A,#N/A,FALSE,"BSA";#N/A,#N/A,FALSE,"Detail1";#N/A,#N/A,FALSE,"Detail2";#N/A,#N/A,FALSE,"Detail3";#N/A,#N/A,FALSE,"WFTE_Summary";#N/A,#N/A,FALSE,"Funded_WFTE";#N/A,#N/A,FALSE,"PYADJ96"}</definedName>
    <definedName name="PRACTICE" localSheetId="8" hidden="1">{#N/A,#N/A,FALSE,"Summation";#N/A,#N/A,FALSE,"BSA";#N/A,#N/A,FALSE,"Detail1";#N/A,#N/A,FALSE,"Detail2";#N/A,#N/A,FALSE,"Detail3";#N/A,#N/A,FALSE,"WFTE_Summary";#N/A,#N/A,FALSE,"Funded_WFTE";#N/A,#N/A,FALSE,"PYADJ96"}</definedName>
    <definedName name="PRACTICE" localSheetId="9" hidden="1">{#N/A,#N/A,FALSE,"Summation";#N/A,#N/A,FALSE,"BSA";#N/A,#N/A,FALSE,"Detail1";#N/A,#N/A,FALSE,"Detail2";#N/A,#N/A,FALSE,"Detail3";#N/A,#N/A,FALSE,"WFTE_Summary";#N/A,#N/A,FALSE,"Funded_WFTE";#N/A,#N/A,FALSE,"PYADJ96"}</definedName>
    <definedName name="PRACTICE" localSheetId="10" hidden="1">{#N/A,#N/A,FALSE,"Summation";#N/A,#N/A,FALSE,"BSA";#N/A,#N/A,FALSE,"Detail1";#N/A,#N/A,FALSE,"Detail2";#N/A,#N/A,FALSE,"Detail3";#N/A,#N/A,FALSE,"WFTE_Summary";#N/A,#N/A,FALSE,"Funded_WFTE";#N/A,#N/A,FALSE,"PYADJ96"}</definedName>
    <definedName name="PRACTICE" localSheetId="11" hidden="1">{#N/A,#N/A,FALSE,"Summation";#N/A,#N/A,FALSE,"BSA";#N/A,#N/A,FALSE,"Detail1";#N/A,#N/A,FALSE,"Detail2";#N/A,#N/A,FALSE,"Detail3";#N/A,#N/A,FALSE,"WFTE_Summary";#N/A,#N/A,FALSE,"Funded_WFTE";#N/A,#N/A,FALSE,"PYADJ96"}</definedName>
    <definedName name="PRACTICE" localSheetId="12" hidden="1">{#N/A,#N/A,FALSE,"Summation";#N/A,#N/A,FALSE,"BSA";#N/A,#N/A,FALSE,"Detail1";#N/A,#N/A,FALSE,"Detail2";#N/A,#N/A,FALSE,"Detail3";#N/A,#N/A,FALSE,"WFTE_Summary";#N/A,#N/A,FALSE,"Funded_WFTE";#N/A,#N/A,FALSE,"PYADJ96"}</definedName>
    <definedName name="PRACTICE" localSheetId="13" hidden="1">{#N/A,#N/A,FALSE,"Summation";#N/A,#N/A,FALSE,"BSA";#N/A,#N/A,FALSE,"Detail1";#N/A,#N/A,FALSE,"Detail2";#N/A,#N/A,FALSE,"Detail3";#N/A,#N/A,FALSE,"WFTE_Summary";#N/A,#N/A,FALSE,"Funded_WFTE";#N/A,#N/A,FALSE,"PYADJ96"}</definedName>
    <definedName name="PRACTICE" localSheetId="14" hidden="1">{#N/A,#N/A,FALSE,"Summation";#N/A,#N/A,FALSE,"BSA";#N/A,#N/A,FALSE,"Detail1";#N/A,#N/A,FALSE,"Detail2";#N/A,#N/A,FALSE,"Detail3";#N/A,#N/A,FALSE,"WFTE_Summary";#N/A,#N/A,FALSE,"Funded_WFTE";#N/A,#N/A,FALSE,"PYADJ96"}</definedName>
    <definedName name="PRACTICE" localSheetId="15" hidden="1">{#N/A,#N/A,FALSE,"Summation";#N/A,#N/A,FALSE,"BSA";#N/A,#N/A,FALSE,"Detail1";#N/A,#N/A,FALSE,"Detail2";#N/A,#N/A,FALSE,"Detail3";#N/A,#N/A,FALSE,"WFTE_Summary";#N/A,#N/A,FALSE,"Funded_WFTE";#N/A,#N/A,FALSE,"PYADJ96"}</definedName>
    <definedName name="PRACTICE" localSheetId="16" hidden="1">{#N/A,#N/A,FALSE,"Summation";#N/A,#N/A,FALSE,"BSA";#N/A,#N/A,FALSE,"Detail1";#N/A,#N/A,FALSE,"Detail2";#N/A,#N/A,FALSE,"Detail3";#N/A,#N/A,FALSE,"WFTE_Summary";#N/A,#N/A,FALSE,"Funded_WFTE";#N/A,#N/A,FALSE,"PYADJ96"}</definedName>
    <definedName name="PRACTICE" localSheetId="17" hidden="1">{#N/A,#N/A,FALSE,"Summation";#N/A,#N/A,FALSE,"BSA";#N/A,#N/A,FALSE,"Detail1";#N/A,#N/A,FALSE,"Detail2";#N/A,#N/A,FALSE,"Detail3";#N/A,#N/A,FALSE,"WFTE_Summary";#N/A,#N/A,FALSE,"Funded_WFTE";#N/A,#N/A,FALSE,"PYADJ96"}</definedName>
    <definedName name="PRACTICE" localSheetId="18" hidden="1">{#N/A,#N/A,FALSE,"Summation";#N/A,#N/A,FALSE,"BSA";#N/A,#N/A,FALSE,"Detail1";#N/A,#N/A,FALSE,"Detail2";#N/A,#N/A,FALSE,"Detail3";#N/A,#N/A,FALSE,"WFTE_Summary";#N/A,#N/A,FALSE,"Funded_WFTE";#N/A,#N/A,FALSE,"PYADJ96"}</definedName>
    <definedName name="PRACTICE" localSheetId="19" hidden="1">{#N/A,#N/A,FALSE,"Summation";#N/A,#N/A,FALSE,"BSA";#N/A,#N/A,FALSE,"Detail1";#N/A,#N/A,FALSE,"Detail2";#N/A,#N/A,FALSE,"Detail3";#N/A,#N/A,FALSE,"WFTE_Summary";#N/A,#N/A,FALSE,"Funded_WFTE";#N/A,#N/A,FALSE,"PYADJ96"}</definedName>
    <definedName name="PRACTICE" localSheetId="20" hidden="1">{#N/A,#N/A,FALSE,"Summation";#N/A,#N/A,FALSE,"BSA";#N/A,#N/A,FALSE,"Detail1";#N/A,#N/A,FALSE,"Detail2";#N/A,#N/A,FALSE,"Detail3";#N/A,#N/A,FALSE,"WFTE_Summary";#N/A,#N/A,FALSE,"Funded_WFTE";#N/A,#N/A,FALSE,"PYADJ96"}</definedName>
    <definedName name="PRACTICE" localSheetId="21" hidden="1">{#N/A,#N/A,FALSE,"Summation";#N/A,#N/A,FALSE,"BSA";#N/A,#N/A,FALSE,"Detail1";#N/A,#N/A,FALSE,"Detail2";#N/A,#N/A,FALSE,"Detail3";#N/A,#N/A,FALSE,"WFTE_Summary";#N/A,#N/A,FALSE,"Funded_WFTE";#N/A,#N/A,FALSE,"PYADJ96"}</definedName>
    <definedName name="PRACTICE" localSheetId="22" hidden="1">{#N/A,#N/A,FALSE,"Summation";#N/A,#N/A,FALSE,"BSA";#N/A,#N/A,FALSE,"Detail1";#N/A,#N/A,FALSE,"Detail2";#N/A,#N/A,FALSE,"Detail3";#N/A,#N/A,FALSE,"WFTE_Summary";#N/A,#N/A,FALSE,"Funded_WFTE";#N/A,#N/A,FALSE,"PYADJ96"}</definedName>
    <definedName name="PRACTICE" localSheetId="23" hidden="1">{#N/A,#N/A,FALSE,"Summation";#N/A,#N/A,FALSE,"BSA";#N/A,#N/A,FALSE,"Detail1";#N/A,#N/A,FALSE,"Detail2";#N/A,#N/A,FALSE,"Detail3";#N/A,#N/A,FALSE,"WFTE_Summary";#N/A,#N/A,FALSE,"Funded_WFTE";#N/A,#N/A,FALSE,"PYADJ96"}</definedName>
    <definedName name="PRACTICE" localSheetId="24" hidden="1">{#N/A,#N/A,FALSE,"Summation";#N/A,#N/A,FALSE,"BSA";#N/A,#N/A,FALSE,"Detail1";#N/A,#N/A,FALSE,"Detail2";#N/A,#N/A,FALSE,"Detail3";#N/A,#N/A,FALSE,"WFTE_Summary";#N/A,#N/A,FALSE,"Funded_WFTE";#N/A,#N/A,FALSE,"PYADJ96"}</definedName>
    <definedName name="PRACTICE" localSheetId="25" hidden="1">{#N/A,#N/A,FALSE,"Summation";#N/A,#N/A,FALSE,"BSA";#N/A,#N/A,FALSE,"Detail1";#N/A,#N/A,FALSE,"Detail2";#N/A,#N/A,FALSE,"Detail3";#N/A,#N/A,FALSE,"WFTE_Summary";#N/A,#N/A,FALSE,"Funded_WFTE";#N/A,#N/A,FALSE,"PYADJ96"}</definedName>
    <definedName name="PRACTICE" localSheetId="26" hidden="1">{#N/A,#N/A,FALSE,"Summation";#N/A,#N/A,FALSE,"BSA";#N/A,#N/A,FALSE,"Detail1";#N/A,#N/A,FALSE,"Detail2";#N/A,#N/A,FALSE,"Detail3";#N/A,#N/A,FALSE,"WFTE_Summary";#N/A,#N/A,FALSE,"Funded_WFTE";#N/A,#N/A,FALSE,"PYADJ96"}</definedName>
    <definedName name="PRACTICE" localSheetId="27" hidden="1">{#N/A,#N/A,FALSE,"Summation";#N/A,#N/A,FALSE,"BSA";#N/A,#N/A,FALSE,"Detail1";#N/A,#N/A,FALSE,"Detail2";#N/A,#N/A,FALSE,"Detail3";#N/A,#N/A,FALSE,"WFTE_Summary";#N/A,#N/A,FALSE,"Funded_WFTE";#N/A,#N/A,FALSE,"PYADJ96"}</definedName>
    <definedName name="PRACTICE" localSheetId="28" hidden="1">{#N/A,#N/A,FALSE,"Summation";#N/A,#N/A,FALSE,"BSA";#N/A,#N/A,FALSE,"Detail1";#N/A,#N/A,FALSE,"Detail2";#N/A,#N/A,FALSE,"Detail3";#N/A,#N/A,FALSE,"WFTE_Summary";#N/A,#N/A,FALSE,"Funded_WFTE";#N/A,#N/A,FALSE,"PYADJ96"}</definedName>
    <definedName name="PRACTICE" localSheetId="29" hidden="1">{#N/A,#N/A,FALSE,"Summation";#N/A,#N/A,FALSE,"BSA";#N/A,#N/A,FALSE,"Detail1";#N/A,#N/A,FALSE,"Detail2";#N/A,#N/A,FALSE,"Detail3";#N/A,#N/A,FALSE,"WFTE_Summary";#N/A,#N/A,FALSE,"Funded_WFTE";#N/A,#N/A,FALSE,"PYADJ96"}</definedName>
    <definedName name="PRACTICE" localSheetId="30" hidden="1">{#N/A,#N/A,FALSE,"Summation";#N/A,#N/A,FALSE,"BSA";#N/A,#N/A,FALSE,"Detail1";#N/A,#N/A,FALSE,"Detail2";#N/A,#N/A,FALSE,"Detail3";#N/A,#N/A,FALSE,"WFTE_Summary";#N/A,#N/A,FALSE,"Funded_WFTE";#N/A,#N/A,FALSE,"PYADJ96"}</definedName>
    <definedName name="PRACTICE" localSheetId="31" hidden="1">{#N/A,#N/A,FALSE,"Summation";#N/A,#N/A,FALSE,"BSA";#N/A,#N/A,FALSE,"Detail1";#N/A,#N/A,FALSE,"Detail2";#N/A,#N/A,FALSE,"Detail3";#N/A,#N/A,FALSE,"WFTE_Summary";#N/A,#N/A,FALSE,"Funded_WFTE";#N/A,#N/A,FALSE,"PYADJ96"}</definedName>
    <definedName name="PRACTICE" localSheetId="32" hidden="1">{#N/A,#N/A,FALSE,"Summation";#N/A,#N/A,FALSE,"BSA";#N/A,#N/A,FALSE,"Detail1";#N/A,#N/A,FALSE,"Detail2";#N/A,#N/A,FALSE,"Detail3";#N/A,#N/A,FALSE,"WFTE_Summary";#N/A,#N/A,FALSE,"Funded_WFTE";#N/A,#N/A,FALSE,"PYADJ96"}</definedName>
    <definedName name="PRACTICE" localSheetId="33" hidden="1">{#N/A,#N/A,FALSE,"Summation";#N/A,#N/A,FALSE,"BSA";#N/A,#N/A,FALSE,"Detail1";#N/A,#N/A,FALSE,"Detail2";#N/A,#N/A,FALSE,"Detail3";#N/A,#N/A,FALSE,"WFTE_Summary";#N/A,#N/A,FALSE,"Funded_WFTE";#N/A,#N/A,FALSE,"PYADJ96"}</definedName>
    <definedName name="PRACTICE" localSheetId="34" hidden="1">{#N/A,#N/A,FALSE,"Summation";#N/A,#N/A,FALSE,"BSA";#N/A,#N/A,FALSE,"Detail1";#N/A,#N/A,FALSE,"Detail2";#N/A,#N/A,FALSE,"Detail3";#N/A,#N/A,FALSE,"WFTE_Summary";#N/A,#N/A,FALSE,"Funded_WFTE";#N/A,#N/A,FALSE,"PYADJ96"}</definedName>
    <definedName name="PRACTICE" localSheetId="35" hidden="1">{#N/A,#N/A,FALSE,"Summation";#N/A,#N/A,FALSE,"BSA";#N/A,#N/A,FALSE,"Detail1";#N/A,#N/A,FALSE,"Detail2";#N/A,#N/A,FALSE,"Detail3";#N/A,#N/A,FALSE,"WFTE_Summary";#N/A,#N/A,FALSE,"Funded_WFTE";#N/A,#N/A,FALSE,"PYADJ96"}</definedName>
    <definedName name="PRACTICE" localSheetId="36" hidden="1">{#N/A,#N/A,FALSE,"Summation";#N/A,#N/A,FALSE,"BSA";#N/A,#N/A,FALSE,"Detail1";#N/A,#N/A,FALSE,"Detail2";#N/A,#N/A,FALSE,"Detail3";#N/A,#N/A,FALSE,"WFTE_Summary";#N/A,#N/A,FALSE,"Funded_WFTE";#N/A,#N/A,FALSE,"PYADJ96"}</definedName>
    <definedName name="PRACTICE" localSheetId="37" hidden="1">{#N/A,#N/A,FALSE,"Summation";#N/A,#N/A,FALSE,"BSA";#N/A,#N/A,FALSE,"Detail1";#N/A,#N/A,FALSE,"Detail2";#N/A,#N/A,FALSE,"Detail3";#N/A,#N/A,FALSE,"WFTE_Summary";#N/A,#N/A,FALSE,"Funded_WFTE";#N/A,#N/A,FALSE,"PYADJ96"}</definedName>
    <definedName name="PRACTICE" localSheetId="38" hidden="1">{#N/A,#N/A,FALSE,"Summation";#N/A,#N/A,FALSE,"BSA";#N/A,#N/A,FALSE,"Detail1";#N/A,#N/A,FALSE,"Detail2";#N/A,#N/A,FALSE,"Detail3";#N/A,#N/A,FALSE,"WFTE_Summary";#N/A,#N/A,FALSE,"Funded_WFTE";#N/A,#N/A,FALSE,"PYADJ96"}</definedName>
    <definedName name="PRACTICE" localSheetId="39" hidden="1">{#N/A,#N/A,FALSE,"Summation";#N/A,#N/A,FALSE,"BSA";#N/A,#N/A,FALSE,"Detail1";#N/A,#N/A,FALSE,"Detail2";#N/A,#N/A,FALSE,"Detail3";#N/A,#N/A,FALSE,"WFTE_Summary";#N/A,#N/A,FALSE,"Funded_WFTE";#N/A,#N/A,FALSE,"PYADJ96"}</definedName>
    <definedName name="PRACTICE" localSheetId="40" hidden="1">{#N/A,#N/A,FALSE,"Summation";#N/A,#N/A,FALSE,"BSA";#N/A,#N/A,FALSE,"Detail1";#N/A,#N/A,FALSE,"Detail2";#N/A,#N/A,FALSE,"Detail3";#N/A,#N/A,FALSE,"WFTE_Summary";#N/A,#N/A,FALSE,"Funded_WFTE";#N/A,#N/A,FALSE,"PYADJ96"}</definedName>
    <definedName name="PRACTICE" localSheetId="41" hidden="1">{#N/A,#N/A,FALSE,"Summation";#N/A,#N/A,FALSE,"BSA";#N/A,#N/A,FALSE,"Detail1";#N/A,#N/A,FALSE,"Detail2";#N/A,#N/A,FALSE,"Detail3";#N/A,#N/A,FALSE,"WFTE_Summary";#N/A,#N/A,FALSE,"Funded_WFTE";#N/A,#N/A,FALSE,"PYADJ96"}</definedName>
    <definedName name="PRACTICE" localSheetId="42" hidden="1">{#N/A,#N/A,FALSE,"Summation";#N/A,#N/A,FALSE,"BSA";#N/A,#N/A,FALSE,"Detail1";#N/A,#N/A,FALSE,"Detail2";#N/A,#N/A,FALSE,"Detail3";#N/A,#N/A,FALSE,"WFTE_Summary";#N/A,#N/A,FALSE,"Funded_WFTE";#N/A,#N/A,FALSE,"PYADJ96"}</definedName>
    <definedName name="PRACTICE" localSheetId="43" hidden="1">{#N/A,#N/A,FALSE,"Summation";#N/A,#N/A,FALSE,"BSA";#N/A,#N/A,FALSE,"Detail1";#N/A,#N/A,FALSE,"Detail2";#N/A,#N/A,FALSE,"Detail3";#N/A,#N/A,FALSE,"WFTE_Summary";#N/A,#N/A,FALSE,"Funded_WFTE";#N/A,#N/A,FALSE,"PYADJ96"}</definedName>
    <definedName name="PRACTICE" localSheetId="44" hidden="1">{#N/A,#N/A,FALSE,"Summation";#N/A,#N/A,FALSE,"BSA";#N/A,#N/A,FALSE,"Detail1";#N/A,#N/A,FALSE,"Detail2";#N/A,#N/A,FALSE,"Detail3";#N/A,#N/A,FALSE,"WFTE_Summary";#N/A,#N/A,FALSE,"Funded_WFTE";#N/A,#N/A,FALSE,"PYADJ96"}</definedName>
    <definedName name="PRACTICE" localSheetId="45" hidden="1">{#N/A,#N/A,FALSE,"Summation";#N/A,#N/A,FALSE,"BSA";#N/A,#N/A,FALSE,"Detail1";#N/A,#N/A,FALSE,"Detail2";#N/A,#N/A,FALSE,"Detail3";#N/A,#N/A,FALSE,"WFTE_Summary";#N/A,#N/A,FALSE,"Funded_WFTE";#N/A,#N/A,FALSE,"PYADJ96"}</definedName>
    <definedName name="PRACTICE" localSheetId="46" hidden="1">{#N/A,#N/A,FALSE,"Summation";#N/A,#N/A,FALSE,"BSA";#N/A,#N/A,FALSE,"Detail1";#N/A,#N/A,FALSE,"Detail2";#N/A,#N/A,FALSE,"Detail3";#N/A,#N/A,FALSE,"WFTE_Summary";#N/A,#N/A,FALSE,"Funded_WFTE";#N/A,#N/A,FALSE,"PYADJ96"}</definedName>
    <definedName name="PRACTICE" localSheetId="47" hidden="1">{#N/A,#N/A,FALSE,"Summation";#N/A,#N/A,FALSE,"BSA";#N/A,#N/A,FALSE,"Detail1";#N/A,#N/A,FALSE,"Detail2";#N/A,#N/A,FALSE,"Detail3";#N/A,#N/A,FALSE,"WFTE_Summary";#N/A,#N/A,FALSE,"Funded_WFTE";#N/A,#N/A,FALSE,"PYADJ96"}</definedName>
    <definedName name="PRACTICE" localSheetId="48" hidden="1">{#N/A,#N/A,FALSE,"Summation";#N/A,#N/A,FALSE,"BSA";#N/A,#N/A,FALSE,"Detail1";#N/A,#N/A,FALSE,"Detail2";#N/A,#N/A,FALSE,"Detail3";#N/A,#N/A,FALSE,"WFTE_Summary";#N/A,#N/A,FALSE,"Funded_WFTE";#N/A,#N/A,FALSE,"PYADJ96"}</definedName>
    <definedName name="PRACTICE" localSheetId="49" hidden="1">{#N/A,#N/A,FALSE,"Summation";#N/A,#N/A,FALSE,"BSA";#N/A,#N/A,FALSE,"Detail1";#N/A,#N/A,FALSE,"Detail2";#N/A,#N/A,FALSE,"Detail3";#N/A,#N/A,FALSE,"WFTE_Summary";#N/A,#N/A,FALSE,"Funded_WFTE";#N/A,#N/A,FALSE,"PYADJ96"}</definedName>
    <definedName name="PRACTICE" localSheetId="50" hidden="1">{#N/A,#N/A,FALSE,"Summation";#N/A,#N/A,FALSE,"BSA";#N/A,#N/A,FALSE,"Detail1";#N/A,#N/A,FALSE,"Detail2";#N/A,#N/A,FALSE,"Detail3";#N/A,#N/A,FALSE,"WFTE_Summary";#N/A,#N/A,FALSE,"Funded_WFTE";#N/A,#N/A,FALSE,"PYADJ96"}</definedName>
    <definedName name="PRACTICE" localSheetId="2" hidden="1">{#N/A,#N/A,FALSE,"Summation";#N/A,#N/A,FALSE,"BSA";#N/A,#N/A,FALSE,"Detail1";#N/A,#N/A,FALSE,"Detail2";#N/A,#N/A,FALSE,"Detail3";#N/A,#N/A,FALSE,"WFTE_Summary";#N/A,#N/A,FALSE,"Funded_WFTE";#N/A,#N/A,FALSE,"PYADJ96"}</definedName>
    <definedName name="PRACTICE" hidden="1">{#N/A,#N/A,FALSE,"Summation";#N/A,#N/A,FALSE,"BSA";#N/A,#N/A,FALSE,"Detail1";#N/A,#N/A,FALSE,"Detail2";#N/A,#N/A,FALSE,"Detail3";#N/A,#N/A,FALSE,"WFTE_Summary";#N/A,#N/A,FALSE,"Funded_WFTE";#N/A,#N/A,FALSE,"PYADJ96"}</definedName>
    <definedName name="PRACTOCE" localSheetId="4" hidden="1">{#N/A,#N/A,FALSE,"Summation";#N/A,#N/A,FALSE,"BSA";#N/A,#N/A,FALSE,"Detail1";#N/A,#N/A,FALSE,"Detail2";#N/A,#N/A,FALSE,"Detail3";#N/A,#N/A,FALSE,"WFTE_Summary";#N/A,#N/A,FALSE,"Funded_WFTE";#N/A,#N/A,FALSE,"PYADJ96"}</definedName>
    <definedName name="PRACTOCE" localSheetId="5" hidden="1">{#N/A,#N/A,FALSE,"Summation";#N/A,#N/A,FALSE,"BSA";#N/A,#N/A,FALSE,"Detail1";#N/A,#N/A,FALSE,"Detail2";#N/A,#N/A,FALSE,"Detail3";#N/A,#N/A,FALSE,"WFTE_Summary";#N/A,#N/A,FALSE,"Funded_WFTE";#N/A,#N/A,FALSE,"PYADJ96"}</definedName>
    <definedName name="PRACTOCE" localSheetId="6" hidden="1">{#N/A,#N/A,FALSE,"Summation";#N/A,#N/A,FALSE,"BSA";#N/A,#N/A,FALSE,"Detail1";#N/A,#N/A,FALSE,"Detail2";#N/A,#N/A,FALSE,"Detail3";#N/A,#N/A,FALSE,"WFTE_Summary";#N/A,#N/A,FALSE,"Funded_WFTE";#N/A,#N/A,FALSE,"PYADJ96"}</definedName>
    <definedName name="PRACTOCE" localSheetId="7" hidden="1">{#N/A,#N/A,FALSE,"Summation";#N/A,#N/A,FALSE,"BSA";#N/A,#N/A,FALSE,"Detail1";#N/A,#N/A,FALSE,"Detail2";#N/A,#N/A,FALSE,"Detail3";#N/A,#N/A,FALSE,"WFTE_Summary";#N/A,#N/A,FALSE,"Funded_WFTE";#N/A,#N/A,FALSE,"PYADJ96"}</definedName>
    <definedName name="PRACTOCE" localSheetId="8" hidden="1">{#N/A,#N/A,FALSE,"Summation";#N/A,#N/A,FALSE,"BSA";#N/A,#N/A,FALSE,"Detail1";#N/A,#N/A,FALSE,"Detail2";#N/A,#N/A,FALSE,"Detail3";#N/A,#N/A,FALSE,"WFTE_Summary";#N/A,#N/A,FALSE,"Funded_WFTE";#N/A,#N/A,FALSE,"PYADJ96"}</definedName>
    <definedName name="PRACTOCE" localSheetId="9" hidden="1">{#N/A,#N/A,FALSE,"Summation";#N/A,#N/A,FALSE,"BSA";#N/A,#N/A,FALSE,"Detail1";#N/A,#N/A,FALSE,"Detail2";#N/A,#N/A,FALSE,"Detail3";#N/A,#N/A,FALSE,"WFTE_Summary";#N/A,#N/A,FALSE,"Funded_WFTE";#N/A,#N/A,FALSE,"PYADJ96"}</definedName>
    <definedName name="PRACTOCE" localSheetId="10" hidden="1">{#N/A,#N/A,FALSE,"Summation";#N/A,#N/A,FALSE,"BSA";#N/A,#N/A,FALSE,"Detail1";#N/A,#N/A,FALSE,"Detail2";#N/A,#N/A,FALSE,"Detail3";#N/A,#N/A,FALSE,"WFTE_Summary";#N/A,#N/A,FALSE,"Funded_WFTE";#N/A,#N/A,FALSE,"PYADJ96"}</definedName>
    <definedName name="PRACTOCE" localSheetId="11" hidden="1">{#N/A,#N/A,FALSE,"Summation";#N/A,#N/A,FALSE,"BSA";#N/A,#N/A,FALSE,"Detail1";#N/A,#N/A,FALSE,"Detail2";#N/A,#N/A,FALSE,"Detail3";#N/A,#N/A,FALSE,"WFTE_Summary";#N/A,#N/A,FALSE,"Funded_WFTE";#N/A,#N/A,FALSE,"PYADJ96"}</definedName>
    <definedName name="PRACTOCE" localSheetId="12" hidden="1">{#N/A,#N/A,FALSE,"Summation";#N/A,#N/A,FALSE,"BSA";#N/A,#N/A,FALSE,"Detail1";#N/A,#N/A,FALSE,"Detail2";#N/A,#N/A,FALSE,"Detail3";#N/A,#N/A,FALSE,"WFTE_Summary";#N/A,#N/A,FALSE,"Funded_WFTE";#N/A,#N/A,FALSE,"PYADJ96"}</definedName>
    <definedName name="PRACTOCE" localSheetId="13" hidden="1">{#N/A,#N/A,FALSE,"Summation";#N/A,#N/A,FALSE,"BSA";#N/A,#N/A,FALSE,"Detail1";#N/A,#N/A,FALSE,"Detail2";#N/A,#N/A,FALSE,"Detail3";#N/A,#N/A,FALSE,"WFTE_Summary";#N/A,#N/A,FALSE,"Funded_WFTE";#N/A,#N/A,FALSE,"PYADJ96"}</definedName>
    <definedName name="PRACTOCE" localSheetId="14" hidden="1">{#N/A,#N/A,FALSE,"Summation";#N/A,#N/A,FALSE,"BSA";#N/A,#N/A,FALSE,"Detail1";#N/A,#N/A,FALSE,"Detail2";#N/A,#N/A,FALSE,"Detail3";#N/A,#N/A,FALSE,"WFTE_Summary";#N/A,#N/A,FALSE,"Funded_WFTE";#N/A,#N/A,FALSE,"PYADJ96"}</definedName>
    <definedName name="PRACTOCE" localSheetId="15" hidden="1">{#N/A,#N/A,FALSE,"Summation";#N/A,#N/A,FALSE,"BSA";#N/A,#N/A,FALSE,"Detail1";#N/A,#N/A,FALSE,"Detail2";#N/A,#N/A,FALSE,"Detail3";#N/A,#N/A,FALSE,"WFTE_Summary";#N/A,#N/A,FALSE,"Funded_WFTE";#N/A,#N/A,FALSE,"PYADJ96"}</definedName>
    <definedName name="PRACTOCE" localSheetId="16" hidden="1">{#N/A,#N/A,FALSE,"Summation";#N/A,#N/A,FALSE,"BSA";#N/A,#N/A,FALSE,"Detail1";#N/A,#N/A,FALSE,"Detail2";#N/A,#N/A,FALSE,"Detail3";#N/A,#N/A,FALSE,"WFTE_Summary";#N/A,#N/A,FALSE,"Funded_WFTE";#N/A,#N/A,FALSE,"PYADJ96"}</definedName>
    <definedName name="PRACTOCE" localSheetId="17" hidden="1">{#N/A,#N/A,FALSE,"Summation";#N/A,#N/A,FALSE,"BSA";#N/A,#N/A,FALSE,"Detail1";#N/A,#N/A,FALSE,"Detail2";#N/A,#N/A,FALSE,"Detail3";#N/A,#N/A,FALSE,"WFTE_Summary";#N/A,#N/A,FALSE,"Funded_WFTE";#N/A,#N/A,FALSE,"PYADJ96"}</definedName>
    <definedName name="PRACTOCE" localSheetId="18" hidden="1">{#N/A,#N/A,FALSE,"Summation";#N/A,#N/A,FALSE,"BSA";#N/A,#N/A,FALSE,"Detail1";#N/A,#N/A,FALSE,"Detail2";#N/A,#N/A,FALSE,"Detail3";#N/A,#N/A,FALSE,"WFTE_Summary";#N/A,#N/A,FALSE,"Funded_WFTE";#N/A,#N/A,FALSE,"PYADJ96"}</definedName>
    <definedName name="PRACTOCE" localSheetId="19" hidden="1">{#N/A,#N/A,FALSE,"Summation";#N/A,#N/A,FALSE,"BSA";#N/A,#N/A,FALSE,"Detail1";#N/A,#N/A,FALSE,"Detail2";#N/A,#N/A,FALSE,"Detail3";#N/A,#N/A,FALSE,"WFTE_Summary";#N/A,#N/A,FALSE,"Funded_WFTE";#N/A,#N/A,FALSE,"PYADJ96"}</definedName>
    <definedName name="PRACTOCE" localSheetId="20" hidden="1">{#N/A,#N/A,FALSE,"Summation";#N/A,#N/A,FALSE,"BSA";#N/A,#N/A,FALSE,"Detail1";#N/A,#N/A,FALSE,"Detail2";#N/A,#N/A,FALSE,"Detail3";#N/A,#N/A,FALSE,"WFTE_Summary";#N/A,#N/A,FALSE,"Funded_WFTE";#N/A,#N/A,FALSE,"PYADJ96"}</definedName>
    <definedName name="PRACTOCE" localSheetId="21" hidden="1">{#N/A,#N/A,FALSE,"Summation";#N/A,#N/A,FALSE,"BSA";#N/A,#N/A,FALSE,"Detail1";#N/A,#N/A,FALSE,"Detail2";#N/A,#N/A,FALSE,"Detail3";#N/A,#N/A,FALSE,"WFTE_Summary";#N/A,#N/A,FALSE,"Funded_WFTE";#N/A,#N/A,FALSE,"PYADJ96"}</definedName>
    <definedName name="PRACTOCE" localSheetId="22" hidden="1">{#N/A,#N/A,FALSE,"Summation";#N/A,#N/A,FALSE,"BSA";#N/A,#N/A,FALSE,"Detail1";#N/A,#N/A,FALSE,"Detail2";#N/A,#N/A,FALSE,"Detail3";#N/A,#N/A,FALSE,"WFTE_Summary";#N/A,#N/A,FALSE,"Funded_WFTE";#N/A,#N/A,FALSE,"PYADJ96"}</definedName>
    <definedName name="PRACTOCE" localSheetId="23" hidden="1">{#N/A,#N/A,FALSE,"Summation";#N/A,#N/A,FALSE,"BSA";#N/A,#N/A,FALSE,"Detail1";#N/A,#N/A,FALSE,"Detail2";#N/A,#N/A,FALSE,"Detail3";#N/A,#N/A,FALSE,"WFTE_Summary";#N/A,#N/A,FALSE,"Funded_WFTE";#N/A,#N/A,FALSE,"PYADJ96"}</definedName>
    <definedName name="PRACTOCE" localSheetId="24" hidden="1">{#N/A,#N/A,FALSE,"Summation";#N/A,#N/A,FALSE,"BSA";#N/A,#N/A,FALSE,"Detail1";#N/A,#N/A,FALSE,"Detail2";#N/A,#N/A,FALSE,"Detail3";#N/A,#N/A,FALSE,"WFTE_Summary";#N/A,#N/A,FALSE,"Funded_WFTE";#N/A,#N/A,FALSE,"PYADJ96"}</definedName>
    <definedName name="PRACTOCE" localSheetId="25" hidden="1">{#N/A,#N/A,FALSE,"Summation";#N/A,#N/A,FALSE,"BSA";#N/A,#N/A,FALSE,"Detail1";#N/A,#N/A,FALSE,"Detail2";#N/A,#N/A,FALSE,"Detail3";#N/A,#N/A,FALSE,"WFTE_Summary";#N/A,#N/A,FALSE,"Funded_WFTE";#N/A,#N/A,FALSE,"PYADJ96"}</definedName>
    <definedName name="PRACTOCE" localSheetId="26" hidden="1">{#N/A,#N/A,FALSE,"Summation";#N/A,#N/A,FALSE,"BSA";#N/A,#N/A,FALSE,"Detail1";#N/A,#N/A,FALSE,"Detail2";#N/A,#N/A,FALSE,"Detail3";#N/A,#N/A,FALSE,"WFTE_Summary";#N/A,#N/A,FALSE,"Funded_WFTE";#N/A,#N/A,FALSE,"PYADJ96"}</definedName>
    <definedName name="PRACTOCE" localSheetId="27" hidden="1">{#N/A,#N/A,FALSE,"Summation";#N/A,#N/A,FALSE,"BSA";#N/A,#N/A,FALSE,"Detail1";#N/A,#N/A,FALSE,"Detail2";#N/A,#N/A,FALSE,"Detail3";#N/A,#N/A,FALSE,"WFTE_Summary";#N/A,#N/A,FALSE,"Funded_WFTE";#N/A,#N/A,FALSE,"PYADJ96"}</definedName>
    <definedName name="PRACTOCE" localSheetId="28" hidden="1">{#N/A,#N/A,FALSE,"Summation";#N/A,#N/A,FALSE,"BSA";#N/A,#N/A,FALSE,"Detail1";#N/A,#N/A,FALSE,"Detail2";#N/A,#N/A,FALSE,"Detail3";#N/A,#N/A,FALSE,"WFTE_Summary";#N/A,#N/A,FALSE,"Funded_WFTE";#N/A,#N/A,FALSE,"PYADJ96"}</definedName>
    <definedName name="PRACTOCE" localSheetId="29" hidden="1">{#N/A,#N/A,FALSE,"Summation";#N/A,#N/A,FALSE,"BSA";#N/A,#N/A,FALSE,"Detail1";#N/A,#N/A,FALSE,"Detail2";#N/A,#N/A,FALSE,"Detail3";#N/A,#N/A,FALSE,"WFTE_Summary";#N/A,#N/A,FALSE,"Funded_WFTE";#N/A,#N/A,FALSE,"PYADJ96"}</definedName>
    <definedName name="PRACTOCE" localSheetId="30" hidden="1">{#N/A,#N/A,FALSE,"Summation";#N/A,#N/A,FALSE,"BSA";#N/A,#N/A,FALSE,"Detail1";#N/A,#N/A,FALSE,"Detail2";#N/A,#N/A,FALSE,"Detail3";#N/A,#N/A,FALSE,"WFTE_Summary";#N/A,#N/A,FALSE,"Funded_WFTE";#N/A,#N/A,FALSE,"PYADJ96"}</definedName>
    <definedName name="PRACTOCE" localSheetId="31" hidden="1">{#N/A,#N/A,FALSE,"Summation";#N/A,#N/A,FALSE,"BSA";#N/A,#N/A,FALSE,"Detail1";#N/A,#N/A,FALSE,"Detail2";#N/A,#N/A,FALSE,"Detail3";#N/A,#N/A,FALSE,"WFTE_Summary";#N/A,#N/A,FALSE,"Funded_WFTE";#N/A,#N/A,FALSE,"PYADJ96"}</definedName>
    <definedName name="PRACTOCE" localSheetId="32" hidden="1">{#N/A,#N/A,FALSE,"Summation";#N/A,#N/A,FALSE,"BSA";#N/A,#N/A,FALSE,"Detail1";#N/A,#N/A,FALSE,"Detail2";#N/A,#N/A,FALSE,"Detail3";#N/A,#N/A,FALSE,"WFTE_Summary";#N/A,#N/A,FALSE,"Funded_WFTE";#N/A,#N/A,FALSE,"PYADJ96"}</definedName>
    <definedName name="PRACTOCE" localSheetId="33" hidden="1">{#N/A,#N/A,FALSE,"Summation";#N/A,#N/A,FALSE,"BSA";#N/A,#N/A,FALSE,"Detail1";#N/A,#N/A,FALSE,"Detail2";#N/A,#N/A,FALSE,"Detail3";#N/A,#N/A,FALSE,"WFTE_Summary";#N/A,#N/A,FALSE,"Funded_WFTE";#N/A,#N/A,FALSE,"PYADJ96"}</definedName>
    <definedName name="PRACTOCE" localSheetId="34" hidden="1">{#N/A,#N/A,FALSE,"Summation";#N/A,#N/A,FALSE,"BSA";#N/A,#N/A,FALSE,"Detail1";#N/A,#N/A,FALSE,"Detail2";#N/A,#N/A,FALSE,"Detail3";#N/A,#N/A,FALSE,"WFTE_Summary";#N/A,#N/A,FALSE,"Funded_WFTE";#N/A,#N/A,FALSE,"PYADJ96"}</definedName>
    <definedName name="PRACTOCE" localSheetId="35" hidden="1">{#N/A,#N/A,FALSE,"Summation";#N/A,#N/A,FALSE,"BSA";#N/A,#N/A,FALSE,"Detail1";#N/A,#N/A,FALSE,"Detail2";#N/A,#N/A,FALSE,"Detail3";#N/A,#N/A,FALSE,"WFTE_Summary";#N/A,#N/A,FALSE,"Funded_WFTE";#N/A,#N/A,FALSE,"PYADJ96"}</definedName>
    <definedName name="PRACTOCE" localSheetId="36" hidden="1">{#N/A,#N/A,FALSE,"Summation";#N/A,#N/A,FALSE,"BSA";#N/A,#N/A,FALSE,"Detail1";#N/A,#N/A,FALSE,"Detail2";#N/A,#N/A,FALSE,"Detail3";#N/A,#N/A,FALSE,"WFTE_Summary";#N/A,#N/A,FALSE,"Funded_WFTE";#N/A,#N/A,FALSE,"PYADJ96"}</definedName>
    <definedName name="PRACTOCE" localSheetId="37" hidden="1">{#N/A,#N/A,FALSE,"Summation";#N/A,#N/A,FALSE,"BSA";#N/A,#N/A,FALSE,"Detail1";#N/A,#N/A,FALSE,"Detail2";#N/A,#N/A,FALSE,"Detail3";#N/A,#N/A,FALSE,"WFTE_Summary";#N/A,#N/A,FALSE,"Funded_WFTE";#N/A,#N/A,FALSE,"PYADJ96"}</definedName>
    <definedName name="PRACTOCE" localSheetId="38" hidden="1">{#N/A,#N/A,FALSE,"Summation";#N/A,#N/A,FALSE,"BSA";#N/A,#N/A,FALSE,"Detail1";#N/A,#N/A,FALSE,"Detail2";#N/A,#N/A,FALSE,"Detail3";#N/A,#N/A,FALSE,"WFTE_Summary";#N/A,#N/A,FALSE,"Funded_WFTE";#N/A,#N/A,FALSE,"PYADJ96"}</definedName>
    <definedName name="PRACTOCE" localSheetId="39" hidden="1">{#N/A,#N/A,FALSE,"Summation";#N/A,#N/A,FALSE,"BSA";#N/A,#N/A,FALSE,"Detail1";#N/A,#N/A,FALSE,"Detail2";#N/A,#N/A,FALSE,"Detail3";#N/A,#N/A,FALSE,"WFTE_Summary";#N/A,#N/A,FALSE,"Funded_WFTE";#N/A,#N/A,FALSE,"PYADJ96"}</definedName>
    <definedName name="PRACTOCE" localSheetId="40" hidden="1">{#N/A,#N/A,FALSE,"Summation";#N/A,#N/A,FALSE,"BSA";#N/A,#N/A,FALSE,"Detail1";#N/A,#N/A,FALSE,"Detail2";#N/A,#N/A,FALSE,"Detail3";#N/A,#N/A,FALSE,"WFTE_Summary";#N/A,#N/A,FALSE,"Funded_WFTE";#N/A,#N/A,FALSE,"PYADJ96"}</definedName>
    <definedName name="PRACTOCE" localSheetId="41" hidden="1">{#N/A,#N/A,FALSE,"Summation";#N/A,#N/A,FALSE,"BSA";#N/A,#N/A,FALSE,"Detail1";#N/A,#N/A,FALSE,"Detail2";#N/A,#N/A,FALSE,"Detail3";#N/A,#N/A,FALSE,"WFTE_Summary";#N/A,#N/A,FALSE,"Funded_WFTE";#N/A,#N/A,FALSE,"PYADJ96"}</definedName>
    <definedName name="PRACTOCE" localSheetId="42" hidden="1">{#N/A,#N/A,FALSE,"Summation";#N/A,#N/A,FALSE,"BSA";#N/A,#N/A,FALSE,"Detail1";#N/A,#N/A,FALSE,"Detail2";#N/A,#N/A,FALSE,"Detail3";#N/A,#N/A,FALSE,"WFTE_Summary";#N/A,#N/A,FALSE,"Funded_WFTE";#N/A,#N/A,FALSE,"PYADJ96"}</definedName>
    <definedName name="PRACTOCE" localSheetId="43" hidden="1">{#N/A,#N/A,FALSE,"Summation";#N/A,#N/A,FALSE,"BSA";#N/A,#N/A,FALSE,"Detail1";#N/A,#N/A,FALSE,"Detail2";#N/A,#N/A,FALSE,"Detail3";#N/A,#N/A,FALSE,"WFTE_Summary";#N/A,#N/A,FALSE,"Funded_WFTE";#N/A,#N/A,FALSE,"PYADJ96"}</definedName>
    <definedName name="PRACTOCE" localSheetId="44" hidden="1">{#N/A,#N/A,FALSE,"Summation";#N/A,#N/A,FALSE,"BSA";#N/A,#N/A,FALSE,"Detail1";#N/A,#N/A,FALSE,"Detail2";#N/A,#N/A,FALSE,"Detail3";#N/A,#N/A,FALSE,"WFTE_Summary";#N/A,#N/A,FALSE,"Funded_WFTE";#N/A,#N/A,FALSE,"PYADJ96"}</definedName>
    <definedName name="PRACTOCE" localSheetId="45" hidden="1">{#N/A,#N/A,FALSE,"Summation";#N/A,#N/A,FALSE,"BSA";#N/A,#N/A,FALSE,"Detail1";#N/A,#N/A,FALSE,"Detail2";#N/A,#N/A,FALSE,"Detail3";#N/A,#N/A,FALSE,"WFTE_Summary";#N/A,#N/A,FALSE,"Funded_WFTE";#N/A,#N/A,FALSE,"PYADJ96"}</definedName>
    <definedName name="PRACTOCE" localSheetId="46" hidden="1">{#N/A,#N/A,FALSE,"Summation";#N/A,#N/A,FALSE,"BSA";#N/A,#N/A,FALSE,"Detail1";#N/A,#N/A,FALSE,"Detail2";#N/A,#N/A,FALSE,"Detail3";#N/A,#N/A,FALSE,"WFTE_Summary";#N/A,#N/A,FALSE,"Funded_WFTE";#N/A,#N/A,FALSE,"PYADJ96"}</definedName>
    <definedName name="PRACTOCE" localSheetId="47" hidden="1">{#N/A,#N/A,FALSE,"Summation";#N/A,#N/A,FALSE,"BSA";#N/A,#N/A,FALSE,"Detail1";#N/A,#N/A,FALSE,"Detail2";#N/A,#N/A,FALSE,"Detail3";#N/A,#N/A,FALSE,"WFTE_Summary";#N/A,#N/A,FALSE,"Funded_WFTE";#N/A,#N/A,FALSE,"PYADJ96"}</definedName>
    <definedName name="PRACTOCE" localSheetId="48" hidden="1">{#N/A,#N/A,FALSE,"Summation";#N/A,#N/A,FALSE,"BSA";#N/A,#N/A,FALSE,"Detail1";#N/A,#N/A,FALSE,"Detail2";#N/A,#N/A,FALSE,"Detail3";#N/A,#N/A,FALSE,"WFTE_Summary";#N/A,#N/A,FALSE,"Funded_WFTE";#N/A,#N/A,FALSE,"PYADJ96"}</definedName>
    <definedName name="PRACTOCE" localSheetId="49" hidden="1">{#N/A,#N/A,FALSE,"Summation";#N/A,#N/A,FALSE,"BSA";#N/A,#N/A,FALSE,"Detail1";#N/A,#N/A,FALSE,"Detail2";#N/A,#N/A,FALSE,"Detail3";#N/A,#N/A,FALSE,"WFTE_Summary";#N/A,#N/A,FALSE,"Funded_WFTE";#N/A,#N/A,FALSE,"PYADJ96"}</definedName>
    <definedName name="PRACTOCE" localSheetId="50" hidden="1">{#N/A,#N/A,FALSE,"Summation";#N/A,#N/A,FALSE,"BSA";#N/A,#N/A,FALSE,"Detail1";#N/A,#N/A,FALSE,"Detail2";#N/A,#N/A,FALSE,"Detail3";#N/A,#N/A,FALSE,"WFTE_Summary";#N/A,#N/A,FALSE,"Funded_WFTE";#N/A,#N/A,FALSE,"PYADJ96"}</definedName>
    <definedName name="PRACTOCE" localSheetId="2" hidden="1">{#N/A,#N/A,FALSE,"Summation";#N/A,#N/A,FALSE,"BSA";#N/A,#N/A,FALSE,"Detail1";#N/A,#N/A,FALSE,"Detail2";#N/A,#N/A,FALSE,"Detail3";#N/A,#N/A,FALSE,"WFTE_Summary";#N/A,#N/A,FALSE,"Funded_WFTE";#N/A,#N/A,FALSE,"PYADJ96"}</definedName>
    <definedName name="PRACTOCE" hidden="1">{#N/A,#N/A,FALSE,"Summation";#N/A,#N/A,FALSE,"BSA";#N/A,#N/A,FALSE,"Detail1";#N/A,#N/A,FALSE,"Detail2";#N/A,#N/A,FALSE,"Detail3";#N/A,#N/A,FALSE,"WFTE_Summary";#N/A,#N/A,FALSE,"Funded_WFTE";#N/A,#N/A,FALSE,"PYADJ96"}</definedName>
    <definedName name="_xlnm.Print_Area" localSheetId="4">'1461'!$A$6:$I$145</definedName>
    <definedName name="_xlnm.Print_Area" localSheetId="2">Consolidated!$A$2:$I$144</definedName>
    <definedName name="_xlnm.Print_Area" localSheetId="0">'Net Payment'!$A$5:$G$514</definedName>
    <definedName name="_xlnm.Print_Area" localSheetId="51">Virtual!$B$2:$G$38</definedName>
    <definedName name="_xlnm.Print_Titles" localSheetId="4">'1461'!$2:$5</definedName>
    <definedName name="_xlnm.Print_Titles" localSheetId="0">'Net Payment'!$1:$4</definedName>
    <definedName name="wrn.Base._.Data._.Comparison." localSheetId="4" hidden="1">{#N/A,#N/A,FALSE,"Summation";#N/A,#N/A,FALSE,"BSA";#N/A,#N/A,FALSE,"Detail1";#N/A,#N/A,FALSE,"Detail2";#N/A,#N/A,FALSE,"Detail3";#N/A,#N/A,FALSE,"WFTE_Summary";#N/A,#N/A,FALSE,"Funded_WFTE";#N/A,#N/A,FALSE,"PYADJ96"}</definedName>
    <definedName name="wrn.Base._.Data._.Comparison." localSheetId="5" hidden="1">{#N/A,#N/A,FALSE,"Summation";#N/A,#N/A,FALSE,"BSA";#N/A,#N/A,FALSE,"Detail1";#N/A,#N/A,FALSE,"Detail2";#N/A,#N/A,FALSE,"Detail3";#N/A,#N/A,FALSE,"WFTE_Summary";#N/A,#N/A,FALSE,"Funded_WFTE";#N/A,#N/A,FALSE,"PYADJ96"}</definedName>
    <definedName name="wrn.Base._.Data._.Comparison." localSheetId="6" hidden="1">{#N/A,#N/A,FALSE,"Summation";#N/A,#N/A,FALSE,"BSA";#N/A,#N/A,FALSE,"Detail1";#N/A,#N/A,FALSE,"Detail2";#N/A,#N/A,FALSE,"Detail3";#N/A,#N/A,FALSE,"WFTE_Summary";#N/A,#N/A,FALSE,"Funded_WFTE";#N/A,#N/A,FALSE,"PYADJ96"}</definedName>
    <definedName name="wrn.Base._.Data._.Comparison." localSheetId="7" hidden="1">{#N/A,#N/A,FALSE,"Summation";#N/A,#N/A,FALSE,"BSA";#N/A,#N/A,FALSE,"Detail1";#N/A,#N/A,FALSE,"Detail2";#N/A,#N/A,FALSE,"Detail3";#N/A,#N/A,FALSE,"WFTE_Summary";#N/A,#N/A,FALSE,"Funded_WFTE";#N/A,#N/A,FALSE,"PYADJ96"}</definedName>
    <definedName name="wrn.Base._.Data._.Comparison." localSheetId="8" hidden="1">{#N/A,#N/A,FALSE,"Summation";#N/A,#N/A,FALSE,"BSA";#N/A,#N/A,FALSE,"Detail1";#N/A,#N/A,FALSE,"Detail2";#N/A,#N/A,FALSE,"Detail3";#N/A,#N/A,FALSE,"WFTE_Summary";#N/A,#N/A,FALSE,"Funded_WFTE";#N/A,#N/A,FALSE,"PYADJ96"}</definedName>
    <definedName name="wrn.Base._.Data._.Comparison." localSheetId="9" hidden="1">{#N/A,#N/A,FALSE,"Summation";#N/A,#N/A,FALSE,"BSA";#N/A,#N/A,FALSE,"Detail1";#N/A,#N/A,FALSE,"Detail2";#N/A,#N/A,FALSE,"Detail3";#N/A,#N/A,FALSE,"WFTE_Summary";#N/A,#N/A,FALSE,"Funded_WFTE";#N/A,#N/A,FALSE,"PYADJ96"}</definedName>
    <definedName name="wrn.Base._.Data._.Comparison." localSheetId="10" hidden="1">{#N/A,#N/A,FALSE,"Summation";#N/A,#N/A,FALSE,"BSA";#N/A,#N/A,FALSE,"Detail1";#N/A,#N/A,FALSE,"Detail2";#N/A,#N/A,FALSE,"Detail3";#N/A,#N/A,FALSE,"WFTE_Summary";#N/A,#N/A,FALSE,"Funded_WFTE";#N/A,#N/A,FALSE,"PYADJ96"}</definedName>
    <definedName name="wrn.Base._.Data._.Comparison." localSheetId="11" hidden="1">{#N/A,#N/A,FALSE,"Summation";#N/A,#N/A,FALSE,"BSA";#N/A,#N/A,FALSE,"Detail1";#N/A,#N/A,FALSE,"Detail2";#N/A,#N/A,FALSE,"Detail3";#N/A,#N/A,FALSE,"WFTE_Summary";#N/A,#N/A,FALSE,"Funded_WFTE";#N/A,#N/A,FALSE,"PYADJ96"}</definedName>
    <definedName name="wrn.Base._.Data._.Comparison." localSheetId="12" hidden="1">{#N/A,#N/A,FALSE,"Summation";#N/A,#N/A,FALSE,"BSA";#N/A,#N/A,FALSE,"Detail1";#N/A,#N/A,FALSE,"Detail2";#N/A,#N/A,FALSE,"Detail3";#N/A,#N/A,FALSE,"WFTE_Summary";#N/A,#N/A,FALSE,"Funded_WFTE";#N/A,#N/A,FALSE,"PYADJ96"}</definedName>
    <definedName name="wrn.Base._.Data._.Comparison." localSheetId="13" hidden="1">{#N/A,#N/A,FALSE,"Summation";#N/A,#N/A,FALSE,"BSA";#N/A,#N/A,FALSE,"Detail1";#N/A,#N/A,FALSE,"Detail2";#N/A,#N/A,FALSE,"Detail3";#N/A,#N/A,FALSE,"WFTE_Summary";#N/A,#N/A,FALSE,"Funded_WFTE";#N/A,#N/A,FALSE,"PYADJ96"}</definedName>
    <definedName name="wrn.Base._.Data._.Comparison." localSheetId="14" hidden="1">{#N/A,#N/A,FALSE,"Summation";#N/A,#N/A,FALSE,"BSA";#N/A,#N/A,FALSE,"Detail1";#N/A,#N/A,FALSE,"Detail2";#N/A,#N/A,FALSE,"Detail3";#N/A,#N/A,FALSE,"WFTE_Summary";#N/A,#N/A,FALSE,"Funded_WFTE";#N/A,#N/A,FALSE,"PYADJ96"}</definedName>
    <definedName name="wrn.Base._.Data._.Comparison." localSheetId="15" hidden="1">{#N/A,#N/A,FALSE,"Summation";#N/A,#N/A,FALSE,"BSA";#N/A,#N/A,FALSE,"Detail1";#N/A,#N/A,FALSE,"Detail2";#N/A,#N/A,FALSE,"Detail3";#N/A,#N/A,FALSE,"WFTE_Summary";#N/A,#N/A,FALSE,"Funded_WFTE";#N/A,#N/A,FALSE,"PYADJ96"}</definedName>
    <definedName name="wrn.Base._.Data._.Comparison." localSheetId="16" hidden="1">{#N/A,#N/A,FALSE,"Summation";#N/A,#N/A,FALSE,"BSA";#N/A,#N/A,FALSE,"Detail1";#N/A,#N/A,FALSE,"Detail2";#N/A,#N/A,FALSE,"Detail3";#N/A,#N/A,FALSE,"WFTE_Summary";#N/A,#N/A,FALSE,"Funded_WFTE";#N/A,#N/A,FALSE,"PYADJ96"}</definedName>
    <definedName name="wrn.Base._.Data._.Comparison." localSheetId="17" hidden="1">{#N/A,#N/A,FALSE,"Summation";#N/A,#N/A,FALSE,"BSA";#N/A,#N/A,FALSE,"Detail1";#N/A,#N/A,FALSE,"Detail2";#N/A,#N/A,FALSE,"Detail3";#N/A,#N/A,FALSE,"WFTE_Summary";#N/A,#N/A,FALSE,"Funded_WFTE";#N/A,#N/A,FALSE,"PYADJ96"}</definedName>
    <definedName name="wrn.Base._.Data._.Comparison." localSheetId="18" hidden="1">{#N/A,#N/A,FALSE,"Summation";#N/A,#N/A,FALSE,"BSA";#N/A,#N/A,FALSE,"Detail1";#N/A,#N/A,FALSE,"Detail2";#N/A,#N/A,FALSE,"Detail3";#N/A,#N/A,FALSE,"WFTE_Summary";#N/A,#N/A,FALSE,"Funded_WFTE";#N/A,#N/A,FALSE,"PYADJ96"}</definedName>
    <definedName name="wrn.Base._.Data._.Comparison." localSheetId="19" hidden="1">{#N/A,#N/A,FALSE,"Summation";#N/A,#N/A,FALSE,"BSA";#N/A,#N/A,FALSE,"Detail1";#N/A,#N/A,FALSE,"Detail2";#N/A,#N/A,FALSE,"Detail3";#N/A,#N/A,FALSE,"WFTE_Summary";#N/A,#N/A,FALSE,"Funded_WFTE";#N/A,#N/A,FALSE,"PYADJ96"}</definedName>
    <definedName name="wrn.Base._.Data._.Comparison." localSheetId="20" hidden="1">{#N/A,#N/A,FALSE,"Summation";#N/A,#N/A,FALSE,"BSA";#N/A,#N/A,FALSE,"Detail1";#N/A,#N/A,FALSE,"Detail2";#N/A,#N/A,FALSE,"Detail3";#N/A,#N/A,FALSE,"WFTE_Summary";#N/A,#N/A,FALSE,"Funded_WFTE";#N/A,#N/A,FALSE,"PYADJ96"}</definedName>
    <definedName name="wrn.Base._.Data._.Comparison." localSheetId="21" hidden="1">{#N/A,#N/A,FALSE,"Summation";#N/A,#N/A,FALSE,"BSA";#N/A,#N/A,FALSE,"Detail1";#N/A,#N/A,FALSE,"Detail2";#N/A,#N/A,FALSE,"Detail3";#N/A,#N/A,FALSE,"WFTE_Summary";#N/A,#N/A,FALSE,"Funded_WFTE";#N/A,#N/A,FALSE,"PYADJ96"}</definedName>
    <definedName name="wrn.Base._.Data._.Comparison." localSheetId="22" hidden="1">{#N/A,#N/A,FALSE,"Summation";#N/A,#N/A,FALSE,"BSA";#N/A,#N/A,FALSE,"Detail1";#N/A,#N/A,FALSE,"Detail2";#N/A,#N/A,FALSE,"Detail3";#N/A,#N/A,FALSE,"WFTE_Summary";#N/A,#N/A,FALSE,"Funded_WFTE";#N/A,#N/A,FALSE,"PYADJ96"}</definedName>
    <definedName name="wrn.Base._.Data._.Comparison." localSheetId="23" hidden="1">{#N/A,#N/A,FALSE,"Summation";#N/A,#N/A,FALSE,"BSA";#N/A,#N/A,FALSE,"Detail1";#N/A,#N/A,FALSE,"Detail2";#N/A,#N/A,FALSE,"Detail3";#N/A,#N/A,FALSE,"WFTE_Summary";#N/A,#N/A,FALSE,"Funded_WFTE";#N/A,#N/A,FALSE,"PYADJ96"}</definedName>
    <definedName name="wrn.Base._.Data._.Comparison." localSheetId="24" hidden="1">{#N/A,#N/A,FALSE,"Summation";#N/A,#N/A,FALSE,"BSA";#N/A,#N/A,FALSE,"Detail1";#N/A,#N/A,FALSE,"Detail2";#N/A,#N/A,FALSE,"Detail3";#N/A,#N/A,FALSE,"WFTE_Summary";#N/A,#N/A,FALSE,"Funded_WFTE";#N/A,#N/A,FALSE,"PYADJ96"}</definedName>
    <definedName name="wrn.Base._.Data._.Comparison." localSheetId="25" hidden="1">{#N/A,#N/A,FALSE,"Summation";#N/A,#N/A,FALSE,"BSA";#N/A,#N/A,FALSE,"Detail1";#N/A,#N/A,FALSE,"Detail2";#N/A,#N/A,FALSE,"Detail3";#N/A,#N/A,FALSE,"WFTE_Summary";#N/A,#N/A,FALSE,"Funded_WFTE";#N/A,#N/A,FALSE,"PYADJ96"}</definedName>
    <definedName name="wrn.Base._.Data._.Comparison." localSheetId="26" hidden="1">{#N/A,#N/A,FALSE,"Summation";#N/A,#N/A,FALSE,"BSA";#N/A,#N/A,FALSE,"Detail1";#N/A,#N/A,FALSE,"Detail2";#N/A,#N/A,FALSE,"Detail3";#N/A,#N/A,FALSE,"WFTE_Summary";#N/A,#N/A,FALSE,"Funded_WFTE";#N/A,#N/A,FALSE,"PYADJ96"}</definedName>
    <definedName name="wrn.Base._.Data._.Comparison." localSheetId="27" hidden="1">{#N/A,#N/A,FALSE,"Summation";#N/A,#N/A,FALSE,"BSA";#N/A,#N/A,FALSE,"Detail1";#N/A,#N/A,FALSE,"Detail2";#N/A,#N/A,FALSE,"Detail3";#N/A,#N/A,FALSE,"WFTE_Summary";#N/A,#N/A,FALSE,"Funded_WFTE";#N/A,#N/A,FALSE,"PYADJ96"}</definedName>
    <definedName name="wrn.Base._.Data._.Comparison." localSheetId="28" hidden="1">{#N/A,#N/A,FALSE,"Summation";#N/A,#N/A,FALSE,"BSA";#N/A,#N/A,FALSE,"Detail1";#N/A,#N/A,FALSE,"Detail2";#N/A,#N/A,FALSE,"Detail3";#N/A,#N/A,FALSE,"WFTE_Summary";#N/A,#N/A,FALSE,"Funded_WFTE";#N/A,#N/A,FALSE,"PYADJ96"}</definedName>
    <definedName name="wrn.Base._.Data._.Comparison." localSheetId="29" hidden="1">{#N/A,#N/A,FALSE,"Summation";#N/A,#N/A,FALSE,"BSA";#N/A,#N/A,FALSE,"Detail1";#N/A,#N/A,FALSE,"Detail2";#N/A,#N/A,FALSE,"Detail3";#N/A,#N/A,FALSE,"WFTE_Summary";#N/A,#N/A,FALSE,"Funded_WFTE";#N/A,#N/A,FALSE,"PYADJ96"}</definedName>
    <definedName name="wrn.Base._.Data._.Comparison." localSheetId="30" hidden="1">{#N/A,#N/A,FALSE,"Summation";#N/A,#N/A,FALSE,"BSA";#N/A,#N/A,FALSE,"Detail1";#N/A,#N/A,FALSE,"Detail2";#N/A,#N/A,FALSE,"Detail3";#N/A,#N/A,FALSE,"WFTE_Summary";#N/A,#N/A,FALSE,"Funded_WFTE";#N/A,#N/A,FALSE,"PYADJ96"}</definedName>
    <definedName name="wrn.Base._.Data._.Comparison." localSheetId="31" hidden="1">{#N/A,#N/A,FALSE,"Summation";#N/A,#N/A,FALSE,"BSA";#N/A,#N/A,FALSE,"Detail1";#N/A,#N/A,FALSE,"Detail2";#N/A,#N/A,FALSE,"Detail3";#N/A,#N/A,FALSE,"WFTE_Summary";#N/A,#N/A,FALSE,"Funded_WFTE";#N/A,#N/A,FALSE,"PYADJ96"}</definedName>
    <definedName name="wrn.Base._.Data._.Comparison." localSheetId="32" hidden="1">{#N/A,#N/A,FALSE,"Summation";#N/A,#N/A,FALSE,"BSA";#N/A,#N/A,FALSE,"Detail1";#N/A,#N/A,FALSE,"Detail2";#N/A,#N/A,FALSE,"Detail3";#N/A,#N/A,FALSE,"WFTE_Summary";#N/A,#N/A,FALSE,"Funded_WFTE";#N/A,#N/A,FALSE,"PYADJ96"}</definedName>
    <definedName name="wrn.Base._.Data._.Comparison." localSheetId="33" hidden="1">{#N/A,#N/A,FALSE,"Summation";#N/A,#N/A,FALSE,"BSA";#N/A,#N/A,FALSE,"Detail1";#N/A,#N/A,FALSE,"Detail2";#N/A,#N/A,FALSE,"Detail3";#N/A,#N/A,FALSE,"WFTE_Summary";#N/A,#N/A,FALSE,"Funded_WFTE";#N/A,#N/A,FALSE,"PYADJ96"}</definedName>
    <definedName name="wrn.Base._.Data._.Comparison." localSheetId="34" hidden="1">{#N/A,#N/A,FALSE,"Summation";#N/A,#N/A,FALSE,"BSA";#N/A,#N/A,FALSE,"Detail1";#N/A,#N/A,FALSE,"Detail2";#N/A,#N/A,FALSE,"Detail3";#N/A,#N/A,FALSE,"WFTE_Summary";#N/A,#N/A,FALSE,"Funded_WFTE";#N/A,#N/A,FALSE,"PYADJ96"}</definedName>
    <definedName name="wrn.Base._.Data._.Comparison." localSheetId="35" hidden="1">{#N/A,#N/A,FALSE,"Summation";#N/A,#N/A,FALSE,"BSA";#N/A,#N/A,FALSE,"Detail1";#N/A,#N/A,FALSE,"Detail2";#N/A,#N/A,FALSE,"Detail3";#N/A,#N/A,FALSE,"WFTE_Summary";#N/A,#N/A,FALSE,"Funded_WFTE";#N/A,#N/A,FALSE,"PYADJ96"}</definedName>
    <definedName name="wrn.Base._.Data._.Comparison." localSheetId="36" hidden="1">{#N/A,#N/A,FALSE,"Summation";#N/A,#N/A,FALSE,"BSA";#N/A,#N/A,FALSE,"Detail1";#N/A,#N/A,FALSE,"Detail2";#N/A,#N/A,FALSE,"Detail3";#N/A,#N/A,FALSE,"WFTE_Summary";#N/A,#N/A,FALSE,"Funded_WFTE";#N/A,#N/A,FALSE,"PYADJ96"}</definedName>
    <definedName name="wrn.Base._.Data._.Comparison." localSheetId="37" hidden="1">{#N/A,#N/A,FALSE,"Summation";#N/A,#N/A,FALSE,"BSA";#N/A,#N/A,FALSE,"Detail1";#N/A,#N/A,FALSE,"Detail2";#N/A,#N/A,FALSE,"Detail3";#N/A,#N/A,FALSE,"WFTE_Summary";#N/A,#N/A,FALSE,"Funded_WFTE";#N/A,#N/A,FALSE,"PYADJ96"}</definedName>
    <definedName name="wrn.Base._.Data._.Comparison." localSheetId="38" hidden="1">{#N/A,#N/A,FALSE,"Summation";#N/A,#N/A,FALSE,"BSA";#N/A,#N/A,FALSE,"Detail1";#N/A,#N/A,FALSE,"Detail2";#N/A,#N/A,FALSE,"Detail3";#N/A,#N/A,FALSE,"WFTE_Summary";#N/A,#N/A,FALSE,"Funded_WFTE";#N/A,#N/A,FALSE,"PYADJ96"}</definedName>
    <definedName name="wrn.Base._.Data._.Comparison." localSheetId="39" hidden="1">{#N/A,#N/A,FALSE,"Summation";#N/A,#N/A,FALSE,"BSA";#N/A,#N/A,FALSE,"Detail1";#N/A,#N/A,FALSE,"Detail2";#N/A,#N/A,FALSE,"Detail3";#N/A,#N/A,FALSE,"WFTE_Summary";#N/A,#N/A,FALSE,"Funded_WFTE";#N/A,#N/A,FALSE,"PYADJ96"}</definedName>
    <definedName name="wrn.Base._.Data._.Comparison." localSheetId="40" hidden="1">{#N/A,#N/A,FALSE,"Summation";#N/A,#N/A,FALSE,"BSA";#N/A,#N/A,FALSE,"Detail1";#N/A,#N/A,FALSE,"Detail2";#N/A,#N/A,FALSE,"Detail3";#N/A,#N/A,FALSE,"WFTE_Summary";#N/A,#N/A,FALSE,"Funded_WFTE";#N/A,#N/A,FALSE,"PYADJ96"}</definedName>
    <definedName name="wrn.Base._.Data._.Comparison." localSheetId="41" hidden="1">{#N/A,#N/A,FALSE,"Summation";#N/A,#N/A,FALSE,"BSA";#N/A,#N/A,FALSE,"Detail1";#N/A,#N/A,FALSE,"Detail2";#N/A,#N/A,FALSE,"Detail3";#N/A,#N/A,FALSE,"WFTE_Summary";#N/A,#N/A,FALSE,"Funded_WFTE";#N/A,#N/A,FALSE,"PYADJ96"}</definedName>
    <definedName name="wrn.Base._.Data._.Comparison." localSheetId="42" hidden="1">{#N/A,#N/A,FALSE,"Summation";#N/A,#N/A,FALSE,"BSA";#N/A,#N/A,FALSE,"Detail1";#N/A,#N/A,FALSE,"Detail2";#N/A,#N/A,FALSE,"Detail3";#N/A,#N/A,FALSE,"WFTE_Summary";#N/A,#N/A,FALSE,"Funded_WFTE";#N/A,#N/A,FALSE,"PYADJ96"}</definedName>
    <definedName name="wrn.Base._.Data._.Comparison." localSheetId="43" hidden="1">{#N/A,#N/A,FALSE,"Summation";#N/A,#N/A,FALSE,"BSA";#N/A,#N/A,FALSE,"Detail1";#N/A,#N/A,FALSE,"Detail2";#N/A,#N/A,FALSE,"Detail3";#N/A,#N/A,FALSE,"WFTE_Summary";#N/A,#N/A,FALSE,"Funded_WFTE";#N/A,#N/A,FALSE,"PYADJ96"}</definedName>
    <definedName name="wrn.Base._.Data._.Comparison." localSheetId="44" hidden="1">{#N/A,#N/A,FALSE,"Summation";#N/A,#N/A,FALSE,"BSA";#N/A,#N/A,FALSE,"Detail1";#N/A,#N/A,FALSE,"Detail2";#N/A,#N/A,FALSE,"Detail3";#N/A,#N/A,FALSE,"WFTE_Summary";#N/A,#N/A,FALSE,"Funded_WFTE";#N/A,#N/A,FALSE,"PYADJ96"}</definedName>
    <definedName name="wrn.Base._.Data._.Comparison." localSheetId="45" hidden="1">{#N/A,#N/A,FALSE,"Summation";#N/A,#N/A,FALSE,"BSA";#N/A,#N/A,FALSE,"Detail1";#N/A,#N/A,FALSE,"Detail2";#N/A,#N/A,FALSE,"Detail3";#N/A,#N/A,FALSE,"WFTE_Summary";#N/A,#N/A,FALSE,"Funded_WFTE";#N/A,#N/A,FALSE,"PYADJ96"}</definedName>
    <definedName name="wrn.Base._.Data._.Comparison." localSheetId="46" hidden="1">{#N/A,#N/A,FALSE,"Summation";#N/A,#N/A,FALSE,"BSA";#N/A,#N/A,FALSE,"Detail1";#N/A,#N/A,FALSE,"Detail2";#N/A,#N/A,FALSE,"Detail3";#N/A,#N/A,FALSE,"WFTE_Summary";#N/A,#N/A,FALSE,"Funded_WFTE";#N/A,#N/A,FALSE,"PYADJ96"}</definedName>
    <definedName name="wrn.Base._.Data._.Comparison." localSheetId="47" hidden="1">{#N/A,#N/A,FALSE,"Summation";#N/A,#N/A,FALSE,"BSA";#N/A,#N/A,FALSE,"Detail1";#N/A,#N/A,FALSE,"Detail2";#N/A,#N/A,FALSE,"Detail3";#N/A,#N/A,FALSE,"WFTE_Summary";#N/A,#N/A,FALSE,"Funded_WFTE";#N/A,#N/A,FALSE,"PYADJ96"}</definedName>
    <definedName name="wrn.Base._.Data._.Comparison." localSheetId="48" hidden="1">{#N/A,#N/A,FALSE,"Summation";#N/A,#N/A,FALSE,"BSA";#N/A,#N/A,FALSE,"Detail1";#N/A,#N/A,FALSE,"Detail2";#N/A,#N/A,FALSE,"Detail3";#N/A,#N/A,FALSE,"WFTE_Summary";#N/A,#N/A,FALSE,"Funded_WFTE";#N/A,#N/A,FALSE,"PYADJ96"}</definedName>
    <definedName name="wrn.Base._.Data._.Comparison." localSheetId="49" hidden="1">{#N/A,#N/A,FALSE,"Summation";#N/A,#N/A,FALSE,"BSA";#N/A,#N/A,FALSE,"Detail1";#N/A,#N/A,FALSE,"Detail2";#N/A,#N/A,FALSE,"Detail3";#N/A,#N/A,FALSE,"WFTE_Summary";#N/A,#N/A,FALSE,"Funded_WFTE";#N/A,#N/A,FALSE,"PYADJ96"}</definedName>
    <definedName name="wrn.Base._.Data._.Comparison." localSheetId="50" hidden="1">{#N/A,#N/A,FALSE,"Summation";#N/A,#N/A,FALSE,"BSA";#N/A,#N/A,FALSE,"Detail1";#N/A,#N/A,FALSE,"Detail2";#N/A,#N/A,FALSE,"Detail3";#N/A,#N/A,FALSE,"WFTE_Summary";#N/A,#N/A,FALSE,"Funded_WFTE";#N/A,#N/A,FALSE,"PYADJ96"}</definedName>
    <definedName name="wrn.Base._.Data._.Comparison." localSheetId="2" hidden="1">{#N/A,#N/A,FALSE,"Summation";#N/A,#N/A,FALSE,"BSA";#N/A,#N/A,FALSE,"Detail1";#N/A,#N/A,FALSE,"Detail2";#N/A,#N/A,FALSE,"Detail3";#N/A,#N/A,FALSE,"WFTE_Summary";#N/A,#N/A,FALSE,"Funded_WFTE";#N/A,#N/A,FALSE,"PYADJ96"}</definedName>
    <definedName name="wrn.Base._.Data._.Comparison." hidden="1">{#N/A,#N/A,FALSE,"Summation";#N/A,#N/A,FALSE,"BSA";#N/A,#N/A,FALSE,"Detail1";#N/A,#N/A,FALSE,"Detail2";#N/A,#N/A,FALSE,"Detail3";#N/A,#N/A,FALSE,"WFTE_Summary";#N/A,#N/A,FALSE,"Funded_WFTE";#N/A,#N/A,FALSE,"PYADJ96"}</definedName>
    <definedName name="wrn.SecondCalc9798." localSheetId="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37" i="7" l="1"/>
  <c r="I141" i="7"/>
  <c r="I145" i="7"/>
  <c r="D6" i="79"/>
  <c r="D53" i="79" s="1"/>
  <c r="D7" i="79"/>
  <c r="D8" i="79"/>
  <c r="D9" i="79"/>
  <c r="D10" i="79"/>
  <c r="D11" i="79"/>
  <c r="D12" i="79"/>
  <c r="D13" i="79"/>
  <c r="D14" i="79"/>
  <c r="D15" i="79"/>
  <c r="D16" i="79"/>
  <c r="D17" i="79"/>
  <c r="D18" i="79"/>
  <c r="D19" i="79"/>
  <c r="D20" i="79"/>
  <c r="D21" i="79"/>
  <c r="D22" i="79"/>
  <c r="D23" i="79"/>
  <c r="D24" i="79"/>
  <c r="D25" i="79"/>
  <c r="D26" i="79"/>
  <c r="D27" i="79"/>
  <c r="D28" i="79"/>
  <c r="D29" i="79"/>
  <c r="D30" i="79"/>
  <c r="D31" i="79"/>
  <c r="D32" i="79"/>
  <c r="D33" i="79"/>
  <c r="D34" i="79"/>
  <c r="D35" i="79"/>
  <c r="D36" i="79"/>
  <c r="D37" i="79"/>
  <c r="D38" i="79"/>
  <c r="D39" i="79"/>
  <c r="D40" i="79"/>
  <c r="D41" i="79"/>
  <c r="D42" i="79"/>
  <c r="D43" i="79"/>
  <c r="D44" i="79"/>
  <c r="D45" i="79"/>
  <c r="D46" i="79"/>
  <c r="D47" i="79"/>
  <c r="D48" i="79"/>
  <c r="D49" i="79"/>
  <c r="D50" i="79"/>
  <c r="D51" i="79"/>
  <c r="D5" i="79"/>
  <c r="I147" i="7" l="1"/>
  <c r="F479" i="64" l="1"/>
  <c r="R68" i="79" l="1"/>
  <c r="Q68" i="79"/>
  <c r="Q5" i="79"/>
  <c r="C106" i="7" l="1"/>
  <c r="F21" i="71"/>
  <c r="C26" i="37"/>
  <c r="D26" i="37"/>
  <c r="D112" i="60" l="1"/>
  <c r="D111" i="60"/>
  <c r="R6" i="79"/>
  <c r="R8" i="79"/>
  <c r="R9" i="79"/>
  <c r="R10" i="79"/>
  <c r="R11" i="79"/>
  <c r="R12" i="79"/>
  <c r="R13" i="79"/>
  <c r="R14" i="79"/>
  <c r="R15" i="79"/>
  <c r="R16" i="79"/>
  <c r="R17" i="79"/>
  <c r="R18" i="79"/>
  <c r="R19" i="79"/>
  <c r="R20" i="79"/>
  <c r="R21" i="79"/>
  <c r="R22" i="79"/>
  <c r="R23" i="79"/>
  <c r="R24" i="79"/>
  <c r="R25" i="79"/>
  <c r="R26" i="79"/>
  <c r="R27" i="79"/>
  <c r="R28" i="79"/>
  <c r="R29" i="79"/>
  <c r="R30" i="79"/>
  <c r="R31" i="79"/>
  <c r="R32" i="79"/>
  <c r="R33" i="79"/>
  <c r="R34" i="79"/>
  <c r="R35" i="79"/>
  <c r="R36" i="79"/>
  <c r="R37" i="79"/>
  <c r="R38" i="79"/>
  <c r="R39" i="79"/>
  <c r="R40" i="79"/>
  <c r="R41" i="79"/>
  <c r="R42" i="79"/>
  <c r="R43" i="79"/>
  <c r="R44" i="79"/>
  <c r="R45" i="79"/>
  <c r="R46" i="79"/>
  <c r="R48" i="79"/>
  <c r="R50" i="79"/>
  <c r="R5" i="79"/>
  <c r="E113" i="43"/>
  <c r="E114" i="34"/>
  <c r="E113" i="78"/>
  <c r="E113" i="77"/>
  <c r="E114" i="71"/>
  <c r="E113" i="71"/>
  <c r="E113" i="70"/>
  <c r="E113" i="69"/>
  <c r="E113" i="67"/>
  <c r="E113" i="66"/>
  <c r="E113" i="58"/>
  <c r="E113" i="57"/>
  <c r="E114" i="56"/>
  <c r="E113" i="56"/>
  <c r="E113" i="76"/>
  <c r="E113" i="75"/>
  <c r="E113" i="52"/>
  <c r="E113" i="51"/>
  <c r="E113" i="50"/>
  <c r="E114" i="48"/>
  <c r="E113" i="48"/>
  <c r="E113" i="47"/>
  <c r="E113" i="45"/>
  <c r="E113" i="42"/>
  <c r="E113" i="40"/>
  <c r="E113" i="39"/>
  <c r="E113" i="38"/>
  <c r="E113" i="36"/>
  <c r="E113" i="23"/>
  <c r="E113" i="35"/>
  <c r="E113" i="34"/>
  <c r="E113" i="33"/>
  <c r="E113" i="32"/>
  <c r="E113" i="31"/>
  <c r="E113" i="28"/>
  <c r="E113" i="27"/>
  <c r="E113" i="26"/>
  <c r="E113" i="25"/>
  <c r="E113" i="21"/>
  <c r="E113" i="20"/>
  <c r="E113" i="18"/>
  <c r="E113" i="17"/>
  <c r="E113" i="16"/>
  <c r="E114" i="16"/>
  <c r="E113" i="7"/>
  <c r="I139" i="7"/>
  <c r="P116" i="79"/>
  <c r="O116" i="79"/>
  <c r="N116" i="79"/>
  <c r="M116" i="79"/>
  <c r="L116" i="79"/>
  <c r="I116" i="79"/>
  <c r="H116" i="79"/>
  <c r="G116" i="79"/>
  <c r="F116" i="79"/>
  <c r="E116" i="79"/>
  <c r="D116" i="79"/>
  <c r="R114" i="79"/>
  <c r="R113" i="79"/>
  <c r="Q113" i="79"/>
  <c r="I139" i="78" s="1"/>
  <c r="R112" i="79"/>
  <c r="R111" i="79"/>
  <c r="Q111" i="79"/>
  <c r="I139" i="68" s="1"/>
  <c r="R110" i="79"/>
  <c r="R109" i="79"/>
  <c r="Q109" i="79"/>
  <c r="I139" i="70" s="1"/>
  <c r="R108" i="79"/>
  <c r="Q108" i="79"/>
  <c r="I139" i="69" s="1"/>
  <c r="R107" i="79"/>
  <c r="Q107" i="79"/>
  <c r="I139" i="67" s="1"/>
  <c r="R106" i="79"/>
  <c r="Q106" i="79"/>
  <c r="I139" i="66" s="1"/>
  <c r="R105" i="79"/>
  <c r="Q105" i="79"/>
  <c r="I139" i="58" s="1"/>
  <c r="R104" i="79"/>
  <c r="Q104" i="79"/>
  <c r="I139" i="57" s="1"/>
  <c r="R103" i="79"/>
  <c r="Q103" i="79"/>
  <c r="I139" i="56" s="1"/>
  <c r="R102" i="79"/>
  <c r="Q102" i="79"/>
  <c r="I139" i="55" s="1"/>
  <c r="R101" i="79"/>
  <c r="Q101" i="79"/>
  <c r="I139" i="76" s="1"/>
  <c r="R100" i="79"/>
  <c r="Q100" i="79"/>
  <c r="I139" i="75" s="1"/>
  <c r="R99" i="79"/>
  <c r="Q99" i="79"/>
  <c r="I139" i="52" s="1"/>
  <c r="R98" i="79"/>
  <c r="Q98" i="79"/>
  <c r="I139" i="51" s="1"/>
  <c r="R97" i="79"/>
  <c r="Q97" i="79"/>
  <c r="I139" i="50" s="1"/>
  <c r="R96" i="79"/>
  <c r="Q96" i="79"/>
  <c r="I139" i="48" s="1"/>
  <c r="R95" i="79"/>
  <c r="Q95" i="79"/>
  <c r="I139" i="47" s="1"/>
  <c r="R94" i="79"/>
  <c r="Q94" i="79"/>
  <c r="I139" i="45" s="1"/>
  <c r="R93" i="79"/>
  <c r="Q93" i="79"/>
  <c r="I139" i="44" s="1"/>
  <c r="R92" i="79"/>
  <c r="Q92" i="79"/>
  <c r="I139" i="43" s="1"/>
  <c r="R91" i="79"/>
  <c r="Q91" i="79"/>
  <c r="I139" i="42" s="1"/>
  <c r="R90" i="79"/>
  <c r="Q90" i="79"/>
  <c r="I139" i="40" s="1"/>
  <c r="R89" i="79"/>
  <c r="Q89" i="79"/>
  <c r="I139" i="39" s="1"/>
  <c r="R88" i="79"/>
  <c r="Q88" i="79"/>
  <c r="I139" i="38" s="1"/>
  <c r="R87" i="79"/>
  <c r="Q87" i="79"/>
  <c r="I139" i="37" s="1"/>
  <c r="R86" i="79"/>
  <c r="Q86" i="79"/>
  <c r="I139" i="36" s="1"/>
  <c r="R85" i="79"/>
  <c r="Q85" i="79"/>
  <c r="I139" i="23" s="1"/>
  <c r="R84" i="79"/>
  <c r="Q84" i="79"/>
  <c r="I139" i="35" s="1"/>
  <c r="R83" i="79"/>
  <c r="Q83" i="79"/>
  <c r="I139" i="34" s="1"/>
  <c r="R82" i="79"/>
  <c r="Q82" i="79"/>
  <c r="I139" i="33" s="1"/>
  <c r="R81" i="79"/>
  <c r="Q81" i="79"/>
  <c r="I139" i="32" s="1"/>
  <c r="R80" i="79"/>
  <c r="Q80" i="79"/>
  <c r="I139" i="31" s="1"/>
  <c r="R79" i="79"/>
  <c r="Q79" i="79"/>
  <c r="I139" i="28" s="1"/>
  <c r="R78" i="79"/>
  <c r="Q78" i="79"/>
  <c r="I139" i="27" s="1"/>
  <c r="R77" i="79"/>
  <c r="Q77" i="79"/>
  <c r="I139" i="26" s="1"/>
  <c r="R76" i="79"/>
  <c r="Q76" i="79"/>
  <c r="I139" i="22" s="1"/>
  <c r="R75" i="79"/>
  <c r="Q75" i="79"/>
  <c r="I139" i="24" s="1"/>
  <c r="R74" i="79"/>
  <c r="Q74" i="79"/>
  <c r="I139" i="25" s="1"/>
  <c r="R73" i="79"/>
  <c r="Q73" i="79"/>
  <c r="I139" i="21" s="1"/>
  <c r="R72" i="79"/>
  <c r="Q72" i="79"/>
  <c r="I139" i="20" s="1"/>
  <c r="R71" i="79"/>
  <c r="Q71" i="79"/>
  <c r="I139" i="18" s="1"/>
  <c r="J116" i="79"/>
  <c r="R69" i="79"/>
  <c r="Q69" i="79"/>
  <c r="I139" i="16" s="1"/>
  <c r="Q114" i="79" l="1"/>
  <c r="I139" i="30" s="1"/>
  <c r="Q110" i="79"/>
  <c r="I139" i="71" s="1"/>
  <c r="K116" i="79"/>
  <c r="Q70" i="79"/>
  <c r="R70" i="79"/>
  <c r="R116" i="79" s="1"/>
  <c r="Q112" i="79"/>
  <c r="I139" i="77" s="1"/>
  <c r="Q116" i="79" l="1"/>
  <c r="I139" i="17"/>
  <c r="M53" i="79" l="1"/>
  <c r="E62" i="50"/>
  <c r="E61" i="50"/>
  <c r="E60" i="50"/>
  <c r="E53" i="79" l="1"/>
  <c r="J58" i="79" s="1"/>
  <c r="R47" i="79" l="1"/>
  <c r="R51" i="79"/>
  <c r="F53" i="79"/>
  <c r="G53" i="79"/>
  <c r="H53" i="79"/>
  <c r="I53" i="79"/>
  <c r="L53" i="79"/>
  <c r="O53" i="79"/>
  <c r="P53" i="79"/>
  <c r="J56" i="79" l="1"/>
  <c r="K53" i="79"/>
  <c r="R49" i="79"/>
  <c r="R7" i="79"/>
  <c r="R53" i="79" s="1"/>
  <c r="J53" i="79"/>
  <c r="C112" i="60"/>
  <c r="C111" i="60"/>
  <c r="J57" i="79" l="1"/>
  <c r="J59" i="79" s="1"/>
  <c r="I124" i="60"/>
  <c r="R98" i="30"/>
  <c r="R98" i="78"/>
  <c r="R98" i="77"/>
  <c r="R98" i="68"/>
  <c r="R98" i="71"/>
  <c r="R98" i="70"/>
  <c r="R98" i="69"/>
  <c r="R98" i="67"/>
  <c r="R98" i="66"/>
  <c r="R98" i="58"/>
  <c r="R98" i="57"/>
  <c r="R98" i="56"/>
  <c r="R98" i="55"/>
  <c r="R98" i="76"/>
  <c r="R98" i="75"/>
  <c r="R98" i="52"/>
  <c r="R98" i="51"/>
  <c r="R98" i="50"/>
  <c r="R98" i="48"/>
  <c r="R98" i="47"/>
  <c r="R98" i="45"/>
  <c r="R98" i="44"/>
  <c r="R98" i="43"/>
  <c r="R98" i="42"/>
  <c r="R98" i="40"/>
  <c r="R98" i="39"/>
  <c r="R98" i="38"/>
  <c r="R98" i="37"/>
  <c r="R98" i="36"/>
  <c r="R98" i="23"/>
  <c r="R98" i="35"/>
  <c r="R98" i="34"/>
  <c r="R98" i="33"/>
  <c r="R98" i="32"/>
  <c r="R98" i="31"/>
  <c r="R98" i="28" l="1"/>
  <c r="R98" i="27"/>
  <c r="R98" i="26"/>
  <c r="R98" i="22"/>
  <c r="R98" i="24"/>
  <c r="R98" i="25"/>
  <c r="R98" i="21"/>
  <c r="R98" i="20"/>
  <c r="R98" i="18"/>
  <c r="R98" i="17"/>
  <c r="R98" i="16" l="1"/>
  <c r="R98" i="7"/>
  <c r="E114" i="78" l="1"/>
  <c r="E114" i="77"/>
  <c r="E114" i="70"/>
  <c r="E114" i="66"/>
  <c r="E114" i="57"/>
  <c r="E114" i="55"/>
  <c r="E113" i="55"/>
  <c r="E114" i="22"/>
  <c r="E114" i="24"/>
  <c r="E113" i="24"/>
  <c r="E114" i="25"/>
  <c r="E114" i="21"/>
  <c r="E113" i="22"/>
  <c r="D66" i="24" l="1"/>
  <c r="E65" i="24" l="1"/>
  <c r="E62" i="24"/>
  <c r="E63" i="24"/>
  <c r="E58" i="24"/>
  <c r="E59" i="24"/>
  <c r="E60" i="24"/>
  <c r="E57" i="24"/>
  <c r="E61" i="24"/>
  <c r="E64" i="24"/>
  <c r="F452" i="64" l="1"/>
  <c r="C30" i="68"/>
  <c r="D442" i="64" l="1"/>
  <c r="D433" i="64"/>
  <c r="D423" i="64"/>
  <c r="D415" i="64"/>
  <c r="D406" i="64"/>
  <c r="D396" i="64"/>
  <c r="D386" i="64"/>
  <c r="D377" i="64"/>
  <c r="D370" i="64"/>
  <c r="D361" i="64"/>
  <c r="D352" i="64"/>
  <c r="D345" i="64"/>
  <c r="D334" i="64"/>
  <c r="D324" i="64"/>
  <c r="D314" i="64"/>
  <c r="D305" i="64"/>
  <c r="D296" i="64"/>
  <c r="D288" i="64"/>
  <c r="D278" i="64"/>
  <c r="D269" i="64"/>
  <c r="D261" i="64"/>
  <c r="D253" i="64"/>
  <c r="D243" i="64"/>
  <c r="D233" i="64"/>
  <c r="D224" i="64"/>
  <c r="D214" i="64"/>
  <c r="D203" i="64"/>
  <c r="D195" i="64"/>
  <c r="D184" i="64"/>
  <c r="D176" i="64"/>
  <c r="D169" i="64"/>
  <c r="D161" i="64"/>
  <c r="D152" i="64"/>
  <c r="D142" i="64"/>
  <c r="D133" i="64"/>
  <c r="D124" i="64"/>
  <c r="D115" i="64"/>
  <c r="D108" i="64"/>
  <c r="D100" i="64"/>
  <c r="D91" i="64"/>
  <c r="D80" i="64"/>
  <c r="D70" i="64"/>
  <c r="D62" i="64"/>
  <c r="D50" i="64"/>
  <c r="D43" i="64"/>
  <c r="D27" i="64" l="1"/>
  <c r="F460" i="64" l="1"/>
  <c r="F480" i="64"/>
  <c r="G480" i="64" s="1"/>
  <c r="F472" i="64"/>
  <c r="U126" i="31"/>
  <c r="U126" i="36"/>
  <c r="H67" i="60"/>
  <c r="H66" i="60"/>
  <c r="H65" i="60"/>
  <c r="H64" i="60"/>
  <c r="H63" i="60"/>
  <c r="H62" i="60"/>
  <c r="H61" i="60"/>
  <c r="H60" i="60"/>
  <c r="H59" i="60"/>
  <c r="D67" i="60"/>
  <c r="D66" i="60"/>
  <c r="D65" i="60"/>
  <c r="D64" i="60"/>
  <c r="D63" i="60"/>
  <c r="D62" i="60"/>
  <c r="D61" i="60"/>
  <c r="D60" i="60"/>
  <c r="D59" i="60"/>
  <c r="C67" i="60"/>
  <c r="C66" i="60"/>
  <c r="C65" i="60"/>
  <c r="C64" i="60"/>
  <c r="C63" i="60"/>
  <c r="C62" i="60"/>
  <c r="C61" i="60"/>
  <c r="C60" i="60"/>
  <c r="C59" i="60"/>
  <c r="D68" i="60" l="1"/>
  <c r="C68" i="60"/>
  <c r="P66" i="16" l="1"/>
  <c r="P66" i="17"/>
  <c r="P66" i="18"/>
  <c r="P66" i="20"/>
  <c r="P66" i="21"/>
  <c r="P66" i="25"/>
  <c r="P66" i="24"/>
  <c r="P66" i="22"/>
  <c r="P66" i="26"/>
  <c r="P66" i="27"/>
  <c r="P66" i="28"/>
  <c r="P66" i="31"/>
  <c r="P66" i="32"/>
  <c r="P66" i="33"/>
  <c r="P66" i="34"/>
  <c r="P66" i="35"/>
  <c r="P66" i="23"/>
  <c r="P66" i="36"/>
  <c r="P66" i="37"/>
  <c r="P66" i="38"/>
  <c r="P66" i="39"/>
  <c r="P66" i="40"/>
  <c r="P66" i="42"/>
  <c r="P66" i="43"/>
  <c r="P66" i="44"/>
  <c r="P66" i="45"/>
  <c r="P66" i="47"/>
  <c r="P66" i="48"/>
  <c r="P66" i="50"/>
  <c r="P66" i="51"/>
  <c r="P66" i="52"/>
  <c r="P66" i="75"/>
  <c r="P66" i="76"/>
  <c r="P66" i="55"/>
  <c r="P66" i="56"/>
  <c r="P66" i="57"/>
  <c r="P66" i="58"/>
  <c r="P66" i="66"/>
  <c r="P66" i="67"/>
  <c r="P66" i="69"/>
  <c r="P66" i="70"/>
  <c r="P66" i="71"/>
  <c r="P66" i="68"/>
  <c r="P66" i="77"/>
  <c r="P66" i="78"/>
  <c r="P66" i="30"/>
  <c r="P66" i="7"/>
  <c r="T65" i="7"/>
  <c r="U65" i="7" s="1"/>
  <c r="T64" i="7"/>
  <c r="U64" i="7" s="1"/>
  <c r="T63" i="7"/>
  <c r="U63" i="7" s="1"/>
  <c r="T62" i="7"/>
  <c r="U62" i="7" s="1"/>
  <c r="T61" i="7"/>
  <c r="U61" i="7" s="1"/>
  <c r="T60" i="7"/>
  <c r="U60" i="7" s="1"/>
  <c r="T59" i="7"/>
  <c r="U59" i="7" s="1"/>
  <c r="T58" i="7"/>
  <c r="U58" i="7" s="1"/>
  <c r="T57" i="7"/>
  <c r="U57" i="7" s="1"/>
  <c r="Q54" i="16"/>
  <c r="P54" i="16"/>
  <c r="Q54" i="17"/>
  <c r="P54" i="17"/>
  <c r="Q54" i="18"/>
  <c r="P54" i="18"/>
  <c r="Q54" i="20"/>
  <c r="P54" i="20"/>
  <c r="Q54" i="21"/>
  <c r="P54" i="21"/>
  <c r="Q54" i="25"/>
  <c r="P54" i="25"/>
  <c r="Q54" i="24"/>
  <c r="P54" i="24"/>
  <c r="Q54" i="22"/>
  <c r="P54" i="22"/>
  <c r="Q54" i="26"/>
  <c r="P54" i="26"/>
  <c r="Q54" i="27"/>
  <c r="P54" i="27"/>
  <c r="Q54" i="28"/>
  <c r="P54" i="28"/>
  <c r="Q54" i="31"/>
  <c r="P54" i="31"/>
  <c r="Q54" i="32"/>
  <c r="P54" i="32"/>
  <c r="Q54" i="33"/>
  <c r="P54" i="33"/>
  <c r="Q54" i="34"/>
  <c r="P54" i="34"/>
  <c r="Q54" i="35"/>
  <c r="P54" i="35"/>
  <c r="Q54" i="23"/>
  <c r="P54" i="23"/>
  <c r="Q54" i="36"/>
  <c r="P54" i="36"/>
  <c r="Q54" i="37"/>
  <c r="P54" i="37"/>
  <c r="Q54" i="38"/>
  <c r="P54" i="38"/>
  <c r="Q54" i="39"/>
  <c r="P54" i="39"/>
  <c r="Q54" i="40"/>
  <c r="P54" i="40"/>
  <c r="Q54" i="42"/>
  <c r="P54" i="42"/>
  <c r="Q54" i="43"/>
  <c r="P54" i="43"/>
  <c r="Q54" i="44"/>
  <c r="P54" i="44"/>
  <c r="Q54" i="45"/>
  <c r="P54" i="45"/>
  <c r="Q54" i="47"/>
  <c r="P54" i="47"/>
  <c r="Q54" i="48"/>
  <c r="P54" i="48"/>
  <c r="Q54" i="50"/>
  <c r="P54" i="50"/>
  <c r="Q54" i="51"/>
  <c r="P54" i="51"/>
  <c r="Q54" i="52"/>
  <c r="P54" i="52"/>
  <c r="Q54" i="75"/>
  <c r="P54" i="75"/>
  <c r="Q54" i="76"/>
  <c r="P54" i="76"/>
  <c r="Q54" i="55"/>
  <c r="P54" i="55"/>
  <c r="Q54" i="56"/>
  <c r="P54" i="56"/>
  <c r="Q54" i="57"/>
  <c r="P54" i="57"/>
  <c r="Q54" i="58"/>
  <c r="P54" i="58"/>
  <c r="Q54" i="66"/>
  <c r="P54" i="66"/>
  <c r="Q54" i="67"/>
  <c r="P54" i="67"/>
  <c r="Q54" i="69"/>
  <c r="P54" i="69"/>
  <c r="Q54" i="70"/>
  <c r="P54" i="70"/>
  <c r="Q54" i="71"/>
  <c r="P54" i="71"/>
  <c r="Q54" i="68"/>
  <c r="P54" i="68"/>
  <c r="Q54" i="77"/>
  <c r="P54" i="77"/>
  <c r="Q54" i="78"/>
  <c r="P54" i="78"/>
  <c r="Q54" i="30"/>
  <c r="P54" i="30"/>
  <c r="U66" i="7" l="1"/>
  <c r="H65" i="16" l="1"/>
  <c r="T65" i="16" s="1"/>
  <c r="U65" i="16" s="1"/>
  <c r="H64" i="16"/>
  <c r="T64" i="16" s="1"/>
  <c r="U64" i="16" s="1"/>
  <c r="H63" i="16"/>
  <c r="T63" i="16" s="1"/>
  <c r="U63" i="16" s="1"/>
  <c r="H62" i="16"/>
  <c r="T62" i="16" s="1"/>
  <c r="U62" i="16" s="1"/>
  <c r="H61" i="16"/>
  <c r="T61" i="16" s="1"/>
  <c r="U61" i="16" s="1"/>
  <c r="H60" i="16"/>
  <c r="T60" i="16" s="1"/>
  <c r="U60" i="16" s="1"/>
  <c r="H59" i="16"/>
  <c r="T59" i="16" s="1"/>
  <c r="U59" i="16" s="1"/>
  <c r="H58" i="16"/>
  <c r="T58" i="16" s="1"/>
  <c r="U58" i="16" s="1"/>
  <c r="H65" i="17"/>
  <c r="T65" i="17" s="1"/>
  <c r="U65" i="17" s="1"/>
  <c r="H64" i="17"/>
  <c r="T64" i="17" s="1"/>
  <c r="U64" i="17" s="1"/>
  <c r="H63" i="17"/>
  <c r="T63" i="17" s="1"/>
  <c r="U63" i="17" s="1"/>
  <c r="H62" i="17"/>
  <c r="T62" i="17" s="1"/>
  <c r="U62" i="17" s="1"/>
  <c r="H61" i="17"/>
  <c r="T61" i="17" s="1"/>
  <c r="U61" i="17" s="1"/>
  <c r="H60" i="17"/>
  <c r="T60" i="17" s="1"/>
  <c r="U60" i="17" s="1"/>
  <c r="H59" i="17"/>
  <c r="T59" i="17" s="1"/>
  <c r="U59" i="17" s="1"/>
  <c r="H58" i="17"/>
  <c r="T58" i="17" s="1"/>
  <c r="U58" i="17" s="1"/>
  <c r="H65" i="18"/>
  <c r="T65" i="18" s="1"/>
  <c r="U65" i="18" s="1"/>
  <c r="H64" i="18"/>
  <c r="T64" i="18" s="1"/>
  <c r="U64" i="18" s="1"/>
  <c r="H63" i="18"/>
  <c r="T63" i="18" s="1"/>
  <c r="U63" i="18" s="1"/>
  <c r="H62" i="18"/>
  <c r="T62" i="18" s="1"/>
  <c r="U62" i="18" s="1"/>
  <c r="H61" i="18"/>
  <c r="T61" i="18" s="1"/>
  <c r="U61" i="18" s="1"/>
  <c r="H60" i="18"/>
  <c r="T60" i="18" s="1"/>
  <c r="U60" i="18" s="1"/>
  <c r="H59" i="18"/>
  <c r="T59" i="18" s="1"/>
  <c r="U59" i="18" s="1"/>
  <c r="H58" i="18"/>
  <c r="T58" i="18" s="1"/>
  <c r="U58" i="18" s="1"/>
  <c r="H65" i="20"/>
  <c r="T65" i="20" s="1"/>
  <c r="U65" i="20" s="1"/>
  <c r="H64" i="20"/>
  <c r="T64" i="20" s="1"/>
  <c r="U64" i="20" s="1"/>
  <c r="H63" i="20"/>
  <c r="T63" i="20" s="1"/>
  <c r="U63" i="20" s="1"/>
  <c r="H62" i="20"/>
  <c r="T62" i="20" s="1"/>
  <c r="U62" i="20" s="1"/>
  <c r="H61" i="20"/>
  <c r="T61" i="20" s="1"/>
  <c r="U61" i="20" s="1"/>
  <c r="H60" i="20"/>
  <c r="T60" i="20" s="1"/>
  <c r="U60" i="20" s="1"/>
  <c r="H59" i="20"/>
  <c r="T59" i="20" s="1"/>
  <c r="U59" i="20" s="1"/>
  <c r="H58" i="20"/>
  <c r="T58" i="20" s="1"/>
  <c r="U58" i="20" s="1"/>
  <c r="H65" i="21"/>
  <c r="T65" i="21" s="1"/>
  <c r="U65" i="21" s="1"/>
  <c r="H64" i="21"/>
  <c r="T64" i="21" s="1"/>
  <c r="U64" i="21" s="1"/>
  <c r="H63" i="21"/>
  <c r="T63" i="21" s="1"/>
  <c r="U63" i="21" s="1"/>
  <c r="H62" i="21"/>
  <c r="T62" i="21" s="1"/>
  <c r="U62" i="21" s="1"/>
  <c r="H61" i="21"/>
  <c r="T61" i="21" s="1"/>
  <c r="U61" i="21" s="1"/>
  <c r="H60" i="21"/>
  <c r="T60" i="21" s="1"/>
  <c r="U60" i="21" s="1"/>
  <c r="H59" i="21"/>
  <c r="T59" i="21" s="1"/>
  <c r="U59" i="21" s="1"/>
  <c r="H58" i="21"/>
  <c r="T58" i="21" s="1"/>
  <c r="U58" i="21" s="1"/>
  <c r="H65" i="25"/>
  <c r="T65" i="25" s="1"/>
  <c r="U65" i="25" s="1"/>
  <c r="H64" i="25"/>
  <c r="T64" i="25" s="1"/>
  <c r="U64" i="25" s="1"/>
  <c r="H63" i="25"/>
  <c r="T63" i="25" s="1"/>
  <c r="U63" i="25" s="1"/>
  <c r="H62" i="25"/>
  <c r="T62" i="25" s="1"/>
  <c r="U62" i="25" s="1"/>
  <c r="H61" i="25"/>
  <c r="T61" i="25" s="1"/>
  <c r="U61" i="25" s="1"/>
  <c r="H60" i="25"/>
  <c r="T60" i="25" s="1"/>
  <c r="U60" i="25" s="1"/>
  <c r="H59" i="25"/>
  <c r="T59" i="25" s="1"/>
  <c r="U59" i="25" s="1"/>
  <c r="H58" i="25"/>
  <c r="T58" i="25" s="1"/>
  <c r="U58" i="25" s="1"/>
  <c r="H65" i="24"/>
  <c r="T65" i="24" s="1"/>
  <c r="U65" i="24" s="1"/>
  <c r="H64" i="24"/>
  <c r="T64" i="24" s="1"/>
  <c r="U64" i="24" s="1"/>
  <c r="H63" i="24"/>
  <c r="T63" i="24" s="1"/>
  <c r="U63" i="24" s="1"/>
  <c r="H62" i="24"/>
  <c r="T62" i="24" s="1"/>
  <c r="U62" i="24" s="1"/>
  <c r="H61" i="24"/>
  <c r="T61" i="24" s="1"/>
  <c r="U61" i="24" s="1"/>
  <c r="H60" i="24"/>
  <c r="T60" i="24" s="1"/>
  <c r="U60" i="24" s="1"/>
  <c r="H59" i="24"/>
  <c r="T59" i="24" s="1"/>
  <c r="U59" i="24" s="1"/>
  <c r="H58" i="24"/>
  <c r="T58" i="24" s="1"/>
  <c r="U58" i="24" s="1"/>
  <c r="H65" i="22"/>
  <c r="T65" i="22" s="1"/>
  <c r="U65" i="22" s="1"/>
  <c r="H64" i="22"/>
  <c r="T64" i="22" s="1"/>
  <c r="U64" i="22" s="1"/>
  <c r="H63" i="22"/>
  <c r="T63" i="22" s="1"/>
  <c r="U63" i="22" s="1"/>
  <c r="H62" i="22"/>
  <c r="T62" i="22" s="1"/>
  <c r="U62" i="22" s="1"/>
  <c r="H61" i="22"/>
  <c r="T61" i="22" s="1"/>
  <c r="U61" i="22" s="1"/>
  <c r="H60" i="22"/>
  <c r="T60" i="22" s="1"/>
  <c r="U60" i="22" s="1"/>
  <c r="H59" i="22"/>
  <c r="T59" i="22" s="1"/>
  <c r="U59" i="22" s="1"/>
  <c r="H58" i="22"/>
  <c r="T58" i="22" s="1"/>
  <c r="U58" i="22" s="1"/>
  <c r="H65" i="26"/>
  <c r="T65" i="26" s="1"/>
  <c r="U65" i="26" s="1"/>
  <c r="H64" i="26"/>
  <c r="T64" i="26" s="1"/>
  <c r="U64" i="26" s="1"/>
  <c r="H63" i="26"/>
  <c r="T63" i="26" s="1"/>
  <c r="U63" i="26" s="1"/>
  <c r="H62" i="26"/>
  <c r="T62" i="26" s="1"/>
  <c r="U62" i="26" s="1"/>
  <c r="H61" i="26"/>
  <c r="T61" i="26" s="1"/>
  <c r="U61" i="26" s="1"/>
  <c r="H60" i="26"/>
  <c r="T60" i="26" s="1"/>
  <c r="U60" i="26" s="1"/>
  <c r="H59" i="26"/>
  <c r="T59" i="26" s="1"/>
  <c r="U59" i="26" s="1"/>
  <c r="H58" i="26"/>
  <c r="T58" i="26" s="1"/>
  <c r="U58" i="26" s="1"/>
  <c r="H65" i="27"/>
  <c r="T65" i="27" s="1"/>
  <c r="U65" i="27" s="1"/>
  <c r="H64" i="27"/>
  <c r="T64" i="27" s="1"/>
  <c r="U64" i="27" s="1"/>
  <c r="H63" i="27"/>
  <c r="T63" i="27" s="1"/>
  <c r="U63" i="27" s="1"/>
  <c r="H62" i="27"/>
  <c r="T62" i="27" s="1"/>
  <c r="U62" i="27" s="1"/>
  <c r="H61" i="27"/>
  <c r="T61" i="27" s="1"/>
  <c r="U61" i="27" s="1"/>
  <c r="H60" i="27"/>
  <c r="T60" i="27" s="1"/>
  <c r="U60" i="27" s="1"/>
  <c r="H59" i="27"/>
  <c r="T59" i="27" s="1"/>
  <c r="U59" i="27" s="1"/>
  <c r="H58" i="27"/>
  <c r="T58" i="27" s="1"/>
  <c r="U58" i="27" s="1"/>
  <c r="H65" i="28"/>
  <c r="T65" i="28" s="1"/>
  <c r="U65" i="28" s="1"/>
  <c r="H64" i="28"/>
  <c r="T64" i="28" s="1"/>
  <c r="U64" i="28" s="1"/>
  <c r="H63" i="28"/>
  <c r="T63" i="28" s="1"/>
  <c r="U63" i="28" s="1"/>
  <c r="H62" i="28"/>
  <c r="T62" i="28" s="1"/>
  <c r="U62" i="28" s="1"/>
  <c r="H61" i="28"/>
  <c r="T61" i="28" s="1"/>
  <c r="U61" i="28" s="1"/>
  <c r="H60" i="28"/>
  <c r="T60" i="28" s="1"/>
  <c r="U60" i="28" s="1"/>
  <c r="H59" i="28"/>
  <c r="T59" i="28" s="1"/>
  <c r="U59" i="28" s="1"/>
  <c r="H58" i="28"/>
  <c r="T58" i="28" s="1"/>
  <c r="U58" i="28" s="1"/>
  <c r="H65" i="31"/>
  <c r="T65" i="31" s="1"/>
  <c r="U65" i="31" s="1"/>
  <c r="H64" i="31"/>
  <c r="T64" i="31" s="1"/>
  <c r="U64" i="31" s="1"/>
  <c r="H63" i="31"/>
  <c r="T63" i="31" s="1"/>
  <c r="U63" i="31" s="1"/>
  <c r="H62" i="31"/>
  <c r="T62" i="31" s="1"/>
  <c r="U62" i="31" s="1"/>
  <c r="H61" i="31"/>
  <c r="T61" i="31" s="1"/>
  <c r="U61" i="31" s="1"/>
  <c r="H60" i="31"/>
  <c r="T60" i="31" s="1"/>
  <c r="U60" i="31" s="1"/>
  <c r="H59" i="31"/>
  <c r="T59" i="31" s="1"/>
  <c r="U59" i="31" s="1"/>
  <c r="H58" i="31"/>
  <c r="T58" i="31" s="1"/>
  <c r="U58" i="31" s="1"/>
  <c r="H65" i="32"/>
  <c r="T65" i="32" s="1"/>
  <c r="U65" i="32" s="1"/>
  <c r="H64" i="32"/>
  <c r="T64" i="32" s="1"/>
  <c r="U64" i="32" s="1"/>
  <c r="H63" i="32"/>
  <c r="T63" i="32" s="1"/>
  <c r="U63" i="32" s="1"/>
  <c r="H62" i="32"/>
  <c r="T62" i="32" s="1"/>
  <c r="U62" i="32" s="1"/>
  <c r="H61" i="32"/>
  <c r="T61" i="32" s="1"/>
  <c r="U61" i="32" s="1"/>
  <c r="H60" i="32"/>
  <c r="T60" i="32" s="1"/>
  <c r="U60" i="32" s="1"/>
  <c r="H59" i="32"/>
  <c r="T59" i="32" s="1"/>
  <c r="U59" i="32" s="1"/>
  <c r="H58" i="32"/>
  <c r="T58" i="32" s="1"/>
  <c r="U58" i="32" s="1"/>
  <c r="H65" i="33"/>
  <c r="T65" i="33" s="1"/>
  <c r="U65" i="33" s="1"/>
  <c r="H64" i="33"/>
  <c r="T64" i="33" s="1"/>
  <c r="U64" i="33" s="1"/>
  <c r="H63" i="33"/>
  <c r="T63" i="33" s="1"/>
  <c r="U63" i="33" s="1"/>
  <c r="H62" i="33"/>
  <c r="T62" i="33" s="1"/>
  <c r="U62" i="33" s="1"/>
  <c r="H61" i="33"/>
  <c r="T61" i="33" s="1"/>
  <c r="U61" i="33" s="1"/>
  <c r="H60" i="33"/>
  <c r="T60" i="33" s="1"/>
  <c r="U60" i="33" s="1"/>
  <c r="H59" i="33"/>
  <c r="T59" i="33" s="1"/>
  <c r="U59" i="33" s="1"/>
  <c r="H58" i="33"/>
  <c r="T58" i="33" s="1"/>
  <c r="U58" i="33" s="1"/>
  <c r="H65" i="34"/>
  <c r="T65" i="34" s="1"/>
  <c r="U65" i="34" s="1"/>
  <c r="H64" i="34"/>
  <c r="T64" i="34" s="1"/>
  <c r="U64" i="34" s="1"/>
  <c r="H63" i="34"/>
  <c r="T63" i="34" s="1"/>
  <c r="U63" i="34" s="1"/>
  <c r="H62" i="34"/>
  <c r="T62" i="34" s="1"/>
  <c r="U62" i="34" s="1"/>
  <c r="H61" i="34"/>
  <c r="T61" i="34" s="1"/>
  <c r="U61" i="34" s="1"/>
  <c r="H60" i="34"/>
  <c r="T60" i="34" s="1"/>
  <c r="U60" i="34" s="1"/>
  <c r="H59" i="34"/>
  <c r="T59" i="34" s="1"/>
  <c r="U59" i="34" s="1"/>
  <c r="H58" i="34"/>
  <c r="T58" i="34" s="1"/>
  <c r="U58" i="34" s="1"/>
  <c r="H65" i="35"/>
  <c r="T65" i="35" s="1"/>
  <c r="U65" i="35" s="1"/>
  <c r="H64" i="35"/>
  <c r="T64" i="35" s="1"/>
  <c r="U64" i="35" s="1"/>
  <c r="H63" i="35"/>
  <c r="T63" i="35" s="1"/>
  <c r="U63" i="35" s="1"/>
  <c r="H62" i="35"/>
  <c r="T62" i="35" s="1"/>
  <c r="U62" i="35" s="1"/>
  <c r="H61" i="35"/>
  <c r="T61" i="35" s="1"/>
  <c r="U61" i="35" s="1"/>
  <c r="H60" i="35"/>
  <c r="T60" i="35" s="1"/>
  <c r="U60" i="35" s="1"/>
  <c r="H59" i="35"/>
  <c r="T59" i="35" s="1"/>
  <c r="U59" i="35" s="1"/>
  <c r="H58" i="35"/>
  <c r="T58" i="35" s="1"/>
  <c r="U58" i="35" s="1"/>
  <c r="H65" i="23"/>
  <c r="T65" i="23" s="1"/>
  <c r="U65" i="23" s="1"/>
  <c r="H64" i="23"/>
  <c r="T64" i="23" s="1"/>
  <c r="U64" i="23" s="1"/>
  <c r="H63" i="23"/>
  <c r="T63" i="23" s="1"/>
  <c r="U63" i="23" s="1"/>
  <c r="H62" i="23"/>
  <c r="T62" i="23" s="1"/>
  <c r="U62" i="23" s="1"/>
  <c r="H61" i="23"/>
  <c r="T61" i="23" s="1"/>
  <c r="U61" i="23" s="1"/>
  <c r="H60" i="23"/>
  <c r="T60" i="23" s="1"/>
  <c r="U60" i="23" s="1"/>
  <c r="H59" i="23"/>
  <c r="T59" i="23" s="1"/>
  <c r="U59" i="23" s="1"/>
  <c r="H58" i="23"/>
  <c r="T58" i="23" s="1"/>
  <c r="U58" i="23" s="1"/>
  <c r="H65" i="36"/>
  <c r="T65" i="36" s="1"/>
  <c r="U65" i="36" s="1"/>
  <c r="H64" i="36"/>
  <c r="T64" i="36" s="1"/>
  <c r="U64" i="36" s="1"/>
  <c r="H63" i="36"/>
  <c r="T63" i="36" s="1"/>
  <c r="U63" i="36" s="1"/>
  <c r="H62" i="36"/>
  <c r="T62" i="36" s="1"/>
  <c r="U62" i="36" s="1"/>
  <c r="H61" i="36"/>
  <c r="T61" i="36" s="1"/>
  <c r="U61" i="36" s="1"/>
  <c r="H60" i="36"/>
  <c r="T60" i="36" s="1"/>
  <c r="U60" i="36" s="1"/>
  <c r="H59" i="36"/>
  <c r="T59" i="36" s="1"/>
  <c r="U59" i="36" s="1"/>
  <c r="H58" i="36"/>
  <c r="T58" i="36" s="1"/>
  <c r="U58" i="36" s="1"/>
  <c r="H65" i="37"/>
  <c r="T65" i="37" s="1"/>
  <c r="U65" i="37" s="1"/>
  <c r="H64" i="37"/>
  <c r="T64" i="37" s="1"/>
  <c r="U64" i="37" s="1"/>
  <c r="H63" i="37"/>
  <c r="T63" i="37" s="1"/>
  <c r="U63" i="37" s="1"/>
  <c r="H62" i="37"/>
  <c r="T62" i="37" s="1"/>
  <c r="U62" i="37" s="1"/>
  <c r="H61" i="37"/>
  <c r="T61" i="37" s="1"/>
  <c r="U61" i="37" s="1"/>
  <c r="H60" i="37"/>
  <c r="T60" i="37" s="1"/>
  <c r="U60" i="37" s="1"/>
  <c r="H59" i="37"/>
  <c r="T59" i="37" s="1"/>
  <c r="U59" i="37" s="1"/>
  <c r="H58" i="37"/>
  <c r="T58" i="37" s="1"/>
  <c r="U58" i="37" s="1"/>
  <c r="H65" i="38"/>
  <c r="T65" i="38" s="1"/>
  <c r="U65" i="38" s="1"/>
  <c r="H64" i="38"/>
  <c r="T64" i="38" s="1"/>
  <c r="U64" i="38" s="1"/>
  <c r="H63" i="38"/>
  <c r="T63" i="38" s="1"/>
  <c r="U63" i="38" s="1"/>
  <c r="H62" i="38"/>
  <c r="T62" i="38" s="1"/>
  <c r="U62" i="38" s="1"/>
  <c r="H61" i="38"/>
  <c r="T61" i="38" s="1"/>
  <c r="U61" i="38" s="1"/>
  <c r="H60" i="38"/>
  <c r="T60" i="38" s="1"/>
  <c r="U60" i="38" s="1"/>
  <c r="H59" i="38"/>
  <c r="T59" i="38" s="1"/>
  <c r="U59" i="38" s="1"/>
  <c r="H58" i="38"/>
  <c r="T58" i="38" s="1"/>
  <c r="U58" i="38" s="1"/>
  <c r="H65" i="39"/>
  <c r="T65" i="39" s="1"/>
  <c r="U65" i="39" s="1"/>
  <c r="H64" i="39"/>
  <c r="T64" i="39" s="1"/>
  <c r="U64" i="39" s="1"/>
  <c r="H63" i="39"/>
  <c r="T63" i="39" s="1"/>
  <c r="U63" i="39" s="1"/>
  <c r="H62" i="39"/>
  <c r="T62" i="39" s="1"/>
  <c r="U62" i="39" s="1"/>
  <c r="H61" i="39"/>
  <c r="T61" i="39" s="1"/>
  <c r="U61" i="39" s="1"/>
  <c r="H60" i="39"/>
  <c r="T60" i="39" s="1"/>
  <c r="U60" i="39" s="1"/>
  <c r="H59" i="39"/>
  <c r="T59" i="39" s="1"/>
  <c r="U59" i="39" s="1"/>
  <c r="H58" i="39"/>
  <c r="T58" i="39" s="1"/>
  <c r="U58" i="39" s="1"/>
  <c r="H65" i="40"/>
  <c r="T65" i="40" s="1"/>
  <c r="U65" i="40" s="1"/>
  <c r="H64" i="40"/>
  <c r="T64" i="40" s="1"/>
  <c r="U64" i="40" s="1"/>
  <c r="H63" i="40"/>
  <c r="T63" i="40" s="1"/>
  <c r="U63" i="40" s="1"/>
  <c r="H62" i="40"/>
  <c r="T62" i="40" s="1"/>
  <c r="U62" i="40" s="1"/>
  <c r="H61" i="40"/>
  <c r="T61" i="40" s="1"/>
  <c r="U61" i="40" s="1"/>
  <c r="H60" i="40"/>
  <c r="T60" i="40" s="1"/>
  <c r="U60" i="40" s="1"/>
  <c r="H59" i="40"/>
  <c r="T59" i="40" s="1"/>
  <c r="U59" i="40" s="1"/>
  <c r="H58" i="40"/>
  <c r="T58" i="40" s="1"/>
  <c r="U58" i="40" s="1"/>
  <c r="H65" i="42"/>
  <c r="T65" i="42" s="1"/>
  <c r="U65" i="42" s="1"/>
  <c r="H64" i="42"/>
  <c r="T64" i="42" s="1"/>
  <c r="U64" i="42" s="1"/>
  <c r="H63" i="42"/>
  <c r="T63" i="42" s="1"/>
  <c r="U63" i="42" s="1"/>
  <c r="H62" i="42"/>
  <c r="T62" i="42" s="1"/>
  <c r="U62" i="42" s="1"/>
  <c r="H61" i="42"/>
  <c r="T61" i="42" s="1"/>
  <c r="U61" i="42" s="1"/>
  <c r="H60" i="42"/>
  <c r="T60" i="42" s="1"/>
  <c r="U60" i="42" s="1"/>
  <c r="H59" i="42"/>
  <c r="T59" i="42" s="1"/>
  <c r="U59" i="42" s="1"/>
  <c r="H58" i="42"/>
  <c r="T58" i="42" s="1"/>
  <c r="U58" i="42" s="1"/>
  <c r="H65" i="43"/>
  <c r="T65" i="43" s="1"/>
  <c r="U65" i="43" s="1"/>
  <c r="H64" i="43"/>
  <c r="T64" i="43" s="1"/>
  <c r="U64" i="43" s="1"/>
  <c r="H63" i="43"/>
  <c r="T63" i="43" s="1"/>
  <c r="U63" i="43" s="1"/>
  <c r="H62" i="43"/>
  <c r="T62" i="43" s="1"/>
  <c r="U62" i="43" s="1"/>
  <c r="H61" i="43"/>
  <c r="T61" i="43" s="1"/>
  <c r="U61" i="43" s="1"/>
  <c r="H60" i="43"/>
  <c r="T60" i="43" s="1"/>
  <c r="U60" i="43" s="1"/>
  <c r="H59" i="43"/>
  <c r="T59" i="43" s="1"/>
  <c r="U59" i="43" s="1"/>
  <c r="H58" i="43"/>
  <c r="T58" i="43" s="1"/>
  <c r="U58" i="43" s="1"/>
  <c r="H65" i="44"/>
  <c r="T65" i="44" s="1"/>
  <c r="U65" i="44" s="1"/>
  <c r="H64" i="44"/>
  <c r="T64" i="44" s="1"/>
  <c r="U64" i="44" s="1"/>
  <c r="H63" i="44"/>
  <c r="T63" i="44" s="1"/>
  <c r="U63" i="44" s="1"/>
  <c r="H62" i="44"/>
  <c r="T62" i="44" s="1"/>
  <c r="U62" i="44" s="1"/>
  <c r="H61" i="44"/>
  <c r="T61" i="44" s="1"/>
  <c r="U61" i="44" s="1"/>
  <c r="H60" i="44"/>
  <c r="T60" i="44" s="1"/>
  <c r="U60" i="44" s="1"/>
  <c r="H59" i="44"/>
  <c r="T59" i="44" s="1"/>
  <c r="U59" i="44" s="1"/>
  <c r="H58" i="44"/>
  <c r="T58" i="44" s="1"/>
  <c r="U58" i="44" s="1"/>
  <c r="H65" i="45"/>
  <c r="T65" i="45" s="1"/>
  <c r="U65" i="45" s="1"/>
  <c r="H64" i="45"/>
  <c r="T64" i="45" s="1"/>
  <c r="U64" i="45" s="1"/>
  <c r="H63" i="45"/>
  <c r="T63" i="45" s="1"/>
  <c r="U63" i="45" s="1"/>
  <c r="H62" i="45"/>
  <c r="T62" i="45" s="1"/>
  <c r="U62" i="45" s="1"/>
  <c r="H61" i="45"/>
  <c r="T61" i="45" s="1"/>
  <c r="U61" i="45" s="1"/>
  <c r="H60" i="45"/>
  <c r="T60" i="45" s="1"/>
  <c r="U60" i="45" s="1"/>
  <c r="H59" i="45"/>
  <c r="T59" i="45" s="1"/>
  <c r="U59" i="45" s="1"/>
  <c r="H58" i="45"/>
  <c r="T58" i="45" s="1"/>
  <c r="U58" i="45" s="1"/>
  <c r="H65" i="47"/>
  <c r="T65" i="47" s="1"/>
  <c r="U65" i="47" s="1"/>
  <c r="H64" i="47"/>
  <c r="T64" i="47" s="1"/>
  <c r="U64" i="47" s="1"/>
  <c r="H63" i="47"/>
  <c r="T63" i="47" s="1"/>
  <c r="U63" i="47" s="1"/>
  <c r="H62" i="47"/>
  <c r="T62" i="47" s="1"/>
  <c r="U62" i="47" s="1"/>
  <c r="H61" i="47"/>
  <c r="T61" i="47" s="1"/>
  <c r="U61" i="47" s="1"/>
  <c r="H60" i="47"/>
  <c r="T60" i="47" s="1"/>
  <c r="U60" i="47" s="1"/>
  <c r="H59" i="47"/>
  <c r="T59" i="47" s="1"/>
  <c r="U59" i="47" s="1"/>
  <c r="H58" i="47"/>
  <c r="T58" i="47" s="1"/>
  <c r="U58" i="47" s="1"/>
  <c r="H65" i="48"/>
  <c r="T65" i="48" s="1"/>
  <c r="U65" i="48" s="1"/>
  <c r="H64" i="48"/>
  <c r="T64" i="48" s="1"/>
  <c r="U64" i="48" s="1"/>
  <c r="H63" i="48"/>
  <c r="T63" i="48" s="1"/>
  <c r="U63" i="48" s="1"/>
  <c r="H62" i="48"/>
  <c r="T62" i="48" s="1"/>
  <c r="U62" i="48" s="1"/>
  <c r="H61" i="48"/>
  <c r="T61" i="48" s="1"/>
  <c r="U61" i="48" s="1"/>
  <c r="H60" i="48"/>
  <c r="T60" i="48" s="1"/>
  <c r="U60" i="48" s="1"/>
  <c r="H59" i="48"/>
  <c r="T59" i="48" s="1"/>
  <c r="U59" i="48" s="1"/>
  <c r="H58" i="48"/>
  <c r="T58" i="48" s="1"/>
  <c r="U58" i="48" s="1"/>
  <c r="H65" i="50"/>
  <c r="T65" i="50" s="1"/>
  <c r="U65" i="50" s="1"/>
  <c r="H64" i="50"/>
  <c r="T64" i="50" s="1"/>
  <c r="U64" i="50" s="1"/>
  <c r="H63" i="50"/>
  <c r="T63" i="50" s="1"/>
  <c r="U63" i="50" s="1"/>
  <c r="H62" i="50"/>
  <c r="T62" i="50" s="1"/>
  <c r="U62" i="50" s="1"/>
  <c r="H61" i="50"/>
  <c r="T61" i="50" s="1"/>
  <c r="U61" i="50" s="1"/>
  <c r="H60" i="50"/>
  <c r="T60" i="50" s="1"/>
  <c r="U60" i="50" s="1"/>
  <c r="H59" i="50"/>
  <c r="T59" i="50" s="1"/>
  <c r="U59" i="50" s="1"/>
  <c r="H58" i="50"/>
  <c r="T58" i="50" s="1"/>
  <c r="U58" i="50" s="1"/>
  <c r="H65" i="51"/>
  <c r="T65" i="51" s="1"/>
  <c r="U65" i="51" s="1"/>
  <c r="H64" i="51"/>
  <c r="T64" i="51" s="1"/>
  <c r="U64" i="51" s="1"/>
  <c r="H63" i="51"/>
  <c r="T63" i="51" s="1"/>
  <c r="U63" i="51" s="1"/>
  <c r="H62" i="51"/>
  <c r="T62" i="51" s="1"/>
  <c r="U62" i="51" s="1"/>
  <c r="H61" i="51"/>
  <c r="T61" i="51" s="1"/>
  <c r="U61" i="51" s="1"/>
  <c r="H60" i="51"/>
  <c r="T60" i="51" s="1"/>
  <c r="U60" i="51" s="1"/>
  <c r="H59" i="51"/>
  <c r="T59" i="51" s="1"/>
  <c r="U59" i="51" s="1"/>
  <c r="H58" i="51"/>
  <c r="T58" i="51" s="1"/>
  <c r="U58" i="51" s="1"/>
  <c r="H65" i="52"/>
  <c r="T65" i="52" s="1"/>
  <c r="U65" i="52" s="1"/>
  <c r="H64" i="52"/>
  <c r="T64" i="52" s="1"/>
  <c r="U64" i="52" s="1"/>
  <c r="H63" i="52"/>
  <c r="T63" i="52" s="1"/>
  <c r="U63" i="52" s="1"/>
  <c r="H62" i="52"/>
  <c r="T62" i="52" s="1"/>
  <c r="U62" i="52" s="1"/>
  <c r="H61" i="52"/>
  <c r="T61" i="52" s="1"/>
  <c r="U61" i="52" s="1"/>
  <c r="H60" i="52"/>
  <c r="T60" i="52" s="1"/>
  <c r="U60" i="52" s="1"/>
  <c r="H59" i="52"/>
  <c r="T59" i="52" s="1"/>
  <c r="U59" i="52" s="1"/>
  <c r="H58" i="52"/>
  <c r="T58" i="52" s="1"/>
  <c r="U58" i="52" s="1"/>
  <c r="H65" i="75"/>
  <c r="T65" i="75" s="1"/>
  <c r="U65" i="75" s="1"/>
  <c r="H64" i="75"/>
  <c r="T64" i="75" s="1"/>
  <c r="U64" i="75" s="1"/>
  <c r="H63" i="75"/>
  <c r="T63" i="75" s="1"/>
  <c r="U63" i="75" s="1"/>
  <c r="H62" i="75"/>
  <c r="T62" i="75" s="1"/>
  <c r="U62" i="75" s="1"/>
  <c r="H61" i="75"/>
  <c r="T61" i="75" s="1"/>
  <c r="U61" i="75" s="1"/>
  <c r="H60" i="75"/>
  <c r="T60" i="75" s="1"/>
  <c r="U60" i="75" s="1"/>
  <c r="H59" i="75"/>
  <c r="T59" i="75" s="1"/>
  <c r="U59" i="75" s="1"/>
  <c r="H58" i="75"/>
  <c r="T58" i="75" s="1"/>
  <c r="U58" i="75" s="1"/>
  <c r="H65" i="76"/>
  <c r="T65" i="76" s="1"/>
  <c r="U65" i="76" s="1"/>
  <c r="H64" i="76"/>
  <c r="T64" i="76" s="1"/>
  <c r="U64" i="76" s="1"/>
  <c r="H63" i="76"/>
  <c r="T63" i="76" s="1"/>
  <c r="U63" i="76" s="1"/>
  <c r="H62" i="76"/>
  <c r="T62" i="76" s="1"/>
  <c r="U62" i="76" s="1"/>
  <c r="H61" i="76"/>
  <c r="T61" i="76" s="1"/>
  <c r="U61" i="76" s="1"/>
  <c r="H60" i="76"/>
  <c r="T60" i="76" s="1"/>
  <c r="U60" i="76" s="1"/>
  <c r="H59" i="76"/>
  <c r="T59" i="76" s="1"/>
  <c r="U59" i="76" s="1"/>
  <c r="H58" i="76"/>
  <c r="T58" i="76" s="1"/>
  <c r="U58" i="76" s="1"/>
  <c r="H65" i="55"/>
  <c r="T65" i="55" s="1"/>
  <c r="U65" i="55" s="1"/>
  <c r="H64" i="55"/>
  <c r="T64" i="55" s="1"/>
  <c r="U64" i="55" s="1"/>
  <c r="H63" i="55"/>
  <c r="T63" i="55" s="1"/>
  <c r="U63" i="55" s="1"/>
  <c r="H62" i="55"/>
  <c r="T62" i="55" s="1"/>
  <c r="U62" i="55" s="1"/>
  <c r="H61" i="55"/>
  <c r="T61" i="55" s="1"/>
  <c r="U61" i="55" s="1"/>
  <c r="H60" i="55"/>
  <c r="T60" i="55" s="1"/>
  <c r="U60" i="55" s="1"/>
  <c r="H59" i="55"/>
  <c r="T59" i="55" s="1"/>
  <c r="U59" i="55" s="1"/>
  <c r="H58" i="55"/>
  <c r="T58" i="55" s="1"/>
  <c r="U58" i="55" s="1"/>
  <c r="H65" i="56"/>
  <c r="T65" i="56" s="1"/>
  <c r="U65" i="56" s="1"/>
  <c r="H64" i="56"/>
  <c r="T64" i="56" s="1"/>
  <c r="U64" i="56" s="1"/>
  <c r="H63" i="56"/>
  <c r="T63" i="56" s="1"/>
  <c r="U63" i="56" s="1"/>
  <c r="H62" i="56"/>
  <c r="T62" i="56" s="1"/>
  <c r="U62" i="56" s="1"/>
  <c r="H61" i="56"/>
  <c r="T61" i="56" s="1"/>
  <c r="U61" i="56" s="1"/>
  <c r="H60" i="56"/>
  <c r="T60" i="56" s="1"/>
  <c r="U60" i="56" s="1"/>
  <c r="H59" i="56"/>
  <c r="T59" i="56" s="1"/>
  <c r="U59" i="56" s="1"/>
  <c r="H58" i="56"/>
  <c r="T58" i="56" s="1"/>
  <c r="U58" i="56" s="1"/>
  <c r="H65" i="57"/>
  <c r="T65" i="57" s="1"/>
  <c r="U65" i="57" s="1"/>
  <c r="H64" i="57"/>
  <c r="T64" i="57" s="1"/>
  <c r="U64" i="57" s="1"/>
  <c r="H63" i="57"/>
  <c r="T63" i="57" s="1"/>
  <c r="U63" i="57" s="1"/>
  <c r="H62" i="57"/>
  <c r="T62" i="57" s="1"/>
  <c r="U62" i="57" s="1"/>
  <c r="H61" i="57"/>
  <c r="T61" i="57" s="1"/>
  <c r="U61" i="57" s="1"/>
  <c r="H60" i="57"/>
  <c r="T60" i="57" s="1"/>
  <c r="U60" i="57" s="1"/>
  <c r="H59" i="57"/>
  <c r="T59" i="57" s="1"/>
  <c r="U59" i="57" s="1"/>
  <c r="H58" i="57"/>
  <c r="T58" i="57" s="1"/>
  <c r="U58" i="57" s="1"/>
  <c r="H65" i="58"/>
  <c r="T65" i="58" s="1"/>
  <c r="U65" i="58" s="1"/>
  <c r="H64" i="58"/>
  <c r="T64" i="58" s="1"/>
  <c r="U64" i="58" s="1"/>
  <c r="H63" i="58"/>
  <c r="T63" i="58" s="1"/>
  <c r="U63" i="58" s="1"/>
  <c r="H62" i="58"/>
  <c r="T62" i="58" s="1"/>
  <c r="U62" i="58" s="1"/>
  <c r="H61" i="58"/>
  <c r="T61" i="58" s="1"/>
  <c r="U61" i="58" s="1"/>
  <c r="H60" i="58"/>
  <c r="T60" i="58" s="1"/>
  <c r="U60" i="58" s="1"/>
  <c r="H59" i="58"/>
  <c r="T59" i="58" s="1"/>
  <c r="U59" i="58" s="1"/>
  <c r="H58" i="58"/>
  <c r="T58" i="58" s="1"/>
  <c r="U58" i="58" s="1"/>
  <c r="H65" i="66"/>
  <c r="T65" i="66" s="1"/>
  <c r="U65" i="66" s="1"/>
  <c r="H64" i="66"/>
  <c r="T64" i="66" s="1"/>
  <c r="U64" i="66" s="1"/>
  <c r="H63" i="66"/>
  <c r="T63" i="66" s="1"/>
  <c r="U63" i="66" s="1"/>
  <c r="H62" i="66"/>
  <c r="T62" i="66" s="1"/>
  <c r="U62" i="66" s="1"/>
  <c r="H61" i="66"/>
  <c r="T61" i="66" s="1"/>
  <c r="U61" i="66" s="1"/>
  <c r="H60" i="66"/>
  <c r="T60" i="66" s="1"/>
  <c r="U60" i="66" s="1"/>
  <c r="H59" i="66"/>
  <c r="T59" i="66" s="1"/>
  <c r="U59" i="66" s="1"/>
  <c r="H58" i="66"/>
  <c r="T58" i="66" s="1"/>
  <c r="U58" i="66" s="1"/>
  <c r="H65" i="67"/>
  <c r="T65" i="67" s="1"/>
  <c r="U65" i="67" s="1"/>
  <c r="H64" i="67"/>
  <c r="T64" i="67" s="1"/>
  <c r="U64" i="67" s="1"/>
  <c r="H63" i="67"/>
  <c r="T63" i="67" s="1"/>
  <c r="U63" i="67" s="1"/>
  <c r="H62" i="67"/>
  <c r="T62" i="67" s="1"/>
  <c r="U62" i="67" s="1"/>
  <c r="H61" i="67"/>
  <c r="T61" i="67" s="1"/>
  <c r="U61" i="67" s="1"/>
  <c r="H60" i="67"/>
  <c r="T60" i="67" s="1"/>
  <c r="U60" i="67" s="1"/>
  <c r="H59" i="67"/>
  <c r="T59" i="67" s="1"/>
  <c r="U59" i="67" s="1"/>
  <c r="H58" i="67"/>
  <c r="T58" i="67" s="1"/>
  <c r="U58" i="67" s="1"/>
  <c r="H65" i="69"/>
  <c r="T65" i="69" s="1"/>
  <c r="U65" i="69" s="1"/>
  <c r="H64" i="69"/>
  <c r="T64" i="69" s="1"/>
  <c r="U64" i="69" s="1"/>
  <c r="H63" i="69"/>
  <c r="T63" i="69" s="1"/>
  <c r="U63" i="69" s="1"/>
  <c r="H62" i="69"/>
  <c r="T62" i="69" s="1"/>
  <c r="U62" i="69" s="1"/>
  <c r="H61" i="69"/>
  <c r="T61" i="69" s="1"/>
  <c r="U61" i="69" s="1"/>
  <c r="H60" i="69"/>
  <c r="T60" i="69" s="1"/>
  <c r="U60" i="69" s="1"/>
  <c r="H59" i="69"/>
  <c r="T59" i="69" s="1"/>
  <c r="U59" i="69" s="1"/>
  <c r="H58" i="69"/>
  <c r="T58" i="69" s="1"/>
  <c r="U58" i="69" s="1"/>
  <c r="H65" i="70"/>
  <c r="T65" i="70" s="1"/>
  <c r="U65" i="70" s="1"/>
  <c r="H64" i="70"/>
  <c r="T64" i="70" s="1"/>
  <c r="U64" i="70" s="1"/>
  <c r="H63" i="70"/>
  <c r="T63" i="70" s="1"/>
  <c r="U63" i="70" s="1"/>
  <c r="H62" i="70"/>
  <c r="T62" i="70" s="1"/>
  <c r="U62" i="70" s="1"/>
  <c r="H61" i="70"/>
  <c r="T61" i="70" s="1"/>
  <c r="U61" i="70" s="1"/>
  <c r="H60" i="70"/>
  <c r="T60" i="70" s="1"/>
  <c r="U60" i="70" s="1"/>
  <c r="H59" i="70"/>
  <c r="T59" i="70" s="1"/>
  <c r="U59" i="70" s="1"/>
  <c r="H58" i="70"/>
  <c r="T58" i="70" s="1"/>
  <c r="U58" i="70" s="1"/>
  <c r="H65" i="71"/>
  <c r="T65" i="71" s="1"/>
  <c r="U65" i="71" s="1"/>
  <c r="H64" i="71"/>
  <c r="T64" i="71" s="1"/>
  <c r="U64" i="71" s="1"/>
  <c r="H63" i="71"/>
  <c r="T63" i="71" s="1"/>
  <c r="U63" i="71" s="1"/>
  <c r="H62" i="71"/>
  <c r="T62" i="71" s="1"/>
  <c r="U62" i="71" s="1"/>
  <c r="H61" i="71"/>
  <c r="T61" i="71" s="1"/>
  <c r="U61" i="71" s="1"/>
  <c r="H60" i="71"/>
  <c r="T60" i="71" s="1"/>
  <c r="U60" i="71" s="1"/>
  <c r="H59" i="71"/>
  <c r="T59" i="71" s="1"/>
  <c r="U59" i="71" s="1"/>
  <c r="H58" i="71"/>
  <c r="T58" i="71" s="1"/>
  <c r="U58" i="71" s="1"/>
  <c r="H65" i="68"/>
  <c r="T65" i="68" s="1"/>
  <c r="U65" i="68" s="1"/>
  <c r="H64" i="68"/>
  <c r="T64" i="68" s="1"/>
  <c r="U64" i="68" s="1"/>
  <c r="H63" i="68"/>
  <c r="T63" i="68" s="1"/>
  <c r="U63" i="68" s="1"/>
  <c r="H62" i="68"/>
  <c r="T62" i="68" s="1"/>
  <c r="U62" i="68" s="1"/>
  <c r="H61" i="68"/>
  <c r="T61" i="68" s="1"/>
  <c r="U61" i="68" s="1"/>
  <c r="H60" i="68"/>
  <c r="T60" i="68" s="1"/>
  <c r="U60" i="68" s="1"/>
  <c r="H59" i="68"/>
  <c r="T59" i="68" s="1"/>
  <c r="U59" i="68" s="1"/>
  <c r="H58" i="68"/>
  <c r="T58" i="68" s="1"/>
  <c r="U58" i="68" s="1"/>
  <c r="H65" i="77"/>
  <c r="T65" i="77" s="1"/>
  <c r="U65" i="77" s="1"/>
  <c r="H64" i="77"/>
  <c r="T64" i="77" s="1"/>
  <c r="U64" i="77" s="1"/>
  <c r="H63" i="77"/>
  <c r="T63" i="77" s="1"/>
  <c r="U63" i="77" s="1"/>
  <c r="H62" i="77"/>
  <c r="T62" i="77" s="1"/>
  <c r="U62" i="77" s="1"/>
  <c r="H61" i="77"/>
  <c r="T61" i="77" s="1"/>
  <c r="U61" i="77" s="1"/>
  <c r="H60" i="77"/>
  <c r="T60" i="77" s="1"/>
  <c r="U60" i="77" s="1"/>
  <c r="H59" i="77"/>
  <c r="T59" i="77" s="1"/>
  <c r="U59" i="77" s="1"/>
  <c r="H58" i="77"/>
  <c r="T58" i="77" s="1"/>
  <c r="U58" i="77" s="1"/>
  <c r="H65" i="78"/>
  <c r="T65" i="78" s="1"/>
  <c r="U65" i="78" s="1"/>
  <c r="H64" i="78"/>
  <c r="T64" i="78" s="1"/>
  <c r="U64" i="78" s="1"/>
  <c r="H63" i="78"/>
  <c r="T63" i="78" s="1"/>
  <c r="U63" i="78" s="1"/>
  <c r="H62" i="78"/>
  <c r="T62" i="78" s="1"/>
  <c r="U62" i="78" s="1"/>
  <c r="H61" i="78"/>
  <c r="T61" i="78" s="1"/>
  <c r="U61" i="78" s="1"/>
  <c r="H60" i="78"/>
  <c r="T60" i="78" s="1"/>
  <c r="U60" i="78" s="1"/>
  <c r="H59" i="78"/>
  <c r="T59" i="78" s="1"/>
  <c r="U59" i="78" s="1"/>
  <c r="H58" i="78"/>
  <c r="T58" i="78" s="1"/>
  <c r="U58" i="78" s="1"/>
  <c r="H65" i="30"/>
  <c r="T65" i="30" s="1"/>
  <c r="U65" i="30" s="1"/>
  <c r="H64" i="30"/>
  <c r="T64" i="30" s="1"/>
  <c r="U64" i="30" s="1"/>
  <c r="H63" i="30"/>
  <c r="T63" i="30" s="1"/>
  <c r="U63" i="30" s="1"/>
  <c r="H62" i="30"/>
  <c r="T62" i="30" s="1"/>
  <c r="U62" i="30" s="1"/>
  <c r="H61" i="30"/>
  <c r="T61" i="30" s="1"/>
  <c r="U61" i="30" s="1"/>
  <c r="H60" i="30"/>
  <c r="T60" i="30" s="1"/>
  <c r="U60" i="30" s="1"/>
  <c r="H59" i="30"/>
  <c r="T59" i="30" s="1"/>
  <c r="U59" i="30" s="1"/>
  <c r="H58" i="30"/>
  <c r="T58" i="30" s="1"/>
  <c r="U58" i="30" s="1"/>
  <c r="H57" i="16"/>
  <c r="T57" i="16" s="1"/>
  <c r="U57" i="16" s="1"/>
  <c r="H57" i="17"/>
  <c r="T57" i="17" s="1"/>
  <c r="U57" i="17" s="1"/>
  <c r="H57" i="18"/>
  <c r="T57" i="18" s="1"/>
  <c r="U57" i="18" s="1"/>
  <c r="H57" i="20"/>
  <c r="T57" i="20" s="1"/>
  <c r="U57" i="20" s="1"/>
  <c r="H57" i="21"/>
  <c r="T57" i="21" s="1"/>
  <c r="U57" i="21" s="1"/>
  <c r="H57" i="25"/>
  <c r="T57" i="25" s="1"/>
  <c r="U57" i="25" s="1"/>
  <c r="H57" i="24"/>
  <c r="T57" i="24" s="1"/>
  <c r="U57" i="24" s="1"/>
  <c r="H57" i="22"/>
  <c r="T57" i="22" s="1"/>
  <c r="H57" i="26"/>
  <c r="T57" i="26" s="1"/>
  <c r="U57" i="26" s="1"/>
  <c r="H57" i="27"/>
  <c r="T57" i="27" s="1"/>
  <c r="H57" i="28"/>
  <c r="T57" i="28" s="1"/>
  <c r="U57" i="28" s="1"/>
  <c r="H57" i="31"/>
  <c r="T57" i="31" s="1"/>
  <c r="U57" i="31" s="1"/>
  <c r="H57" i="32"/>
  <c r="T57" i="32" s="1"/>
  <c r="U57" i="32" s="1"/>
  <c r="H57" i="33"/>
  <c r="T57" i="33" s="1"/>
  <c r="U57" i="33" s="1"/>
  <c r="H57" i="34"/>
  <c r="T57" i="34" s="1"/>
  <c r="U57" i="34" s="1"/>
  <c r="H57" i="35"/>
  <c r="T57" i="35" s="1"/>
  <c r="U57" i="35" s="1"/>
  <c r="H57" i="23"/>
  <c r="T57" i="23" s="1"/>
  <c r="U57" i="23" s="1"/>
  <c r="H57" i="36"/>
  <c r="T57" i="36" s="1"/>
  <c r="U57" i="36" s="1"/>
  <c r="H57" i="37"/>
  <c r="T57" i="37" s="1"/>
  <c r="U57" i="37" s="1"/>
  <c r="H57" i="38"/>
  <c r="T57" i="38" s="1"/>
  <c r="H57" i="39"/>
  <c r="T57" i="39" s="1"/>
  <c r="U57" i="39" s="1"/>
  <c r="H57" i="40"/>
  <c r="T57" i="40" s="1"/>
  <c r="U57" i="40" s="1"/>
  <c r="H57" i="42"/>
  <c r="T57" i="42" s="1"/>
  <c r="U57" i="42" s="1"/>
  <c r="H57" i="43"/>
  <c r="T57" i="43" s="1"/>
  <c r="U57" i="43" s="1"/>
  <c r="H57" i="44"/>
  <c r="T57" i="44" s="1"/>
  <c r="U57" i="44" s="1"/>
  <c r="H57" i="45"/>
  <c r="T57" i="45" s="1"/>
  <c r="U57" i="45" s="1"/>
  <c r="H57" i="47"/>
  <c r="T57" i="47" s="1"/>
  <c r="U57" i="47" s="1"/>
  <c r="H57" i="48"/>
  <c r="T57" i="48" s="1"/>
  <c r="U57" i="48" s="1"/>
  <c r="H57" i="50"/>
  <c r="T57" i="50" s="1"/>
  <c r="U57" i="50" s="1"/>
  <c r="H57" i="51"/>
  <c r="T57" i="51" s="1"/>
  <c r="U57" i="51" s="1"/>
  <c r="H57" i="52"/>
  <c r="T57" i="52" s="1"/>
  <c r="U57" i="52" s="1"/>
  <c r="H57" i="75"/>
  <c r="T57" i="75" s="1"/>
  <c r="U57" i="75" s="1"/>
  <c r="H57" i="76"/>
  <c r="T57" i="76" s="1"/>
  <c r="U57" i="76" s="1"/>
  <c r="H57" i="55"/>
  <c r="T57" i="55" s="1"/>
  <c r="U57" i="55" s="1"/>
  <c r="H57" i="56"/>
  <c r="T57" i="56" s="1"/>
  <c r="U57" i="56" s="1"/>
  <c r="H57" i="57"/>
  <c r="T57" i="57" s="1"/>
  <c r="U57" i="57" s="1"/>
  <c r="H57" i="58"/>
  <c r="T57" i="58" s="1"/>
  <c r="U57" i="58" s="1"/>
  <c r="H57" i="66"/>
  <c r="T57" i="66" s="1"/>
  <c r="U57" i="66" s="1"/>
  <c r="H57" i="67"/>
  <c r="T57" i="67" s="1"/>
  <c r="U57" i="67" s="1"/>
  <c r="H57" i="69"/>
  <c r="T57" i="69" s="1"/>
  <c r="U57" i="69" s="1"/>
  <c r="H57" i="70"/>
  <c r="T57" i="70" s="1"/>
  <c r="U57" i="70" s="1"/>
  <c r="H57" i="71"/>
  <c r="T57" i="71" s="1"/>
  <c r="U57" i="71" s="1"/>
  <c r="H57" i="68"/>
  <c r="T57" i="68" s="1"/>
  <c r="U57" i="68" s="1"/>
  <c r="H57" i="77"/>
  <c r="T57" i="77" s="1"/>
  <c r="U57" i="77" s="1"/>
  <c r="H57" i="78"/>
  <c r="T57" i="78" s="1"/>
  <c r="U57" i="78" s="1"/>
  <c r="H57" i="30"/>
  <c r="T57" i="30" s="1"/>
  <c r="U57" i="30" s="1"/>
  <c r="D66" i="16"/>
  <c r="C66" i="16"/>
  <c r="E62" i="16"/>
  <c r="E61" i="16"/>
  <c r="E60" i="16"/>
  <c r="E59" i="16"/>
  <c r="I59" i="16" s="1"/>
  <c r="E58" i="16"/>
  <c r="E57" i="16"/>
  <c r="D66" i="17"/>
  <c r="E63" i="17" s="1"/>
  <c r="C66" i="17"/>
  <c r="E62" i="17"/>
  <c r="E61" i="17"/>
  <c r="E60" i="17"/>
  <c r="E59" i="17"/>
  <c r="I59" i="17" s="1"/>
  <c r="E58" i="17"/>
  <c r="I58" i="17" s="1"/>
  <c r="E57" i="17"/>
  <c r="D66" i="18"/>
  <c r="C66" i="18"/>
  <c r="E65" i="18"/>
  <c r="I65" i="18" s="1"/>
  <c r="E64" i="18"/>
  <c r="E63" i="18"/>
  <c r="E62" i="18"/>
  <c r="E61" i="18"/>
  <c r="E60" i="18"/>
  <c r="E58" i="18"/>
  <c r="E57" i="18"/>
  <c r="D66" i="20"/>
  <c r="C66" i="20"/>
  <c r="E65" i="20"/>
  <c r="I65" i="20" s="1"/>
  <c r="E64" i="20"/>
  <c r="E63" i="20"/>
  <c r="E62" i="20"/>
  <c r="E61" i="20"/>
  <c r="I61" i="20" s="1"/>
  <c r="E60" i="20"/>
  <c r="E59" i="20"/>
  <c r="E58" i="20"/>
  <c r="E57" i="20"/>
  <c r="D66" i="21"/>
  <c r="C66" i="21"/>
  <c r="E65" i="21"/>
  <c r="E64" i="21"/>
  <c r="E63" i="21"/>
  <c r="E62" i="21"/>
  <c r="D66" i="25"/>
  <c r="C66" i="25"/>
  <c r="C66" i="24"/>
  <c r="I61" i="24"/>
  <c r="I60" i="24"/>
  <c r="I58" i="24"/>
  <c r="D66" i="22"/>
  <c r="C66" i="22"/>
  <c r="D66" i="26"/>
  <c r="C66" i="26"/>
  <c r="D66" i="27"/>
  <c r="C66" i="27"/>
  <c r="D66" i="28"/>
  <c r="C66" i="28"/>
  <c r="D66" i="31"/>
  <c r="E61" i="31" s="1"/>
  <c r="C66" i="31"/>
  <c r="D66" i="32"/>
  <c r="C66" i="32"/>
  <c r="D66" i="33"/>
  <c r="C66" i="33"/>
  <c r="D66" i="34"/>
  <c r="C66" i="34"/>
  <c r="D66" i="35"/>
  <c r="C66" i="35"/>
  <c r="D66" i="23"/>
  <c r="C66" i="23"/>
  <c r="D66" i="36"/>
  <c r="C66" i="36"/>
  <c r="D66" i="37"/>
  <c r="C66" i="37"/>
  <c r="D66" i="38"/>
  <c r="C66" i="38"/>
  <c r="D66" i="39"/>
  <c r="C66" i="39"/>
  <c r="D66" i="40"/>
  <c r="C66" i="40"/>
  <c r="D66" i="42"/>
  <c r="C66" i="42"/>
  <c r="D66" i="43"/>
  <c r="C66" i="43"/>
  <c r="D66" i="44"/>
  <c r="C66" i="44"/>
  <c r="D66" i="45"/>
  <c r="C66" i="45"/>
  <c r="D66" i="47"/>
  <c r="C66" i="47"/>
  <c r="D66" i="48"/>
  <c r="C66" i="48"/>
  <c r="D66" i="50"/>
  <c r="C66" i="50"/>
  <c r="E65" i="50"/>
  <c r="E64" i="50"/>
  <c r="E63" i="50"/>
  <c r="I61" i="50"/>
  <c r="I60" i="50"/>
  <c r="E59" i="50"/>
  <c r="I59" i="50" s="1"/>
  <c r="E58" i="50"/>
  <c r="E57" i="50"/>
  <c r="D66" i="51"/>
  <c r="C66" i="51"/>
  <c r="D66" i="52"/>
  <c r="C66" i="52"/>
  <c r="D66" i="75"/>
  <c r="E57" i="75" s="1"/>
  <c r="C66" i="75"/>
  <c r="D66" i="76"/>
  <c r="C66" i="76"/>
  <c r="D66" i="55"/>
  <c r="C66" i="55"/>
  <c r="D66" i="56"/>
  <c r="C66" i="56"/>
  <c r="D66" i="57"/>
  <c r="E62" i="57" s="1"/>
  <c r="C66" i="57"/>
  <c r="D66" i="58"/>
  <c r="C66" i="58"/>
  <c r="D66" i="66"/>
  <c r="C66" i="66"/>
  <c r="D66" i="67"/>
  <c r="C66" i="67"/>
  <c r="D66" i="69"/>
  <c r="C66" i="69"/>
  <c r="D66" i="70"/>
  <c r="C66" i="70"/>
  <c r="D66" i="71"/>
  <c r="C66" i="71"/>
  <c r="D66" i="68"/>
  <c r="C66" i="68"/>
  <c r="D66" i="77"/>
  <c r="C66" i="77"/>
  <c r="D66" i="78"/>
  <c r="C66" i="78"/>
  <c r="D66" i="30"/>
  <c r="C66" i="30"/>
  <c r="D66" i="7"/>
  <c r="E65" i="7" s="1"/>
  <c r="C66" i="7"/>
  <c r="E62" i="7"/>
  <c r="E61" i="7"/>
  <c r="E60" i="7"/>
  <c r="E59" i="7"/>
  <c r="E58" i="7"/>
  <c r="E57" i="7"/>
  <c r="D54" i="16"/>
  <c r="C54" i="16"/>
  <c r="D54" i="17"/>
  <c r="C54" i="17"/>
  <c r="D54" i="18"/>
  <c r="C54" i="18"/>
  <c r="D54" i="20"/>
  <c r="C54" i="20"/>
  <c r="D54" i="21"/>
  <c r="C54" i="21"/>
  <c r="D54" i="25"/>
  <c r="C54" i="25"/>
  <c r="D54" i="24"/>
  <c r="C54" i="24"/>
  <c r="D54" i="22"/>
  <c r="C54" i="22"/>
  <c r="D54" i="26"/>
  <c r="C54" i="26"/>
  <c r="D54" i="27"/>
  <c r="C54" i="27"/>
  <c r="D54" i="28"/>
  <c r="C54" i="28"/>
  <c r="D54" i="31"/>
  <c r="C54" i="31"/>
  <c r="D54" i="32"/>
  <c r="C54" i="32"/>
  <c r="D54" i="33"/>
  <c r="C54" i="33"/>
  <c r="D54" i="34"/>
  <c r="C54" i="34"/>
  <c r="D54" i="35"/>
  <c r="C54" i="35"/>
  <c r="D54" i="23"/>
  <c r="C54" i="23"/>
  <c r="D54" i="36"/>
  <c r="C54" i="36"/>
  <c r="D54" i="37"/>
  <c r="C54" i="37"/>
  <c r="D54" i="38"/>
  <c r="C54" i="38"/>
  <c r="D54" i="39"/>
  <c r="C54" i="39"/>
  <c r="D54" i="40"/>
  <c r="C54" i="40"/>
  <c r="D54" i="42"/>
  <c r="C54" i="42"/>
  <c r="D54" i="43"/>
  <c r="C54" i="43"/>
  <c r="D54" i="44"/>
  <c r="C54" i="44"/>
  <c r="D54" i="45"/>
  <c r="C54" i="45"/>
  <c r="D54" i="47"/>
  <c r="C54" i="47"/>
  <c r="D54" i="48"/>
  <c r="C54" i="48"/>
  <c r="D54" i="50"/>
  <c r="C54" i="50"/>
  <c r="D54" i="51"/>
  <c r="C54" i="51"/>
  <c r="D54" i="52"/>
  <c r="C54" i="52"/>
  <c r="D54" i="75"/>
  <c r="C54" i="75"/>
  <c r="D54" i="76"/>
  <c r="C54" i="76"/>
  <c r="D54" i="55"/>
  <c r="C54" i="55"/>
  <c r="D54" i="56"/>
  <c r="C54" i="56"/>
  <c r="D54" i="57"/>
  <c r="C54" i="57"/>
  <c r="D54" i="58"/>
  <c r="C54" i="58"/>
  <c r="D54" i="66"/>
  <c r="C54" i="66"/>
  <c r="D54" i="67"/>
  <c r="C54" i="67"/>
  <c r="D54" i="69"/>
  <c r="C54" i="69"/>
  <c r="D54" i="70"/>
  <c r="C54" i="70"/>
  <c r="D54" i="71"/>
  <c r="C54" i="71"/>
  <c r="D54" i="68"/>
  <c r="C54" i="68"/>
  <c r="D54" i="77"/>
  <c r="C54" i="77"/>
  <c r="D54" i="78"/>
  <c r="C54" i="78"/>
  <c r="D54" i="30"/>
  <c r="C54" i="30"/>
  <c r="D56" i="16"/>
  <c r="C56" i="16"/>
  <c r="D55" i="16"/>
  <c r="C55" i="16"/>
  <c r="D56" i="17"/>
  <c r="C56" i="17"/>
  <c r="D55" i="17"/>
  <c r="C55" i="17"/>
  <c r="D56" i="18"/>
  <c r="C56" i="18"/>
  <c r="D55" i="18"/>
  <c r="C55" i="18"/>
  <c r="D56" i="20"/>
  <c r="C56" i="20"/>
  <c r="D55" i="20"/>
  <c r="C55" i="20"/>
  <c r="D56" i="21"/>
  <c r="C56" i="21"/>
  <c r="D55" i="21"/>
  <c r="C55" i="21"/>
  <c r="D56" i="25"/>
  <c r="C56" i="25"/>
  <c r="D55" i="25"/>
  <c r="C55" i="25"/>
  <c r="D56" i="24"/>
  <c r="C56" i="24"/>
  <c r="D55" i="24"/>
  <c r="C55" i="24"/>
  <c r="D56" i="22"/>
  <c r="C56" i="22"/>
  <c r="D55" i="22"/>
  <c r="C55" i="22"/>
  <c r="D56" i="26"/>
  <c r="C56" i="26"/>
  <c r="D55" i="26"/>
  <c r="C55" i="26"/>
  <c r="D56" i="27"/>
  <c r="C56" i="27"/>
  <c r="D55" i="27"/>
  <c r="C55" i="27"/>
  <c r="D56" i="28"/>
  <c r="C56" i="28"/>
  <c r="D55" i="28"/>
  <c r="C55" i="28"/>
  <c r="D56" i="31"/>
  <c r="C56" i="31"/>
  <c r="D55" i="31"/>
  <c r="C55" i="31"/>
  <c r="D56" i="32"/>
  <c r="C56" i="32"/>
  <c r="D55" i="32"/>
  <c r="C55" i="32"/>
  <c r="D56" i="33"/>
  <c r="C56" i="33"/>
  <c r="D55" i="33"/>
  <c r="C55" i="33"/>
  <c r="D56" i="34"/>
  <c r="C56" i="34"/>
  <c r="D55" i="34"/>
  <c r="C55" i="34"/>
  <c r="D56" i="35"/>
  <c r="C56" i="35"/>
  <c r="D55" i="35"/>
  <c r="C55" i="35"/>
  <c r="D56" i="23"/>
  <c r="C56" i="23"/>
  <c r="D55" i="23"/>
  <c r="C55" i="23"/>
  <c r="D56" i="36"/>
  <c r="C56" i="36"/>
  <c r="D55" i="36"/>
  <c r="C55" i="36"/>
  <c r="D56" i="37"/>
  <c r="C56" i="37"/>
  <c r="D55" i="37"/>
  <c r="C55" i="37"/>
  <c r="D56" i="38"/>
  <c r="C56" i="38"/>
  <c r="D55" i="38"/>
  <c r="C55" i="38"/>
  <c r="D56" i="39"/>
  <c r="C56" i="39"/>
  <c r="D55" i="39"/>
  <c r="C55" i="39"/>
  <c r="D56" i="40"/>
  <c r="C56" i="40"/>
  <c r="D55" i="40"/>
  <c r="C55" i="40"/>
  <c r="D56" i="42"/>
  <c r="C56" i="42"/>
  <c r="D55" i="42"/>
  <c r="C55" i="42"/>
  <c r="D56" i="43"/>
  <c r="C56" i="43"/>
  <c r="D55" i="43"/>
  <c r="C55" i="43"/>
  <c r="D56" i="44"/>
  <c r="C56" i="44"/>
  <c r="D55" i="44"/>
  <c r="C55" i="44"/>
  <c r="D56" i="45"/>
  <c r="C56" i="45"/>
  <c r="D55" i="45"/>
  <c r="C55" i="45"/>
  <c r="D56" i="47"/>
  <c r="C56" i="47"/>
  <c r="D55" i="47"/>
  <c r="C55" i="47"/>
  <c r="D56" i="48"/>
  <c r="C56" i="48"/>
  <c r="D55" i="48"/>
  <c r="C55" i="48"/>
  <c r="D56" i="50"/>
  <c r="C56" i="50"/>
  <c r="D55" i="50"/>
  <c r="C55" i="50"/>
  <c r="D56" i="51"/>
  <c r="C56" i="51"/>
  <c r="D55" i="51"/>
  <c r="C55" i="51"/>
  <c r="D56" i="52"/>
  <c r="C56" i="52"/>
  <c r="D55" i="52"/>
  <c r="C55" i="52"/>
  <c r="D56" i="75"/>
  <c r="C56" i="75"/>
  <c r="D55" i="75"/>
  <c r="C55" i="75"/>
  <c r="D56" i="76"/>
  <c r="C56" i="76"/>
  <c r="D55" i="76"/>
  <c r="C55" i="76"/>
  <c r="D56" i="55"/>
  <c r="C56" i="55"/>
  <c r="D55" i="55"/>
  <c r="C55" i="55"/>
  <c r="D56" i="56"/>
  <c r="C56" i="56"/>
  <c r="D55" i="56"/>
  <c r="C55" i="56"/>
  <c r="D56" i="57"/>
  <c r="C56" i="57"/>
  <c r="D55" i="57"/>
  <c r="C55" i="57"/>
  <c r="D56" i="58"/>
  <c r="C56" i="58"/>
  <c r="D55" i="58"/>
  <c r="C55" i="58"/>
  <c r="D56" i="66"/>
  <c r="C56" i="66"/>
  <c r="D55" i="66"/>
  <c r="C55" i="66"/>
  <c r="D56" i="67"/>
  <c r="C56" i="67"/>
  <c r="D55" i="67"/>
  <c r="C55" i="67"/>
  <c r="D56" i="69"/>
  <c r="C56" i="69"/>
  <c r="D55" i="69"/>
  <c r="C55" i="69"/>
  <c r="D56" i="70"/>
  <c r="C56" i="70"/>
  <c r="D55" i="70"/>
  <c r="C55" i="70"/>
  <c r="D56" i="71"/>
  <c r="C56" i="71"/>
  <c r="D55" i="71"/>
  <c r="C55" i="71"/>
  <c r="D56" i="68"/>
  <c r="C56" i="68"/>
  <c r="D55" i="68"/>
  <c r="C55" i="68"/>
  <c r="D56" i="77"/>
  <c r="C56" i="77"/>
  <c r="D55" i="77"/>
  <c r="C55" i="77"/>
  <c r="D56" i="78"/>
  <c r="C56" i="78"/>
  <c r="D55" i="78"/>
  <c r="C55" i="78"/>
  <c r="D56" i="30"/>
  <c r="C56" i="30"/>
  <c r="D55" i="30"/>
  <c r="C55" i="30"/>
  <c r="D12" i="16"/>
  <c r="D11" i="16"/>
  <c r="D10" i="16"/>
  <c r="D12" i="17"/>
  <c r="D11" i="17"/>
  <c r="D10" i="17"/>
  <c r="D12" i="18"/>
  <c r="D11" i="18"/>
  <c r="D10" i="18"/>
  <c r="D12" i="20"/>
  <c r="D11" i="20"/>
  <c r="D10" i="20"/>
  <c r="D12" i="21"/>
  <c r="D11" i="21"/>
  <c r="D10" i="21"/>
  <c r="D12" i="25"/>
  <c r="D11" i="25"/>
  <c r="D10" i="25"/>
  <c r="D12" i="24"/>
  <c r="D11" i="24"/>
  <c r="D10" i="24"/>
  <c r="D12" i="22"/>
  <c r="D11" i="22"/>
  <c r="D10" i="22"/>
  <c r="D12" i="26"/>
  <c r="D11" i="26"/>
  <c r="D10" i="26"/>
  <c r="D12" i="27"/>
  <c r="D11" i="27"/>
  <c r="D10" i="27"/>
  <c r="D12" i="28"/>
  <c r="D11" i="28"/>
  <c r="D10" i="28"/>
  <c r="D12" i="31"/>
  <c r="D11" i="31"/>
  <c r="D10" i="31"/>
  <c r="D12" i="32"/>
  <c r="D11" i="32"/>
  <c r="D10" i="32"/>
  <c r="D12" i="33"/>
  <c r="D11" i="33"/>
  <c r="D10" i="33"/>
  <c r="D12" i="34"/>
  <c r="D11" i="34"/>
  <c r="D10" i="34"/>
  <c r="D12" i="35"/>
  <c r="D11" i="35"/>
  <c r="D10" i="35"/>
  <c r="D12" i="23"/>
  <c r="D11" i="23"/>
  <c r="D10" i="23"/>
  <c r="D12" i="36"/>
  <c r="D11" i="36"/>
  <c r="D10" i="36"/>
  <c r="D12" i="37"/>
  <c r="D11" i="37"/>
  <c r="D10" i="37"/>
  <c r="D12" i="38"/>
  <c r="D11" i="38"/>
  <c r="D10" i="38"/>
  <c r="D12" i="39"/>
  <c r="D11" i="39"/>
  <c r="D10" i="39"/>
  <c r="D12" i="40"/>
  <c r="D11" i="40"/>
  <c r="D10" i="40"/>
  <c r="D12" i="42"/>
  <c r="D11" i="42"/>
  <c r="D10" i="42"/>
  <c r="D12" i="43"/>
  <c r="D11" i="43"/>
  <c r="D10" i="43"/>
  <c r="D12" i="44"/>
  <c r="D11" i="44"/>
  <c r="D10" i="44"/>
  <c r="D12" i="45"/>
  <c r="D11" i="45"/>
  <c r="D10" i="45"/>
  <c r="D12" i="47"/>
  <c r="D11" i="47"/>
  <c r="D10" i="47"/>
  <c r="D12" i="48"/>
  <c r="D11" i="48"/>
  <c r="D10" i="48"/>
  <c r="D12" i="50"/>
  <c r="D11" i="50"/>
  <c r="D10" i="50"/>
  <c r="D12" i="51"/>
  <c r="D11" i="51"/>
  <c r="D10" i="51"/>
  <c r="D12" i="52"/>
  <c r="D11" i="52"/>
  <c r="D10" i="52"/>
  <c r="D12" i="75"/>
  <c r="D11" i="75"/>
  <c r="D10" i="75"/>
  <c r="D12" i="76"/>
  <c r="D11" i="76"/>
  <c r="D10" i="76"/>
  <c r="D12" i="55"/>
  <c r="D11" i="55"/>
  <c r="D10" i="55"/>
  <c r="D12" i="56"/>
  <c r="D11" i="56"/>
  <c r="D10" i="56"/>
  <c r="D12" i="57"/>
  <c r="D11" i="57"/>
  <c r="D10" i="57"/>
  <c r="D12" i="58"/>
  <c r="D11" i="58"/>
  <c r="D10" i="58"/>
  <c r="D12" i="66"/>
  <c r="D11" i="66"/>
  <c r="D10" i="66"/>
  <c r="D12" i="67"/>
  <c r="D11" i="67"/>
  <c r="D10" i="67"/>
  <c r="D12" i="69"/>
  <c r="D11" i="69"/>
  <c r="D10" i="69"/>
  <c r="D12" i="70"/>
  <c r="D11" i="70"/>
  <c r="D10" i="70"/>
  <c r="D12" i="71"/>
  <c r="D11" i="71"/>
  <c r="D10" i="71"/>
  <c r="D12" i="68"/>
  <c r="D10" i="68"/>
  <c r="D12" i="77"/>
  <c r="D11" i="77"/>
  <c r="D10" i="77"/>
  <c r="D12" i="78"/>
  <c r="D11" i="78"/>
  <c r="D10" i="78"/>
  <c r="D12" i="30"/>
  <c r="D11" i="30"/>
  <c r="D10" i="30"/>
  <c r="C12" i="16"/>
  <c r="C11" i="16"/>
  <c r="C12" i="17"/>
  <c r="C11" i="17"/>
  <c r="C12" i="18"/>
  <c r="C11" i="18"/>
  <c r="C12" i="20"/>
  <c r="C11" i="20"/>
  <c r="C12" i="21"/>
  <c r="C11" i="21"/>
  <c r="C12" i="25"/>
  <c r="C11" i="25"/>
  <c r="C12" i="24"/>
  <c r="C11" i="24"/>
  <c r="C12" i="22"/>
  <c r="C11" i="22"/>
  <c r="C12" i="26"/>
  <c r="C11" i="26"/>
  <c r="C12" i="27"/>
  <c r="C11" i="27"/>
  <c r="C12" i="28"/>
  <c r="C11" i="28"/>
  <c r="C12" i="31"/>
  <c r="C11" i="31"/>
  <c r="C12" i="32"/>
  <c r="C11" i="32"/>
  <c r="C12" i="33"/>
  <c r="C11" i="33"/>
  <c r="C12" i="34"/>
  <c r="C11" i="34"/>
  <c r="C12" i="35"/>
  <c r="C11" i="35"/>
  <c r="C12" i="23"/>
  <c r="C11" i="23"/>
  <c r="C12" i="36"/>
  <c r="C11" i="36"/>
  <c r="C12" i="37"/>
  <c r="C11" i="37"/>
  <c r="C12" i="38"/>
  <c r="C11" i="38"/>
  <c r="C12" i="39"/>
  <c r="C11" i="39"/>
  <c r="C12" i="40"/>
  <c r="C11" i="40"/>
  <c r="C12" i="42"/>
  <c r="C11" i="42"/>
  <c r="C12" i="43"/>
  <c r="C11" i="43"/>
  <c r="C12" i="44"/>
  <c r="C11" i="44"/>
  <c r="C12" i="45"/>
  <c r="C11" i="45"/>
  <c r="C12" i="47"/>
  <c r="C11" i="47"/>
  <c r="C12" i="48"/>
  <c r="C11" i="48"/>
  <c r="C12" i="50"/>
  <c r="C11" i="50"/>
  <c r="C12" i="51"/>
  <c r="C11" i="51"/>
  <c r="C12" i="52"/>
  <c r="C11" i="52"/>
  <c r="C12" i="75"/>
  <c r="C11" i="75"/>
  <c r="C12" i="76"/>
  <c r="C11" i="76"/>
  <c r="C12" i="55"/>
  <c r="C11" i="55"/>
  <c r="C12" i="56"/>
  <c r="C11" i="56"/>
  <c r="C12" i="57"/>
  <c r="C11" i="57"/>
  <c r="C12" i="58"/>
  <c r="C11" i="58"/>
  <c r="C12" i="66"/>
  <c r="C11" i="66"/>
  <c r="C12" i="67"/>
  <c r="C11" i="67"/>
  <c r="C12" i="69"/>
  <c r="C11" i="69"/>
  <c r="C12" i="70"/>
  <c r="C11" i="70"/>
  <c r="C12" i="71"/>
  <c r="C11" i="71"/>
  <c r="C12" i="68"/>
  <c r="C12" i="77"/>
  <c r="C11" i="77"/>
  <c r="C12" i="78"/>
  <c r="C11" i="78"/>
  <c r="C12" i="30"/>
  <c r="C11" i="30"/>
  <c r="C10" i="16"/>
  <c r="C10" i="17"/>
  <c r="C10" i="18"/>
  <c r="C10" i="20"/>
  <c r="C10" i="21"/>
  <c r="C10" i="25"/>
  <c r="C10" i="24"/>
  <c r="C10" i="22"/>
  <c r="C10" i="26"/>
  <c r="C10" i="27"/>
  <c r="C10" i="28"/>
  <c r="C10" i="31"/>
  <c r="C10" i="32"/>
  <c r="C10" i="33"/>
  <c r="C10" i="34"/>
  <c r="C10" i="35"/>
  <c r="C10" i="23"/>
  <c r="C10" i="36"/>
  <c r="C10" i="37"/>
  <c r="C10" i="38"/>
  <c r="C10" i="39"/>
  <c r="C10" i="40"/>
  <c r="C10" i="42"/>
  <c r="C10" i="43"/>
  <c r="C10" i="44"/>
  <c r="C10" i="45"/>
  <c r="C10" i="47"/>
  <c r="C10" i="48"/>
  <c r="C10" i="50"/>
  <c r="C10" i="51"/>
  <c r="C10" i="52"/>
  <c r="C10" i="75"/>
  <c r="C10" i="76"/>
  <c r="C10" i="55"/>
  <c r="C10" i="56"/>
  <c r="C10" i="57"/>
  <c r="C10" i="58"/>
  <c r="C10" i="66"/>
  <c r="C10" i="67"/>
  <c r="C10" i="69"/>
  <c r="C10" i="70"/>
  <c r="C10" i="71"/>
  <c r="C10" i="68"/>
  <c r="C10" i="77"/>
  <c r="C10" i="78"/>
  <c r="C10" i="30"/>
  <c r="E65" i="16" l="1"/>
  <c r="E64" i="16"/>
  <c r="I57" i="20"/>
  <c r="I64" i="18"/>
  <c r="E58" i="43"/>
  <c r="E57" i="43"/>
  <c r="E65" i="43"/>
  <c r="E60" i="43"/>
  <c r="E64" i="43"/>
  <c r="I64" i="43" s="1"/>
  <c r="E63" i="43"/>
  <c r="I63" i="43" s="1"/>
  <c r="E62" i="43"/>
  <c r="I62" i="43" s="1"/>
  <c r="E61" i="43"/>
  <c r="I61" i="43" s="1"/>
  <c r="E59" i="43"/>
  <c r="I59" i="43" s="1"/>
  <c r="E64" i="7"/>
  <c r="I64" i="7" s="1"/>
  <c r="E63" i="7"/>
  <c r="E62" i="23"/>
  <c r="E59" i="23"/>
  <c r="I59" i="23" s="1"/>
  <c r="E61" i="23"/>
  <c r="I61" i="23" s="1"/>
  <c r="E60" i="23"/>
  <c r="E58" i="23"/>
  <c r="E57" i="23"/>
  <c r="I57" i="23" s="1"/>
  <c r="E64" i="23"/>
  <c r="I64" i="23" s="1"/>
  <c r="E65" i="23"/>
  <c r="I65" i="23" s="1"/>
  <c r="E63" i="23"/>
  <c r="I63" i="23" s="1"/>
  <c r="E62" i="28"/>
  <c r="I62" i="28" s="1"/>
  <c r="E59" i="28"/>
  <c r="I59" i="28" s="1"/>
  <c r="E61" i="28"/>
  <c r="I61" i="28" s="1"/>
  <c r="E60" i="28"/>
  <c r="I60" i="28" s="1"/>
  <c r="E58" i="28"/>
  <c r="I58" i="28" s="1"/>
  <c r="E57" i="28"/>
  <c r="E64" i="28"/>
  <c r="E65" i="28"/>
  <c r="E63" i="28"/>
  <c r="I63" i="28" s="1"/>
  <c r="E65" i="22"/>
  <c r="I65" i="22" s="1"/>
  <c r="E64" i="22"/>
  <c r="I64" i="22" s="1"/>
  <c r="E58" i="22"/>
  <c r="E63" i="22"/>
  <c r="I63" i="22" s="1"/>
  <c r="E62" i="22"/>
  <c r="I62" i="22" s="1"/>
  <c r="E61" i="22"/>
  <c r="I61" i="22" s="1"/>
  <c r="E60" i="22"/>
  <c r="E59" i="22"/>
  <c r="E57" i="22"/>
  <c r="E62" i="77"/>
  <c r="I62" i="77" s="1"/>
  <c r="E61" i="77"/>
  <c r="I61" i="77" s="1"/>
  <c r="E59" i="77"/>
  <c r="I59" i="77" s="1"/>
  <c r="E60" i="77"/>
  <c r="I60" i="77" s="1"/>
  <c r="E58" i="77"/>
  <c r="I58" i="77" s="1"/>
  <c r="E57" i="77"/>
  <c r="I57" i="77" s="1"/>
  <c r="E64" i="77"/>
  <c r="I64" i="77" s="1"/>
  <c r="E65" i="77"/>
  <c r="I65" i="77" s="1"/>
  <c r="E63" i="77"/>
  <c r="I63" i="77" s="1"/>
  <c r="E63" i="70"/>
  <c r="I63" i="70" s="1"/>
  <c r="E65" i="70"/>
  <c r="E64" i="70"/>
  <c r="E62" i="70"/>
  <c r="I62" i="70" s="1"/>
  <c r="E61" i="70"/>
  <c r="I61" i="70" s="1"/>
  <c r="E60" i="70"/>
  <c r="E59" i="70"/>
  <c r="I59" i="70" s="1"/>
  <c r="E58" i="70"/>
  <c r="I58" i="70" s="1"/>
  <c r="E57" i="70"/>
  <c r="I57" i="70" s="1"/>
  <c r="E58" i="57"/>
  <c r="I58" i="57" s="1"/>
  <c r="E57" i="57"/>
  <c r="E60" i="57"/>
  <c r="I60" i="57" s="1"/>
  <c r="E65" i="57"/>
  <c r="I65" i="57" s="1"/>
  <c r="E64" i="57"/>
  <c r="I64" i="57" s="1"/>
  <c r="E63" i="57"/>
  <c r="E61" i="57"/>
  <c r="E59" i="57"/>
  <c r="I59" i="57" s="1"/>
  <c r="E65" i="51"/>
  <c r="I65" i="51" s="1"/>
  <c r="E64" i="51"/>
  <c r="I64" i="51" s="1"/>
  <c r="E63" i="51"/>
  <c r="I63" i="51" s="1"/>
  <c r="E62" i="51"/>
  <c r="I62" i="51" s="1"/>
  <c r="E61" i="51"/>
  <c r="I61" i="51" s="1"/>
  <c r="E60" i="51"/>
  <c r="E59" i="51"/>
  <c r="I59" i="51" s="1"/>
  <c r="E58" i="51"/>
  <c r="E57" i="51"/>
  <c r="E64" i="33"/>
  <c r="I64" i="33" s="1"/>
  <c r="E63" i="33"/>
  <c r="E62" i="33"/>
  <c r="I62" i="33" s="1"/>
  <c r="E61" i="33"/>
  <c r="I61" i="33" s="1"/>
  <c r="E60" i="33"/>
  <c r="I60" i="33" s="1"/>
  <c r="E58" i="33"/>
  <c r="I58" i="33" s="1"/>
  <c r="E59" i="33"/>
  <c r="E57" i="33"/>
  <c r="I57" i="33" s="1"/>
  <c r="E65" i="33"/>
  <c r="I65" i="33" s="1"/>
  <c r="E59" i="21"/>
  <c r="I59" i="21" s="1"/>
  <c r="E58" i="21"/>
  <c r="E57" i="21"/>
  <c r="I57" i="21" s="1"/>
  <c r="E61" i="21"/>
  <c r="I61" i="21" s="1"/>
  <c r="E60" i="21"/>
  <c r="E62" i="76"/>
  <c r="I62" i="76" s="1"/>
  <c r="E61" i="76"/>
  <c r="I61" i="76" s="1"/>
  <c r="E60" i="76"/>
  <c r="I60" i="76" s="1"/>
  <c r="E58" i="76"/>
  <c r="I58" i="76" s="1"/>
  <c r="E57" i="76"/>
  <c r="I57" i="76" s="1"/>
  <c r="E64" i="76"/>
  <c r="I64" i="76" s="1"/>
  <c r="E65" i="76"/>
  <c r="E63" i="76"/>
  <c r="I63" i="76" s="1"/>
  <c r="E59" i="76"/>
  <c r="E62" i="45"/>
  <c r="E61" i="45"/>
  <c r="I61" i="45" s="1"/>
  <c r="E60" i="45"/>
  <c r="I60" i="45" s="1"/>
  <c r="E58" i="45"/>
  <c r="I58" i="45" s="1"/>
  <c r="E57" i="45"/>
  <c r="E64" i="45"/>
  <c r="I64" i="45" s="1"/>
  <c r="E65" i="45"/>
  <c r="I65" i="45" s="1"/>
  <c r="E63" i="45"/>
  <c r="I63" i="45" s="1"/>
  <c r="E59" i="45"/>
  <c r="I59" i="45" s="1"/>
  <c r="E65" i="42"/>
  <c r="I65" i="42" s="1"/>
  <c r="E64" i="42"/>
  <c r="E63" i="42"/>
  <c r="E62" i="42"/>
  <c r="E61" i="42"/>
  <c r="E60" i="42"/>
  <c r="I60" i="42" s="1"/>
  <c r="E58" i="42"/>
  <c r="I58" i="42" s="1"/>
  <c r="E59" i="42"/>
  <c r="I59" i="42" s="1"/>
  <c r="E57" i="42"/>
  <c r="I57" i="42" s="1"/>
  <c r="E61" i="66"/>
  <c r="I61" i="66" s="1"/>
  <c r="E60" i="66"/>
  <c r="I60" i="66" s="1"/>
  <c r="E59" i="66"/>
  <c r="I59" i="66" s="1"/>
  <c r="E57" i="66"/>
  <c r="E65" i="66"/>
  <c r="I65" i="66" s="1"/>
  <c r="E64" i="66"/>
  <c r="E63" i="66"/>
  <c r="E62" i="66"/>
  <c r="I62" i="66" s="1"/>
  <c r="E58" i="66"/>
  <c r="I58" i="66" s="1"/>
  <c r="E65" i="37"/>
  <c r="I65" i="37" s="1"/>
  <c r="E64" i="37"/>
  <c r="I64" i="37" s="1"/>
  <c r="E62" i="37"/>
  <c r="I62" i="37" s="1"/>
  <c r="E61" i="37"/>
  <c r="I61" i="37" s="1"/>
  <c r="E60" i="37"/>
  <c r="I60" i="37" s="1"/>
  <c r="E59" i="37"/>
  <c r="I59" i="37" s="1"/>
  <c r="E58" i="37"/>
  <c r="E57" i="37"/>
  <c r="E63" i="37"/>
  <c r="E57" i="48"/>
  <c r="I57" i="48" s="1"/>
  <c r="E65" i="48"/>
  <c r="I65" i="48" s="1"/>
  <c r="E64" i="48"/>
  <c r="E63" i="48"/>
  <c r="E62" i="48"/>
  <c r="I62" i="48" s="1"/>
  <c r="E58" i="48"/>
  <c r="I58" i="48" s="1"/>
  <c r="E61" i="48"/>
  <c r="I61" i="48" s="1"/>
  <c r="E60" i="48"/>
  <c r="I60" i="48" s="1"/>
  <c r="E59" i="48"/>
  <c r="I59" i="48" s="1"/>
  <c r="E61" i="27"/>
  <c r="I61" i="27" s="1"/>
  <c r="E60" i="27"/>
  <c r="I60" i="27" s="1"/>
  <c r="E59" i="27"/>
  <c r="E58" i="27"/>
  <c r="E57" i="27"/>
  <c r="E65" i="27"/>
  <c r="I65" i="27" s="1"/>
  <c r="E64" i="27"/>
  <c r="E63" i="27"/>
  <c r="I63" i="27" s="1"/>
  <c r="E62" i="27"/>
  <c r="I62" i="27" s="1"/>
  <c r="E60" i="68"/>
  <c r="I60" i="68" s="1"/>
  <c r="E57" i="68"/>
  <c r="I57" i="68" s="1"/>
  <c r="E59" i="68"/>
  <c r="I59" i="68" s="1"/>
  <c r="E58" i="68"/>
  <c r="I58" i="68" s="1"/>
  <c r="E62" i="68"/>
  <c r="I62" i="68" s="1"/>
  <c r="E65" i="68"/>
  <c r="I65" i="68" s="1"/>
  <c r="E64" i="68"/>
  <c r="I64" i="68" s="1"/>
  <c r="E63" i="68"/>
  <c r="E61" i="68"/>
  <c r="E65" i="69"/>
  <c r="I65" i="69" s="1"/>
  <c r="E64" i="69"/>
  <c r="I64" i="69" s="1"/>
  <c r="E62" i="69"/>
  <c r="I62" i="69" s="1"/>
  <c r="E63" i="69"/>
  <c r="I63" i="69" s="1"/>
  <c r="E61" i="69"/>
  <c r="I61" i="69" s="1"/>
  <c r="E60" i="69"/>
  <c r="I60" i="69" s="1"/>
  <c r="E59" i="69"/>
  <c r="I59" i="69" s="1"/>
  <c r="E58" i="69"/>
  <c r="E57" i="69"/>
  <c r="I57" i="69" s="1"/>
  <c r="E64" i="56"/>
  <c r="E65" i="56"/>
  <c r="I65" i="56" s="1"/>
  <c r="E63" i="56"/>
  <c r="I63" i="56" s="1"/>
  <c r="E62" i="56"/>
  <c r="I62" i="56" s="1"/>
  <c r="E61" i="56"/>
  <c r="I61" i="56" s="1"/>
  <c r="E60" i="56"/>
  <c r="I60" i="56" s="1"/>
  <c r="E59" i="56"/>
  <c r="I59" i="56" s="1"/>
  <c r="E58" i="56"/>
  <c r="I58" i="56" s="1"/>
  <c r="E57" i="56"/>
  <c r="I57" i="56" s="1"/>
  <c r="E60" i="75"/>
  <c r="I60" i="75" s="1"/>
  <c r="I57" i="75"/>
  <c r="E59" i="75"/>
  <c r="I59" i="75" s="1"/>
  <c r="E58" i="75"/>
  <c r="E62" i="75"/>
  <c r="E65" i="75"/>
  <c r="I65" i="75" s="1"/>
  <c r="E64" i="75"/>
  <c r="I64" i="75" s="1"/>
  <c r="E63" i="75"/>
  <c r="I63" i="75" s="1"/>
  <c r="E61" i="75"/>
  <c r="I61" i="75" s="1"/>
  <c r="E65" i="40"/>
  <c r="I65" i="40" s="1"/>
  <c r="E64" i="40"/>
  <c r="I64" i="40" s="1"/>
  <c r="E63" i="40"/>
  <c r="I63" i="40" s="1"/>
  <c r="E62" i="40"/>
  <c r="I62" i="40" s="1"/>
  <c r="E61" i="40"/>
  <c r="E60" i="40"/>
  <c r="I60" i="40" s="1"/>
  <c r="E59" i="40"/>
  <c r="E58" i="40"/>
  <c r="E57" i="40"/>
  <c r="I57" i="40" s="1"/>
  <c r="E60" i="35"/>
  <c r="I60" i="35" s="1"/>
  <c r="E59" i="35"/>
  <c r="I59" i="35" s="1"/>
  <c r="E58" i="35"/>
  <c r="I58" i="35" s="1"/>
  <c r="E57" i="35"/>
  <c r="I57" i="35" s="1"/>
  <c r="E62" i="35"/>
  <c r="I62" i="35" s="1"/>
  <c r="E65" i="35"/>
  <c r="I65" i="35" s="1"/>
  <c r="E64" i="35"/>
  <c r="I64" i="35" s="1"/>
  <c r="E63" i="35"/>
  <c r="I63" i="35" s="1"/>
  <c r="E61" i="35"/>
  <c r="E65" i="30"/>
  <c r="I65" i="30" s="1"/>
  <c r="E64" i="30"/>
  <c r="I64" i="30" s="1"/>
  <c r="E63" i="30"/>
  <c r="I63" i="30" s="1"/>
  <c r="E62" i="30"/>
  <c r="I62" i="30" s="1"/>
  <c r="E61" i="30"/>
  <c r="I61" i="30" s="1"/>
  <c r="E57" i="30"/>
  <c r="I57" i="30" s="1"/>
  <c r="E60" i="30"/>
  <c r="I60" i="30" s="1"/>
  <c r="E59" i="30"/>
  <c r="I59" i="30" s="1"/>
  <c r="E58" i="30"/>
  <c r="I58" i="30" s="1"/>
  <c r="E64" i="36"/>
  <c r="I64" i="36" s="1"/>
  <c r="E63" i="36"/>
  <c r="I63" i="36" s="1"/>
  <c r="E61" i="36"/>
  <c r="E62" i="36"/>
  <c r="E60" i="36"/>
  <c r="E59" i="36"/>
  <c r="I59" i="36" s="1"/>
  <c r="E58" i="36"/>
  <c r="I58" i="36" s="1"/>
  <c r="E57" i="36"/>
  <c r="I57" i="36" s="1"/>
  <c r="E65" i="36"/>
  <c r="I65" i="36" s="1"/>
  <c r="E65" i="32"/>
  <c r="I65" i="32" s="1"/>
  <c r="E63" i="32"/>
  <c r="I63" i="32" s="1"/>
  <c r="E64" i="32"/>
  <c r="I64" i="32" s="1"/>
  <c r="E62" i="32"/>
  <c r="I62" i="32" s="1"/>
  <c r="E61" i="32"/>
  <c r="I61" i="32" s="1"/>
  <c r="E60" i="32"/>
  <c r="I60" i="32" s="1"/>
  <c r="E59" i="32"/>
  <c r="I59" i="32" s="1"/>
  <c r="E58" i="32"/>
  <c r="I58" i="32" s="1"/>
  <c r="E57" i="32"/>
  <c r="E65" i="25"/>
  <c r="I65" i="25" s="1"/>
  <c r="E62" i="25"/>
  <c r="I62" i="25" s="1"/>
  <c r="E64" i="25"/>
  <c r="I64" i="25" s="1"/>
  <c r="E63" i="25"/>
  <c r="I63" i="25" s="1"/>
  <c r="E61" i="25"/>
  <c r="I61" i="25" s="1"/>
  <c r="E60" i="25"/>
  <c r="I60" i="25" s="1"/>
  <c r="E59" i="25"/>
  <c r="I59" i="25" s="1"/>
  <c r="E58" i="25"/>
  <c r="E57" i="25"/>
  <c r="I57" i="25" s="1"/>
  <c r="E60" i="44"/>
  <c r="I60" i="44" s="1"/>
  <c r="E59" i="44"/>
  <c r="I59" i="44" s="1"/>
  <c r="E57" i="44"/>
  <c r="I57" i="44" s="1"/>
  <c r="E58" i="44"/>
  <c r="E65" i="44"/>
  <c r="I65" i="44" s="1"/>
  <c r="E64" i="44"/>
  <c r="I64" i="44" s="1"/>
  <c r="E63" i="44"/>
  <c r="I63" i="44" s="1"/>
  <c r="E62" i="44"/>
  <c r="I62" i="44" s="1"/>
  <c r="E61" i="44"/>
  <c r="I61" i="44" s="1"/>
  <c r="E58" i="52"/>
  <c r="I58" i="52" s="1"/>
  <c r="E57" i="52"/>
  <c r="E65" i="52"/>
  <c r="I65" i="52" s="1"/>
  <c r="E64" i="52"/>
  <c r="I64" i="52" s="1"/>
  <c r="E63" i="52"/>
  <c r="E62" i="52"/>
  <c r="I62" i="52" s="1"/>
  <c r="E60" i="52"/>
  <c r="E61" i="52"/>
  <c r="I61" i="52" s="1"/>
  <c r="E59" i="52"/>
  <c r="I59" i="52" s="1"/>
  <c r="E65" i="47"/>
  <c r="I65" i="47" s="1"/>
  <c r="E62" i="47"/>
  <c r="I62" i="47" s="1"/>
  <c r="E64" i="47"/>
  <c r="I64" i="47" s="1"/>
  <c r="E63" i="47"/>
  <c r="I63" i="47" s="1"/>
  <c r="E61" i="47"/>
  <c r="I61" i="47" s="1"/>
  <c r="E60" i="47"/>
  <c r="I60" i="47" s="1"/>
  <c r="E59" i="47"/>
  <c r="E58" i="47"/>
  <c r="E57" i="47"/>
  <c r="I57" i="47" s="1"/>
  <c r="E65" i="39"/>
  <c r="E63" i="39"/>
  <c r="I63" i="39" s="1"/>
  <c r="E62" i="39"/>
  <c r="I62" i="39" s="1"/>
  <c r="E61" i="39"/>
  <c r="I61" i="39" s="1"/>
  <c r="E60" i="39"/>
  <c r="I60" i="39" s="1"/>
  <c r="E59" i="39"/>
  <c r="I59" i="39" s="1"/>
  <c r="E58" i="39"/>
  <c r="I58" i="39" s="1"/>
  <c r="E57" i="39"/>
  <c r="E64" i="39"/>
  <c r="I64" i="39" s="1"/>
  <c r="E58" i="34"/>
  <c r="I58" i="34" s="1"/>
  <c r="E57" i="34"/>
  <c r="I57" i="34" s="1"/>
  <c r="E65" i="34"/>
  <c r="I65" i="34" s="1"/>
  <c r="E60" i="34"/>
  <c r="I60" i="34" s="1"/>
  <c r="E64" i="34"/>
  <c r="I64" i="34" s="1"/>
  <c r="E63" i="34"/>
  <c r="I63" i="34" s="1"/>
  <c r="E62" i="34"/>
  <c r="I62" i="34" s="1"/>
  <c r="E61" i="34"/>
  <c r="I61" i="34" s="1"/>
  <c r="E59" i="34"/>
  <c r="E64" i="31"/>
  <c r="I64" i="31" s="1"/>
  <c r="E63" i="31"/>
  <c r="E62" i="31"/>
  <c r="E60" i="31"/>
  <c r="I60" i="31" s="1"/>
  <c r="E59" i="31"/>
  <c r="I59" i="31" s="1"/>
  <c r="E58" i="31"/>
  <c r="I58" i="31" s="1"/>
  <c r="E57" i="31"/>
  <c r="I57" i="31" s="1"/>
  <c r="E65" i="31"/>
  <c r="I65" i="31" s="1"/>
  <c r="E58" i="26"/>
  <c r="I58" i="26" s="1"/>
  <c r="E57" i="26"/>
  <c r="I57" i="26" s="1"/>
  <c r="E65" i="26"/>
  <c r="I65" i="26" s="1"/>
  <c r="E64" i="26"/>
  <c r="I64" i="26" s="1"/>
  <c r="E63" i="26"/>
  <c r="I63" i="26" s="1"/>
  <c r="E62" i="26"/>
  <c r="I62" i="26" s="1"/>
  <c r="E61" i="26"/>
  <c r="E60" i="26"/>
  <c r="I60" i="26" s="1"/>
  <c r="E59" i="26"/>
  <c r="I59" i="26" s="1"/>
  <c r="E65" i="78"/>
  <c r="I65" i="78" s="1"/>
  <c r="E64" i="78"/>
  <c r="I64" i="78" s="1"/>
  <c r="E63" i="78"/>
  <c r="I63" i="78" s="1"/>
  <c r="E61" i="78"/>
  <c r="I61" i="78" s="1"/>
  <c r="E60" i="78"/>
  <c r="I60" i="78" s="1"/>
  <c r="E59" i="78"/>
  <c r="E58" i="78"/>
  <c r="I58" i="78" s="1"/>
  <c r="E57" i="78"/>
  <c r="I57" i="78" s="1"/>
  <c r="E62" i="78"/>
  <c r="I62" i="78" s="1"/>
  <c r="E57" i="71"/>
  <c r="E65" i="71"/>
  <c r="I65" i="71" s="1"/>
  <c r="E64" i="71"/>
  <c r="I64" i="71" s="1"/>
  <c r="E63" i="71"/>
  <c r="I63" i="71" s="1"/>
  <c r="E62" i="71"/>
  <c r="I62" i="71" s="1"/>
  <c r="E61" i="71"/>
  <c r="I61" i="71" s="1"/>
  <c r="E60" i="71"/>
  <c r="I60" i="71" s="1"/>
  <c r="E59" i="71"/>
  <c r="I59" i="71" s="1"/>
  <c r="E58" i="71"/>
  <c r="I58" i="71" s="1"/>
  <c r="E63" i="67"/>
  <c r="I63" i="67" s="1"/>
  <c r="E60" i="67"/>
  <c r="I60" i="67" s="1"/>
  <c r="E62" i="67"/>
  <c r="I62" i="67" s="1"/>
  <c r="E61" i="67"/>
  <c r="I61" i="67" s="1"/>
  <c r="E59" i="67"/>
  <c r="I59" i="67" s="1"/>
  <c r="E58" i="67"/>
  <c r="I58" i="67" s="1"/>
  <c r="E57" i="67"/>
  <c r="I57" i="67" s="1"/>
  <c r="E65" i="67"/>
  <c r="I65" i="67" s="1"/>
  <c r="E64" i="67"/>
  <c r="I64" i="67" s="1"/>
  <c r="E59" i="58"/>
  <c r="I59" i="58" s="1"/>
  <c r="E58" i="58"/>
  <c r="I58" i="58" s="1"/>
  <c r="E57" i="58"/>
  <c r="I57" i="58" s="1"/>
  <c r="E65" i="58"/>
  <c r="I65" i="58" s="1"/>
  <c r="E64" i="58"/>
  <c r="I64" i="58" s="1"/>
  <c r="E63" i="58"/>
  <c r="I63" i="58" s="1"/>
  <c r="E62" i="58"/>
  <c r="I62" i="58" s="1"/>
  <c r="E61" i="58"/>
  <c r="I61" i="58" s="1"/>
  <c r="E60" i="58"/>
  <c r="I60" i="58" s="1"/>
  <c r="E65" i="55"/>
  <c r="I65" i="55" s="1"/>
  <c r="E64" i="55"/>
  <c r="I64" i="55" s="1"/>
  <c r="E62" i="55"/>
  <c r="I62" i="55" s="1"/>
  <c r="E63" i="55"/>
  <c r="I63" i="55" s="1"/>
  <c r="E61" i="55"/>
  <c r="I61" i="55" s="1"/>
  <c r="E60" i="55"/>
  <c r="I60" i="55" s="1"/>
  <c r="E59" i="55"/>
  <c r="I59" i="55" s="1"/>
  <c r="E58" i="55"/>
  <c r="I58" i="55" s="1"/>
  <c r="E57" i="55"/>
  <c r="I57" i="55" s="1"/>
  <c r="E60" i="38"/>
  <c r="I60" i="38" s="1"/>
  <c r="E57" i="38"/>
  <c r="I57" i="38" s="1"/>
  <c r="E62" i="38"/>
  <c r="I62" i="38" s="1"/>
  <c r="E59" i="38"/>
  <c r="E58" i="38"/>
  <c r="I58" i="38" s="1"/>
  <c r="E65" i="38"/>
  <c r="I65" i="38" s="1"/>
  <c r="E64" i="38"/>
  <c r="I64" i="38" s="1"/>
  <c r="E63" i="38"/>
  <c r="I63" i="38" s="1"/>
  <c r="E61" i="38"/>
  <c r="I61" i="38" s="1"/>
  <c r="E65" i="17"/>
  <c r="I65" i="17" s="1"/>
  <c r="E64" i="17"/>
  <c r="I64" i="17" s="1"/>
  <c r="I64" i="16"/>
  <c r="E63" i="16"/>
  <c r="I63" i="16" s="1"/>
  <c r="I62" i="36"/>
  <c r="I63" i="68"/>
  <c r="I63" i="24"/>
  <c r="I57" i="45"/>
  <c r="I58" i="44"/>
  <c r="I58" i="16"/>
  <c r="I62" i="31"/>
  <c r="I58" i="20"/>
  <c r="I60" i="7"/>
  <c r="U57" i="38"/>
  <c r="U66" i="38" s="1"/>
  <c r="U57" i="22"/>
  <c r="U66" i="22" s="1"/>
  <c r="I62" i="7"/>
  <c r="I61" i="57"/>
  <c r="I58" i="23"/>
  <c r="I65" i="7"/>
  <c r="I61" i="7"/>
  <c r="I63" i="18"/>
  <c r="I57" i="7"/>
  <c r="I58" i="7"/>
  <c r="U57" i="27"/>
  <c r="U66" i="27" s="1"/>
  <c r="I59" i="7"/>
  <c r="I65" i="70"/>
  <c r="I65" i="50"/>
  <c r="U66" i="37"/>
  <c r="U66" i="24"/>
  <c r="I57" i="71"/>
  <c r="I64" i="56"/>
  <c r="I57" i="51"/>
  <c r="I64" i="42"/>
  <c r="I64" i="27"/>
  <c r="I64" i="28"/>
  <c r="I58" i="21"/>
  <c r="I60" i="18"/>
  <c r="I64" i="66"/>
  <c r="I65" i="16"/>
  <c r="I64" i="70"/>
  <c r="I64" i="21"/>
  <c r="I57" i="50"/>
  <c r="I59" i="47"/>
  <c r="I63" i="42"/>
  <c r="I59" i="18"/>
  <c r="U66" i="35"/>
  <c r="U66" i="20"/>
  <c r="I63" i="66"/>
  <c r="I63" i="33"/>
  <c r="I60" i="21"/>
  <c r="I63" i="17"/>
  <c r="U66" i="32"/>
  <c r="U66" i="16"/>
  <c r="I59" i="76"/>
  <c r="I63" i="50"/>
  <c r="I60" i="22"/>
  <c r="I63" i="21"/>
  <c r="I64" i="20"/>
  <c r="I61" i="26"/>
  <c r="I65" i="21"/>
  <c r="I58" i="47"/>
  <c r="I58" i="18"/>
  <c r="U66" i="71"/>
  <c r="U66" i="51"/>
  <c r="U66" i="36"/>
  <c r="U66" i="25"/>
  <c r="U66" i="23"/>
  <c r="U66" i="21"/>
  <c r="I58" i="51"/>
  <c r="U66" i="47"/>
  <c r="U66" i="34"/>
  <c r="U66" i="18"/>
  <c r="I57" i="22"/>
  <c r="U66" i="33"/>
  <c r="U66" i="17"/>
  <c r="I62" i="21"/>
  <c r="U66" i="57"/>
  <c r="U66" i="43"/>
  <c r="U66" i="31"/>
  <c r="U66" i="28"/>
  <c r="I62" i="75"/>
  <c r="I58" i="43"/>
  <c r="U66" i="39"/>
  <c r="U66" i="26"/>
  <c r="U66" i="77"/>
  <c r="U66" i="75"/>
  <c r="U66" i="68"/>
  <c r="U66" i="52"/>
  <c r="U66" i="70"/>
  <c r="U66" i="50"/>
  <c r="U66" i="69"/>
  <c r="U66" i="48"/>
  <c r="U66" i="67"/>
  <c r="U66" i="66"/>
  <c r="U66" i="45"/>
  <c r="U66" i="58"/>
  <c r="U66" i="44"/>
  <c r="I57" i="43"/>
  <c r="U66" i="56"/>
  <c r="U66" i="42"/>
  <c r="U66" i="30"/>
  <c r="U66" i="55"/>
  <c r="U66" i="40"/>
  <c r="U66" i="78"/>
  <c r="U66" i="76"/>
  <c r="I57" i="24"/>
  <c r="I65" i="76"/>
  <c r="I65" i="39"/>
  <c r="I65" i="43"/>
  <c r="I61" i="35"/>
  <c r="I61" i="68"/>
  <c r="I59" i="20"/>
  <c r="I59" i="40"/>
  <c r="I64" i="50"/>
  <c r="I58" i="50"/>
  <c r="I63" i="57"/>
  <c r="I63" i="31"/>
  <c r="I59" i="27"/>
  <c r="I62" i="24"/>
  <c r="I61" i="17"/>
  <c r="I62" i="16"/>
  <c r="I58" i="69"/>
  <c r="I63" i="48"/>
  <c r="I62" i="45"/>
  <c r="I61" i="42"/>
  <c r="I58" i="37"/>
  <c r="I65" i="28"/>
  <c r="I64" i="24"/>
  <c r="I62" i="20"/>
  <c r="I61" i="18"/>
  <c r="I60" i="70"/>
  <c r="I64" i="48"/>
  <c r="I62" i="42"/>
  <c r="I59" i="38"/>
  <c r="I65" i="24"/>
  <c r="I63" i="20"/>
  <c r="I62" i="18"/>
  <c r="I62" i="17"/>
  <c r="I58" i="75"/>
  <c r="I61" i="36"/>
  <c r="I60" i="23"/>
  <c r="I58" i="27"/>
  <c r="I62" i="57"/>
  <c r="I60" i="52"/>
  <c r="I63" i="37"/>
  <c r="I62" i="23"/>
  <c r="I61" i="31"/>
  <c r="I59" i="22"/>
  <c r="I59" i="24"/>
  <c r="I63" i="52"/>
  <c r="I62" i="50"/>
  <c r="I58" i="40"/>
  <c r="I60" i="20"/>
  <c r="I60" i="17"/>
  <c r="I60" i="16"/>
  <c r="I57" i="18"/>
  <c r="I57" i="16"/>
  <c r="I57" i="17"/>
  <c r="I57" i="32"/>
  <c r="I57" i="27"/>
  <c r="E66" i="24"/>
  <c r="I57" i="28"/>
  <c r="I61" i="16"/>
  <c r="E66" i="18"/>
  <c r="E66" i="20"/>
  <c r="E66" i="50"/>
  <c r="I60" i="51"/>
  <c r="I60" i="43"/>
  <c r="I60" i="36"/>
  <c r="E66" i="16" l="1"/>
  <c r="E66" i="33"/>
  <c r="I59" i="33"/>
  <c r="E66" i="27"/>
  <c r="E66" i="34"/>
  <c r="E66" i="31"/>
  <c r="E66" i="7"/>
  <c r="E66" i="30"/>
  <c r="E66" i="78"/>
  <c r="I59" i="78"/>
  <c r="I66" i="78" s="1"/>
  <c r="E66" i="71"/>
  <c r="E66" i="67"/>
  <c r="E66" i="58"/>
  <c r="E66" i="56"/>
  <c r="E66" i="55"/>
  <c r="E66" i="52"/>
  <c r="E66" i="51"/>
  <c r="E66" i="45"/>
  <c r="E66" i="42"/>
  <c r="E66" i="40"/>
  <c r="E66" i="39"/>
  <c r="E66" i="37"/>
  <c r="E66" i="35"/>
  <c r="I59" i="34"/>
  <c r="I66" i="34" s="1"/>
  <c r="E64" i="60"/>
  <c r="E66" i="22"/>
  <c r="I58" i="22"/>
  <c r="I66" i="22" s="1"/>
  <c r="E60" i="60"/>
  <c r="E66" i="25"/>
  <c r="E66" i="23"/>
  <c r="E66" i="28"/>
  <c r="E66" i="77"/>
  <c r="E66" i="68"/>
  <c r="E66" i="70"/>
  <c r="E66" i="69"/>
  <c r="E66" i="66"/>
  <c r="I57" i="66"/>
  <c r="I66" i="66" s="1"/>
  <c r="E66" i="57"/>
  <c r="I57" i="57"/>
  <c r="I66" i="57" s="1"/>
  <c r="E66" i="76"/>
  <c r="E66" i="75"/>
  <c r="E59" i="60"/>
  <c r="I57" i="52"/>
  <c r="I66" i="52" s="1"/>
  <c r="E66" i="48"/>
  <c r="E66" i="47"/>
  <c r="E66" i="44"/>
  <c r="E66" i="43"/>
  <c r="I61" i="40"/>
  <c r="I66" i="40" s="1"/>
  <c r="I57" i="39"/>
  <c r="I66" i="39" s="1"/>
  <c r="I57" i="37"/>
  <c r="I66" i="37" s="1"/>
  <c r="E66" i="36"/>
  <c r="E66" i="32"/>
  <c r="E66" i="26"/>
  <c r="I58" i="25"/>
  <c r="I66" i="25" s="1"/>
  <c r="E66" i="21"/>
  <c r="E61" i="60"/>
  <c r="E66" i="60"/>
  <c r="I63" i="7"/>
  <c r="I66" i="7" s="1"/>
  <c r="E63" i="60"/>
  <c r="E65" i="60"/>
  <c r="E66" i="38"/>
  <c r="E62" i="60"/>
  <c r="E66" i="17"/>
  <c r="E67" i="60"/>
  <c r="I64" i="60"/>
  <c r="I62" i="60"/>
  <c r="I66" i="60"/>
  <c r="I67" i="60"/>
  <c r="I66" i="35"/>
  <c r="I66" i="30"/>
  <c r="I66" i="47"/>
  <c r="I66" i="68"/>
  <c r="I66" i="45"/>
  <c r="I66" i="18"/>
  <c r="I66" i="21"/>
  <c r="I66" i="51"/>
  <c r="I66" i="56"/>
  <c r="I66" i="43"/>
  <c r="I66" i="50"/>
  <c r="I66" i="20"/>
  <c r="I66" i="24"/>
  <c r="I66" i="44"/>
  <c r="I66" i="48"/>
  <c r="I66" i="70"/>
  <c r="I66" i="17"/>
  <c r="I66" i="58"/>
  <c r="I66" i="69"/>
  <c r="I66" i="23"/>
  <c r="I66" i="33"/>
  <c r="I66" i="42"/>
  <c r="I66" i="38"/>
  <c r="I66" i="71"/>
  <c r="I66" i="55"/>
  <c r="I66" i="76"/>
  <c r="I66" i="75"/>
  <c r="I66" i="31"/>
  <c r="I66" i="27"/>
  <c r="I66" i="26"/>
  <c r="I66" i="16"/>
  <c r="I66" i="36"/>
  <c r="I66" i="77"/>
  <c r="I66" i="28"/>
  <c r="I66" i="32"/>
  <c r="I66" i="67"/>
  <c r="I63" i="60" l="1"/>
  <c r="I59" i="60"/>
  <c r="I61" i="60"/>
  <c r="I65" i="60"/>
  <c r="I60" i="60"/>
  <c r="E68" i="60"/>
  <c r="I68" i="60" l="1"/>
  <c r="D117" i="60"/>
  <c r="C117" i="60"/>
  <c r="G112" i="60"/>
  <c r="G111" i="60"/>
  <c r="H54" i="60"/>
  <c r="H53" i="60"/>
  <c r="D12" i="60"/>
  <c r="D58" i="60" s="1"/>
  <c r="C12" i="60"/>
  <c r="C58" i="60" s="1"/>
  <c r="D11" i="60"/>
  <c r="C11" i="60"/>
  <c r="D37" i="60" l="1"/>
  <c r="D57" i="60"/>
  <c r="C37" i="60"/>
  <c r="C57" i="60"/>
  <c r="I141" i="60" l="1"/>
  <c r="F104" i="60"/>
  <c r="F103" i="60"/>
  <c r="F102" i="60"/>
  <c r="D104" i="60"/>
  <c r="D103" i="60"/>
  <c r="D102" i="60"/>
  <c r="F97" i="60"/>
  <c r="F95" i="60"/>
  <c r="F93" i="60"/>
  <c r="F91" i="60"/>
  <c r="F89" i="60"/>
  <c r="F86" i="60"/>
  <c r="H83" i="60"/>
  <c r="H80" i="60"/>
  <c r="H77" i="60"/>
  <c r="H74" i="60"/>
  <c r="H71" i="60"/>
  <c r="E121" i="60"/>
  <c r="H120" i="60"/>
  <c r="F120" i="60"/>
  <c r="H119" i="60"/>
  <c r="H121" i="60" s="1"/>
  <c r="H9" i="60"/>
  <c r="I121" i="60" l="1"/>
  <c r="E123" i="16" l="1"/>
  <c r="E122" i="16"/>
  <c r="E123" i="17"/>
  <c r="E122" i="17"/>
  <c r="E123" i="18"/>
  <c r="E122" i="18"/>
  <c r="E123" i="20"/>
  <c r="E122" i="20"/>
  <c r="E123" i="21"/>
  <c r="E122" i="21"/>
  <c r="E123" i="25"/>
  <c r="E122" i="25"/>
  <c r="E123" i="24"/>
  <c r="E122" i="24"/>
  <c r="E123" i="22"/>
  <c r="E122" i="22"/>
  <c r="E123" i="26"/>
  <c r="E122" i="26"/>
  <c r="E123" i="27"/>
  <c r="E122" i="27"/>
  <c r="E123" i="28"/>
  <c r="E122" i="28"/>
  <c r="E123" i="31"/>
  <c r="E122" i="31"/>
  <c r="E123" i="32"/>
  <c r="E122" i="32"/>
  <c r="E123" i="33"/>
  <c r="E122" i="33"/>
  <c r="E123" i="34"/>
  <c r="E122" i="34"/>
  <c r="E123" i="35"/>
  <c r="E122" i="35"/>
  <c r="E123" i="23"/>
  <c r="E122" i="23"/>
  <c r="E123" i="36"/>
  <c r="E122" i="36"/>
  <c r="E123" i="37"/>
  <c r="E122" i="37"/>
  <c r="E123" i="38"/>
  <c r="E122" i="38"/>
  <c r="E123" i="39"/>
  <c r="E122" i="39"/>
  <c r="E123" i="40"/>
  <c r="E122" i="40"/>
  <c r="E123" i="42"/>
  <c r="E122" i="42"/>
  <c r="E123" i="43"/>
  <c r="E122" i="43"/>
  <c r="E123" i="44"/>
  <c r="E122" i="44"/>
  <c r="E123" i="45"/>
  <c r="E122" i="45"/>
  <c r="E123" i="47"/>
  <c r="E122" i="47"/>
  <c r="E123" i="48"/>
  <c r="E122" i="48"/>
  <c r="E123" i="50"/>
  <c r="E122" i="50"/>
  <c r="E123" i="51"/>
  <c r="E122" i="51"/>
  <c r="E123" i="52"/>
  <c r="E122" i="52"/>
  <c r="E123" i="75"/>
  <c r="E122" i="75"/>
  <c r="E123" i="76"/>
  <c r="E122" i="76"/>
  <c r="E123" i="55"/>
  <c r="E122" i="55"/>
  <c r="E123" i="56"/>
  <c r="E122" i="56"/>
  <c r="E123" i="57"/>
  <c r="E122" i="57"/>
  <c r="E123" i="58"/>
  <c r="E122" i="58"/>
  <c r="E123" i="66"/>
  <c r="E122" i="66"/>
  <c r="E123" i="67"/>
  <c r="E122" i="67"/>
  <c r="E123" i="69"/>
  <c r="E122" i="69"/>
  <c r="E123" i="70"/>
  <c r="E122" i="70"/>
  <c r="E123" i="71"/>
  <c r="E122" i="71"/>
  <c r="E123" i="68"/>
  <c r="E122" i="68"/>
  <c r="E123" i="77"/>
  <c r="E122" i="77"/>
  <c r="E123" i="78"/>
  <c r="E122" i="78"/>
  <c r="E123" i="30"/>
  <c r="E122" i="30"/>
  <c r="E123" i="7"/>
  <c r="E122" i="7"/>
  <c r="H81" i="16"/>
  <c r="T81" i="16" s="1"/>
  <c r="H81" i="17"/>
  <c r="T81" i="17" s="1"/>
  <c r="H81" i="18"/>
  <c r="T81" i="18" s="1"/>
  <c r="H81" i="20"/>
  <c r="H81" i="21"/>
  <c r="T81" i="21" s="1"/>
  <c r="H81" i="25"/>
  <c r="H81" i="24"/>
  <c r="T81" i="24" s="1"/>
  <c r="H81" i="22"/>
  <c r="T81" i="22" s="1"/>
  <c r="H81" i="26"/>
  <c r="T81" i="26" s="1"/>
  <c r="H81" i="27"/>
  <c r="T81" i="27" s="1"/>
  <c r="H81" i="28"/>
  <c r="T81" i="28" s="1"/>
  <c r="H81" i="31"/>
  <c r="T81" i="31" s="1"/>
  <c r="H81" i="32"/>
  <c r="T81" i="32" s="1"/>
  <c r="H81" i="33"/>
  <c r="T81" i="33" s="1"/>
  <c r="H81" i="34"/>
  <c r="T81" i="34" s="1"/>
  <c r="H81" i="35"/>
  <c r="T81" i="35" s="1"/>
  <c r="H81" i="23"/>
  <c r="T81" i="23" s="1"/>
  <c r="H81" i="36"/>
  <c r="H81" i="37"/>
  <c r="T81" i="37" s="1"/>
  <c r="H81" i="38"/>
  <c r="H81" i="39"/>
  <c r="T81" i="39" s="1"/>
  <c r="H81" i="40"/>
  <c r="T81" i="40" s="1"/>
  <c r="H81" i="42"/>
  <c r="T81" i="42" s="1"/>
  <c r="H81" i="43"/>
  <c r="T81" i="43" s="1"/>
  <c r="H81" i="44"/>
  <c r="T81" i="44" s="1"/>
  <c r="H81" i="45"/>
  <c r="T81" i="45" s="1"/>
  <c r="H81" i="47"/>
  <c r="T81" i="47" s="1"/>
  <c r="H81" i="48"/>
  <c r="H81" i="50"/>
  <c r="T81" i="50" s="1"/>
  <c r="H81" i="51"/>
  <c r="T81" i="51" s="1"/>
  <c r="H81" i="52"/>
  <c r="H81" i="75"/>
  <c r="T81" i="75" s="1"/>
  <c r="H81" i="76"/>
  <c r="T81" i="76" s="1"/>
  <c r="H81" i="55"/>
  <c r="T81" i="55" s="1"/>
  <c r="H81" i="56"/>
  <c r="T81" i="56" s="1"/>
  <c r="H81" i="57"/>
  <c r="T81" i="57" s="1"/>
  <c r="H81" i="58"/>
  <c r="T81" i="58" s="1"/>
  <c r="H81" i="66"/>
  <c r="T81" i="66" s="1"/>
  <c r="H81" i="67"/>
  <c r="H81" i="69"/>
  <c r="T81" i="69" s="1"/>
  <c r="H81" i="70"/>
  <c r="T81" i="70" s="1"/>
  <c r="H81" i="71"/>
  <c r="T81" i="71" s="1"/>
  <c r="H81" i="68"/>
  <c r="H81" i="77"/>
  <c r="T81" i="77" s="1"/>
  <c r="H81" i="78"/>
  <c r="T81" i="78" s="1"/>
  <c r="H81" i="30"/>
  <c r="T81" i="30" s="1"/>
  <c r="T81" i="7"/>
  <c r="H78" i="16"/>
  <c r="T78" i="16" s="1"/>
  <c r="H78" i="17"/>
  <c r="H78" i="18"/>
  <c r="T78" i="18" s="1"/>
  <c r="H78" i="20"/>
  <c r="T78" i="20" s="1"/>
  <c r="H78" i="21"/>
  <c r="T78" i="21" s="1"/>
  <c r="H78" i="25"/>
  <c r="T78" i="25" s="1"/>
  <c r="H78" i="24"/>
  <c r="T78" i="24" s="1"/>
  <c r="H78" i="22"/>
  <c r="T78" i="22" s="1"/>
  <c r="H78" i="26"/>
  <c r="H78" i="27"/>
  <c r="T78" i="27" s="1"/>
  <c r="H78" i="28"/>
  <c r="T78" i="28" s="1"/>
  <c r="H78" i="31"/>
  <c r="T78" i="31" s="1"/>
  <c r="H78" i="32"/>
  <c r="T78" i="32" s="1"/>
  <c r="H78" i="33"/>
  <c r="H78" i="34"/>
  <c r="H78" i="35"/>
  <c r="T78" i="35" s="1"/>
  <c r="H78" i="23"/>
  <c r="T78" i="23" s="1"/>
  <c r="H78" i="36"/>
  <c r="T78" i="36" s="1"/>
  <c r="H78" i="37"/>
  <c r="H78" i="38"/>
  <c r="H78" i="39"/>
  <c r="T78" i="39" s="1"/>
  <c r="H78" i="40"/>
  <c r="T78" i="40" s="1"/>
  <c r="H78" i="42"/>
  <c r="T78" i="42" s="1"/>
  <c r="H78" i="43"/>
  <c r="T78" i="43" s="1"/>
  <c r="H78" i="44"/>
  <c r="T78" i="44" s="1"/>
  <c r="H78" i="45"/>
  <c r="T78" i="45" s="1"/>
  <c r="H78" i="47"/>
  <c r="T78" i="47" s="1"/>
  <c r="H78" i="48"/>
  <c r="T78" i="48" s="1"/>
  <c r="H78" i="50"/>
  <c r="H78" i="51"/>
  <c r="T78" i="51" s="1"/>
  <c r="H78" i="52"/>
  <c r="T78" i="52" s="1"/>
  <c r="H78" i="75"/>
  <c r="H78" i="76"/>
  <c r="T78" i="76" s="1"/>
  <c r="H78" i="55"/>
  <c r="H78" i="56"/>
  <c r="T78" i="56" s="1"/>
  <c r="H78" i="57"/>
  <c r="T78" i="57" s="1"/>
  <c r="H78" i="58"/>
  <c r="T78" i="58" s="1"/>
  <c r="H78" i="66"/>
  <c r="H78" i="67"/>
  <c r="H78" i="69"/>
  <c r="H78" i="70"/>
  <c r="T78" i="70" s="1"/>
  <c r="H78" i="71"/>
  <c r="T78" i="71" s="1"/>
  <c r="H78" i="68"/>
  <c r="T78" i="68" s="1"/>
  <c r="H78" i="77"/>
  <c r="H78" i="78"/>
  <c r="T78" i="78" s="1"/>
  <c r="H78" i="30"/>
  <c r="T78" i="30" s="1"/>
  <c r="T78" i="7"/>
  <c r="H75" i="16"/>
  <c r="T75" i="16" s="1"/>
  <c r="H75" i="17"/>
  <c r="T75" i="17" s="1"/>
  <c r="H75" i="18"/>
  <c r="T75" i="18" s="1"/>
  <c r="H75" i="20"/>
  <c r="T75" i="20" s="1"/>
  <c r="H75" i="21"/>
  <c r="T75" i="21" s="1"/>
  <c r="H75" i="25"/>
  <c r="T75" i="25" s="1"/>
  <c r="H75" i="24"/>
  <c r="T75" i="24" s="1"/>
  <c r="H75" i="22"/>
  <c r="T75" i="22" s="1"/>
  <c r="H75" i="26"/>
  <c r="T75" i="26" s="1"/>
  <c r="H75" i="27"/>
  <c r="T75" i="27" s="1"/>
  <c r="H75" i="28"/>
  <c r="T75" i="28" s="1"/>
  <c r="H75" i="31"/>
  <c r="T75" i="31" s="1"/>
  <c r="H75" i="32"/>
  <c r="T75" i="32" s="1"/>
  <c r="H75" i="33"/>
  <c r="T75" i="33" s="1"/>
  <c r="H75" i="34"/>
  <c r="T75" i="34" s="1"/>
  <c r="H75" i="35"/>
  <c r="T75" i="35" s="1"/>
  <c r="H75" i="23"/>
  <c r="T75" i="23" s="1"/>
  <c r="H75" i="36"/>
  <c r="T75" i="36" s="1"/>
  <c r="H75" i="37"/>
  <c r="T75" i="37" s="1"/>
  <c r="H75" i="38"/>
  <c r="T75" i="38" s="1"/>
  <c r="H75" i="39"/>
  <c r="T75" i="39" s="1"/>
  <c r="H75" i="40"/>
  <c r="T75" i="40" s="1"/>
  <c r="H75" i="42"/>
  <c r="T75" i="42" s="1"/>
  <c r="H75" i="43"/>
  <c r="T75" i="43" s="1"/>
  <c r="H75" i="44"/>
  <c r="T75" i="44" s="1"/>
  <c r="H75" i="45"/>
  <c r="T75" i="45" s="1"/>
  <c r="H75" i="47"/>
  <c r="T75" i="47" s="1"/>
  <c r="H75" i="48"/>
  <c r="T75" i="48" s="1"/>
  <c r="H75" i="50"/>
  <c r="T75" i="50" s="1"/>
  <c r="H75" i="51"/>
  <c r="T75" i="51" s="1"/>
  <c r="H75" i="52"/>
  <c r="T75" i="52" s="1"/>
  <c r="H75" i="75"/>
  <c r="T75" i="75" s="1"/>
  <c r="H75" i="76"/>
  <c r="T75" i="76" s="1"/>
  <c r="H75" i="55"/>
  <c r="T75" i="55" s="1"/>
  <c r="H75" i="56"/>
  <c r="T75" i="56" s="1"/>
  <c r="H75" i="57"/>
  <c r="T75" i="57" s="1"/>
  <c r="H75" i="58"/>
  <c r="T75" i="58" s="1"/>
  <c r="H75" i="66"/>
  <c r="T75" i="66" s="1"/>
  <c r="H75" i="67"/>
  <c r="T75" i="67" s="1"/>
  <c r="H75" i="69"/>
  <c r="T75" i="69" s="1"/>
  <c r="H75" i="70"/>
  <c r="T75" i="70" s="1"/>
  <c r="H75" i="71"/>
  <c r="T75" i="71" s="1"/>
  <c r="H75" i="68"/>
  <c r="T75" i="68" s="1"/>
  <c r="H75" i="77"/>
  <c r="T75" i="77" s="1"/>
  <c r="H75" i="78"/>
  <c r="T75" i="78" s="1"/>
  <c r="H75" i="30"/>
  <c r="T75" i="30" s="1"/>
  <c r="T75" i="7"/>
  <c r="T81" i="68" l="1"/>
  <c r="T81" i="52"/>
  <c r="T78" i="55"/>
  <c r="T78" i="34"/>
  <c r="T81" i="48"/>
  <c r="T81" i="25"/>
  <c r="T81" i="36"/>
  <c r="T81" i="20"/>
  <c r="T81" i="67"/>
  <c r="T81" i="38"/>
  <c r="T78" i="66"/>
  <c r="T78" i="33"/>
  <c r="T78" i="26"/>
  <c r="T78" i="50"/>
  <c r="T78" i="77"/>
  <c r="T78" i="69"/>
  <c r="T78" i="75"/>
  <c r="T78" i="38"/>
  <c r="T78" i="17"/>
  <c r="T78" i="67"/>
  <c r="T78" i="37"/>
  <c r="U37" i="16" l="1"/>
  <c r="U37" i="17"/>
  <c r="U37" i="18"/>
  <c r="U37" i="20"/>
  <c r="U37" i="21"/>
  <c r="U37" i="25"/>
  <c r="U37" i="24"/>
  <c r="U37" i="22"/>
  <c r="U37" i="26"/>
  <c r="U37" i="27"/>
  <c r="U37" i="28"/>
  <c r="U37" i="31"/>
  <c r="U37" i="32"/>
  <c r="U37" i="33"/>
  <c r="U37" i="34"/>
  <c r="U37" i="35"/>
  <c r="U37" i="23"/>
  <c r="U37" i="36"/>
  <c r="U37" i="37"/>
  <c r="U37" i="38"/>
  <c r="U37" i="39"/>
  <c r="U37" i="40"/>
  <c r="U37" i="42"/>
  <c r="U37" i="43"/>
  <c r="U37" i="44"/>
  <c r="U37" i="45"/>
  <c r="U37" i="47"/>
  <c r="U37" i="48"/>
  <c r="U37" i="50"/>
  <c r="U37" i="51"/>
  <c r="U37" i="52"/>
  <c r="U37" i="75"/>
  <c r="U37" i="76"/>
  <c r="U37" i="55"/>
  <c r="U37" i="56"/>
  <c r="U37" i="57"/>
  <c r="U37" i="58"/>
  <c r="U37" i="66"/>
  <c r="U37" i="67"/>
  <c r="U37" i="69"/>
  <c r="U37" i="70"/>
  <c r="U37" i="71"/>
  <c r="U37" i="68"/>
  <c r="U37" i="77"/>
  <c r="U37" i="78"/>
  <c r="U37" i="30"/>
  <c r="U37" i="7"/>
  <c r="U35" i="16"/>
  <c r="U35" i="17"/>
  <c r="U35" i="18"/>
  <c r="U35" i="20"/>
  <c r="U35" i="21"/>
  <c r="U35" i="25"/>
  <c r="U35" i="24"/>
  <c r="U35" i="22"/>
  <c r="U35" i="26"/>
  <c r="U35" i="27"/>
  <c r="U35" i="28"/>
  <c r="U35" i="31"/>
  <c r="U35" i="32"/>
  <c r="U35" i="33"/>
  <c r="U35" i="34"/>
  <c r="U35" i="35"/>
  <c r="U35" i="23"/>
  <c r="U35" i="36"/>
  <c r="U35" i="37"/>
  <c r="U35" i="38"/>
  <c r="U35" i="39"/>
  <c r="U35" i="40"/>
  <c r="U35" i="42"/>
  <c r="U35" i="43"/>
  <c r="U35" i="44"/>
  <c r="U35" i="45"/>
  <c r="U35" i="47"/>
  <c r="U35" i="48"/>
  <c r="U35" i="50"/>
  <c r="U35" i="51"/>
  <c r="U35" i="52"/>
  <c r="U35" i="75"/>
  <c r="U35" i="76"/>
  <c r="U35" i="55"/>
  <c r="U35" i="56"/>
  <c r="U35" i="57"/>
  <c r="U35" i="58"/>
  <c r="U35" i="66"/>
  <c r="U35" i="67"/>
  <c r="U35" i="69"/>
  <c r="U35" i="70"/>
  <c r="U35" i="71"/>
  <c r="U35" i="68"/>
  <c r="U35" i="77"/>
  <c r="U35" i="78"/>
  <c r="U35" i="30"/>
  <c r="U12" i="16"/>
  <c r="U12" i="17"/>
  <c r="U12" i="18"/>
  <c r="U12" i="20"/>
  <c r="U12" i="21"/>
  <c r="U12" i="25"/>
  <c r="U12" i="24"/>
  <c r="U12" i="22"/>
  <c r="U12" i="26"/>
  <c r="U12" i="27"/>
  <c r="U12" i="28"/>
  <c r="U12" i="31"/>
  <c r="U12" i="32"/>
  <c r="U12" i="33"/>
  <c r="U12" i="34"/>
  <c r="U12" i="35"/>
  <c r="U12" i="23"/>
  <c r="U12" i="36"/>
  <c r="U12" i="37"/>
  <c r="U12" i="38"/>
  <c r="U12" i="39"/>
  <c r="U12" i="40"/>
  <c r="U12" i="42"/>
  <c r="U12" i="43"/>
  <c r="U12" i="44"/>
  <c r="U12" i="45"/>
  <c r="U12" i="47"/>
  <c r="U12" i="48"/>
  <c r="U12" i="50"/>
  <c r="U12" i="51"/>
  <c r="U12" i="52"/>
  <c r="U12" i="75"/>
  <c r="U12" i="76"/>
  <c r="U12" i="55"/>
  <c r="U12" i="56"/>
  <c r="U12" i="57"/>
  <c r="U12" i="58"/>
  <c r="U12" i="66"/>
  <c r="U12" i="67"/>
  <c r="U12" i="69"/>
  <c r="U12" i="70"/>
  <c r="U12" i="71"/>
  <c r="U12" i="68"/>
  <c r="U12" i="77"/>
  <c r="U12" i="78"/>
  <c r="U12" i="30"/>
  <c r="U12" i="7"/>
  <c r="U10" i="7"/>
  <c r="N7" i="7"/>
  <c r="P8" i="7"/>
  <c r="H9" i="16"/>
  <c r="T9" i="16" s="1"/>
  <c r="H9" i="17"/>
  <c r="T9" i="17" s="1"/>
  <c r="H9" i="18"/>
  <c r="T9" i="18" s="1"/>
  <c r="H9" i="20"/>
  <c r="T9" i="20" s="1"/>
  <c r="H9" i="21"/>
  <c r="T9" i="21" s="1"/>
  <c r="H9" i="25"/>
  <c r="T9" i="25" s="1"/>
  <c r="H9" i="24"/>
  <c r="T9" i="24" s="1"/>
  <c r="H9" i="22"/>
  <c r="T9" i="22" s="1"/>
  <c r="H9" i="26"/>
  <c r="T9" i="26" s="1"/>
  <c r="H9" i="27"/>
  <c r="T9" i="27" s="1"/>
  <c r="H9" i="28"/>
  <c r="T9" i="28" s="1"/>
  <c r="H9" i="31"/>
  <c r="T9" i="31" s="1"/>
  <c r="H9" i="32"/>
  <c r="T9" i="32" s="1"/>
  <c r="H9" i="33"/>
  <c r="T9" i="33" s="1"/>
  <c r="H9" i="34"/>
  <c r="T9" i="34" s="1"/>
  <c r="H9" i="35"/>
  <c r="T9" i="35" s="1"/>
  <c r="H9" i="23"/>
  <c r="T9" i="23" s="1"/>
  <c r="H9" i="36"/>
  <c r="T9" i="36" s="1"/>
  <c r="H9" i="37"/>
  <c r="T9" i="37" s="1"/>
  <c r="H9" i="38"/>
  <c r="T9" i="38" s="1"/>
  <c r="H9" i="39"/>
  <c r="T9" i="39" s="1"/>
  <c r="H9" i="40"/>
  <c r="T9" i="40" s="1"/>
  <c r="H9" i="42"/>
  <c r="T9" i="42" s="1"/>
  <c r="H9" i="43"/>
  <c r="T9" i="43" s="1"/>
  <c r="H9" i="44"/>
  <c r="T9" i="44" s="1"/>
  <c r="H9" i="45"/>
  <c r="T9" i="45" s="1"/>
  <c r="H9" i="47"/>
  <c r="T9" i="47" s="1"/>
  <c r="H9" i="48"/>
  <c r="T9" i="48" s="1"/>
  <c r="H9" i="50"/>
  <c r="T9" i="50" s="1"/>
  <c r="H9" i="51"/>
  <c r="T9" i="51" s="1"/>
  <c r="H9" i="52"/>
  <c r="T9" i="52" s="1"/>
  <c r="H9" i="75"/>
  <c r="T9" i="75" s="1"/>
  <c r="H9" i="76"/>
  <c r="T9" i="76" s="1"/>
  <c r="H9" i="55"/>
  <c r="T9" i="55" s="1"/>
  <c r="H9" i="56"/>
  <c r="T9" i="56" s="1"/>
  <c r="H9" i="57"/>
  <c r="T9" i="57" s="1"/>
  <c r="H9" i="58"/>
  <c r="T9" i="58" s="1"/>
  <c r="H9" i="66"/>
  <c r="T9" i="66" s="1"/>
  <c r="H9" i="67"/>
  <c r="T9" i="67" s="1"/>
  <c r="H9" i="69"/>
  <c r="T9" i="69" s="1"/>
  <c r="H9" i="70"/>
  <c r="T9" i="70" s="1"/>
  <c r="H9" i="71"/>
  <c r="T9" i="71" s="1"/>
  <c r="H9" i="68"/>
  <c r="T9" i="68" s="1"/>
  <c r="H9" i="77"/>
  <c r="T9" i="77" s="1"/>
  <c r="H9" i="78"/>
  <c r="T9" i="78" s="1"/>
  <c r="H9" i="30"/>
  <c r="T9" i="30" s="1"/>
  <c r="T9" i="7"/>
  <c r="E114" i="7" l="1"/>
  <c r="E114" i="17" l="1"/>
  <c r="E112" i="60" s="1"/>
  <c r="E114" i="18"/>
  <c r="E114" i="20"/>
  <c r="E114" i="26"/>
  <c r="E114" i="27"/>
  <c r="E114" i="28"/>
  <c r="E114" i="31"/>
  <c r="E114" i="32"/>
  <c r="E114" i="33"/>
  <c r="E114" i="35"/>
  <c r="E114" i="23"/>
  <c r="E114" i="36"/>
  <c r="E114" i="37"/>
  <c r="E114" i="38"/>
  <c r="E114" i="39"/>
  <c r="E114" i="40"/>
  <c r="E114" i="42"/>
  <c r="E114" i="43"/>
  <c r="E114" i="44"/>
  <c r="E114" i="45"/>
  <c r="E114" i="47"/>
  <c r="E114" i="50"/>
  <c r="E114" i="51"/>
  <c r="E114" i="52"/>
  <c r="E114" i="75"/>
  <c r="E114" i="76"/>
  <c r="E114" i="58"/>
  <c r="E114" i="67"/>
  <c r="E114" i="69"/>
  <c r="E114" i="68"/>
  <c r="E114" i="30"/>
  <c r="E113" i="37"/>
  <c r="E111" i="60" s="1"/>
  <c r="E113" i="44"/>
  <c r="E113" i="68"/>
  <c r="E113" i="30"/>
  <c r="H69" i="32" l="1"/>
  <c r="H72" i="32"/>
  <c r="I10" i="16" l="1"/>
  <c r="U10" i="16" s="1"/>
  <c r="I10" i="17"/>
  <c r="U10" i="17" s="1"/>
  <c r="I10" i="18"/>
  <c r="U10" i="18" s="1"/>
  <c r="I10" i="20"/>
  <c r="U10" i="20" s="1"/>
  <c r="I10" i="21"/>
  <c r="U10" i="21" s="1"/>
  <c r="I10" i="25"/>
  <c r="U10" i="25" s="1"/>
  <c r="I10" i="24"/>
  <c r="U10" i="24" s="1"/>
  <c r="I10" i="22"/>
  <c r="U10" i="22" s="1"/>
  <c r="I10" i="26"/>
  <c r="U10" i="26" s="1"/>
  <c r="I10" i="27"/>
  <c r="U10" i="27" s="1"/>
  <c r="I10" i="28"/>
  <c r="U10" i="28" s="1"/>
  <c r="I10" i="31"/>
  <c r="U10" i="31" s="1"/>
  <c r="I10" i="32"/>
  <c r="U10" i="32" s="1"/>
  <c r="I10" i="33"/>
  <c r="U10" i="33" s="1"/>
  <c r="I10" i="34"/>
  <c r="U10" i="34" s="1"/>
  <c r="I10" i="35"/>
  <c r="U10" i="35" s="1"/>
  <c r="I10" i="23"/>
  <c r="U10" i="23" s="1"/>
  <c r="I10" i="36"/>
  <c r="U10" i="36" s="1"/>
  <c r="I10" i="37"/>
  <c r="U10" i="37" s="1"/>
  <c r="I10" i="38"/>
  <c r="U10" i="38" s="1"/>
  <c r="I10" i="39"/>
  <c r="U10" i="39" s="1"/>
  <c r="I10" i="40"/>
  <c r="U10" i="40" s="1"/>
  <c r="I10" i="42"/>
  <c r="U10" i="42" s="1"/>
  <c r="I10" i="43"/>
  <c r="U10" i="43" s="1"/>
  <c r="I10" i="44"/>
  <c r="U10" i="44" s="1"/>
  <c r="I10" i="45"/>
  <c r="U10" i="45" s="1"/>
  <c r="I10" i="47"/>
  <c r="U10" i="47" s="1"/>
  <c r="I10" i="48"/>
  <c r="U10" i="48" s="1"/>
  <c r="I10" i="50"/>
  <c r="U10" i="50" s="1"/>
  <c r="I10" i="51"/>
  <c r="U10" i="51" s="1"/>
  <c r="I10" i="52"/>
  <c r="U10" i="52" s="1"/>
  <c r="I10" i="75"/>
  <c r="U10" i="75" s="1"/>
  <c r="I10" i="76"/>
  <c r="U10" i="76" s="1"/>
  <c r="I10" i="55"/>
  <c r="U10" i="55" s="1"/>
  <c r="I10" i="56"/>
  <c r="U10" i="56" s="1"/>
  <c r="I10" i="57"/>
  <c r="U10" i="57" s="1"/>
  <c r="I10" i="58"/>
  <c r="U10" i="58" s="1"/>
  <c r="I10" i="66"/>
  <c r="U10" i="66" s="1"/>
  <c r="I10" i="67"/>
  <c r="U10" i="67" s="1"/>
  <c r="I10" i="69"/>
  <c r="U10" i="69" s="1"/>
  <c r="I10" i="70"/>
  <c r="U10" i="70" s="1"/>
  <c r="I10" i="71"/>
  <c r="U10" i="71" s="1"/>
  <c r="I10" i="68"/>
  <c r="U10" i="68" s="1"/>
  <c r="I10" i="77"/>
  <c r="U10" i="77" s="1"/>
  <c r="I10" i="78"/>
  <c r="U10" i="78" s="1"/>
  <c r="I10" i="30"/>
  <c r="U10" i="30" s="1"/>
  <c r="E3" i="62" l="1"/>
  <c r="E14" i="62"/>
  <c r="E18" i="62" s="1"/>
  <c r="E24" i="62"/>
  <c r="N1" i="30"/>
  <c r="A3" i="30"/>
  <c r="N3" i="30" s="1"/>
  <c r="F4" i="30"/>
  <c r="P4" i="30"/>
  <c r="N7" i="30"/>
  <c r="C8" i="30"/>
  <c r="P8" i="30" s="1"/>
  <c r="H8" i="30"/>
  <c r="F14" i="30"/>
  <c r="F15" i="30"/>
  <c r="F16" i="30"/>
  <c r="F17" i="30"/>
  <c r="F18" i="30"/>
  <c r="F19" i="30"/>
  <c r="F20" i="30"/>
  <c r="F21" i="30"/>
  <c r="F22" i="30"/>
  <c r="F23" i="30"/>
  <c r="F24" i="30"/>
  <c r="F25" i="30"/>
  <c r="F26" i="30"/>
  <c r="F27" i="30"/>
  <c r="F28" i="30"/>
  <c r="F29" i="30"/>
  <c r="C30" i="30"/>
  <c r="D30" i="30"/>
  <c r="C44" i="30"/>
  <c r="D44" i="30"/>
  <c r="E38" i="30" s="1"/>
  <c r="H69" i="30"/>
  <c r="T69" i="30" s="1"/>
  <c r="H72" i="30"/>
  <c r="T72" i="30" s="1"/>
  <c r="F85" i="30"/>
  <c r="F88" i="30"/>
  <c r="R88" i="30" s="1"/>
  <c r="F90" i="30"/>
  <c r="F92" i="30"/>
  <c r="R92" i="30" s="1"/>
  <c r="F94" i="30"/>
  <c r="R94" i="30" s="1"/>
  <c r="F96" i="30"/>
  <c r="R96" i="30" s="1"/>
  <c r="F104" i="30"/>
  <c r="R104" i="30" s="1"/>
  <c r="F105" i="30"/>
  <c r="R105" i="30" s="1"/>
  <c r="F106" i="30"/>
  <c r="R106" i="30" s="1"/>
  <c r="G113" i="30"/>
  <c r="I113" i="30" s="1"/>
  <c r="G114" i="30"/>
  <c r="T114" i="30" s="1"/>
  <c r="U114" i="30" s="1"/>
  <c r="H121" i="30"/>
  <c r="H123" i="30" s="1"/>
  <c r="T123" i="30" s="1"/>
  <c r="R121" i="30"/>
  <c r="R122" i="30" s="1"/>
  <c r="F122" i="30"/>
  <c r="H122" i="30"/>
  <c r="I143" i="30"/>
  <c r="A152" i="30"/>
  <c r="A162" i="30"/>
  <c r="A164" i="30"/>
  <c r="A168" i="30"/>
  <c r="A172" i="30"/>
  <c r="A173" i="30"/>
  <c r="A174" i="30"/>
  <c r="A178" i="30"/>
  <c r="A179" i="30"/>
  <c r="A180" i="30"/>
  <c r="A182" i="30"/>
  <c r="A183" i="30"/>
  <c r="A184" i="30"/>
  <c r="A185" i="30"/>
  <c r="N1" i="78"/>
  <c r="A3" i="78"/>
  <c r="N3" i="78" s="1"/>
  <c r="F4" i="78"/>
  <c r="P4" i="78"/>
  <c r="N7" i="78"/>
  <c r="C8" i="78"/>
  <c r="P8" i="78" s="1"/>
  <c r="H8" i="78"/>
  <c r="T8" i="78" s="1"/>
  <c r="P105" i="78" s="1"/>
  <c r="F14" i="78"/>
  <c r="F15" i="78"/>
  <c r="F16" i="78"/>
  <c r="F17" i="78"/>
  <c r="F18" i="78"/>
  <c r="F19" i="78"/>
  <c r="F20" i="78"/>
  <c r="F21" i="78"/>
  <c r="F22" i="78"/>
  <c r="F23" i="78"/>
  <c r="F24" i="78"/>
  <c r="F25" i="78"/>
  <c r="F26" i="78"/>
  <c r="F27" i="78"/>
  <c r="F28" i="78"/>
  <c r="F29" i="78"/>
  <c r="C30" i="78"/>
  <c r="D30" i="78"/>
  <c r="C44" i="78"/>
  <c r="D44" i="78"/>
  <c r="H69" i="78"/>
  <c r="T69" i="78" s="1"/>
  <c r="H72" i="78"/>
  <c r="T72" i="78" s="1"/>
  <c r="F85" i="78"/>
  <c r="F88" i="78"/>
  <c r="F90" i="78"/>
  <c r="F92" i="78"/>
  <c r="F94" i="78"/>
  <c r="R94" i="78" s="1"/>
  <c r="F96" i="78"/>
  <c r="F104" i="78"/>
  <c r="R104" i="78" s="1"/>
  <c r="F105" i="78"/>
  <c r="R105" i="78" s="1"/>
  <c r="F106" i="78"/>
  <c r="R106" i="78" s="1"/>
  <c r="G113" i="78"/>
  <c r="T113" i="78" s="1"/>
  <c r="G114" i="78"/>
  <c r="I114" i="78" s="1"/>
  <c r="H121" i="78"/>
  <c r="R121" i="78"/>
  <c r="R122" i="78" s="1"/>
  <c r="F122" i="78"/>
  <c r="H122" i="78"/>
  <c r="I143" i="78"/>
  <c r="A152" i="78"/>
  <c r="A162" i="78"/>
  <c r="A164" i="78"/>
  <c r="A168" i="78"/>
  <c r="A172" i="78"/>
  <c r="A173" i="78"/>
  <c r="A174" i="78"/>
  <c r="A178" i="78"/>
  <c r="A179" i="78"/>
  <c r="A180" i="78"/>
  <c r="A182" i="78"/>
  <c r="A183" i="78"/>
  <c r="A184" i="78"/>
  <c r="A185" i="78"/>
  <c r="N1" i="77"/>
  <c r="A3" i="77"/>
  <c r="N3" i="77" s="1"/>
  <c r="F4" i="77"/>
  <c r="P4" i="77"/>
  <c r="N7" i="77"/>
  <c r="C8" i="77"/>
  <c r="P8" i="77" s="1"/>
  <c r="H8" i="77"/>
  <c r="T8" i="77" s="1"/>
  <c r="F14" i="77"/>
  <c r="F15" i="77"/>
  <c r="F16" i="77"/>
  <c r="F17" i="77"/>
  <c r="F18" i="77"/>
  <c r="F19" i="77"/>
  <c r="F20" i="77"/>
  <c r="F21" i="77"/>
  <c r="F22" i="77"/>
  <c r="F23" i="77"/>
  <c r="F24" i="77"/>
  <c r="F25" i="77"/>
  <c r="F26" i="77"/>
  <c r="F27" i="77"/>
  <c r="F28" i="77"/>
  <c r="F29" i="77"/>
  <c r="C30" i="77"/>
  <c r="D30" i="77"/>
  <c r="E121" i="77" s="1"/>
  <c r="C44" i="77"/>
  <c r="D44" i="77"/>
  <c r="E40" i="77" s="1"/>
  <c r="H69" i="77"/>
  <c r="T69" i="77" s="1"/>
  <c r="H72" i="77"/>
  <c r="T72" i="77" s="1"/>
  <c r="F85" i="77"/>
  <c r="R85" i="77" s="1"/>
  <c r="F88" i="77"/>
  <c r="F90" i="77"/>
  <c r="R90" i="77" s="1"/>
  <c r="F92" i="77"/>
  <c r="R92" i="77" s="1"/>
  <c r="F94" i="77"/>
  <c r="F96" i="77"/>
  <c r="F104" i="77"/>
  <c r="R104" i="77" s="1"/>
  <c r="F105" i="77"/>
  <c r="R105" i="77" s="1"/>
  <c r="F106" i="77"/>
  <c r="R106" i="77" s="1"/>
  <c r="G113" i="77"/>
  <c r="T113" i="77" s="1"/>
  <c r="G114" i="77"/>
  <c r="I114" i="77" s="1"/>
  <c r="H121" i="77"/>
  <c r="R121" i="77"/>
  <c r="R122" i="77" s="1"/>
  <c r="F122" i="77"/>
  <c r="H122" i="77"/>
  <c r="T122" i="77" s="1"/>
  <c r="I143" i="77"/>
  <c r="A152" i="77"/>
  <c r="A162" i="77"/>
  <c r="A164" i="77"/>
  <c r="A168" i="77"/>
  <c r="A172" i="77"/>
  <c r="A173" i="77"/>
  <c r="A174" i="77"/>
  <c r="A178" i="77"/>
  <c r="A179" i="77"/>
  <c r="A180" i="77"/>
  <c r="A182" i="77"/>
  <c r="A183" i="77"/>
  <c r="A184" i="77"/>
  <c r="A185" i="77"/>
  <c r="N1" i="68"/>
  <c r="A3" i="68"/>
  <c r="N3" i="68" s="1"/>
  <c r="F4" i="68"/>
  <c r="P4" i="68"/>
  <c r="N7" i="68"/>
  <c r="C8" i="68"/>
  <c r="P8" i="68" s="1"/>
  <c r="H8" i="68"/>
  <c r="E104" i="68" s="1"/>
  <c r="F14" i="68"/>
  <c r="F15" i="68"/>
  <c r="F16" i="68"/>
  <c r="F17" i="68"/>
  <c r="F18" i="68"/>
  <c r="F19" i="68"/>
  <c r="F20" i="68"/>
  <c r="F21" i="68"/>
  <c r="F22" i="68"/>
  <c r="F23" i="68"/>
  <c r="F24" i="68"/>
  <c r="F25" i="68"/>
  <c r="F26" i="68"/>
  <c r="F27" i="68"/>
  <c r="F28" i="68"/>
  <c r="F29" i="68"/>
  <c r="D30" i="68"/>
  <c r="C44" i="68"/>
  <c r="D44" i="68"/>
  <c r="E38" i="68" s="1"/>
  <c r="H69" i="68"/>
  <c r="T69" i="68" s="1"/>
  <c r="H72" i="68"/>
  <c r="T72" i="68" s="1"/>
  <c r="F85" i="68"/>
  <c r="R85" i="68" s="1"/>
  <c r="F88" i="68"/>
  <c r="R88" i="68" s="1"/>
  <c r="F90" i="68"/>
  <c r="R90" i="68" s="1"/>
  <c r="F92" i="68"/>
  <c r="R92" i="68" s="1"/>
  <c r="F94" i="68"/>
  <c r="R94" i="68" s="1"/>
  <c r="F96" i="68"/>
  <c r="R96" i="68" s="1"/>
  <c r="F104" i="68"/>
  <c r="R104" i="68" s="1"/>
  <c r="F105" i="68"/>
  <c r="R105" i="68" s="1"/>
  <c r="F106" i="68"/>
  <c r="R106" i="68" s="1"/>
  <c r="G113" i="68"/>
  <c r="G114" i="68"/>
  <c r="H121" i="68"/>
  <c r="T121" i="68" s="1"/>
  <c r="R121" i="68"/>
  <c r="R122" i="68" s="1"/>
  <c r="F122" i="68"/>
  <c r="H122" i="68"/>
  <c r="T122" i="68" s="1"/>
  <c r="I143" i="68"/>
  <c r="A152" i="68"/>
  <c r="A162" i="68"/>
  <c r="A164" i="68"/>
  <c r="A168" i="68"/>
  <c r="A172" i="68"/>
  <c r="A173" i="68"/>
  <c r="A174" i="68"/>
  <c r="A178" i="68"/>
  <c r="A179" i="68"/>
  <c r="A180" i="68"/>
  <c r="A182" i="68"/>
  <c r="A183" i="68"/>
  <c r="A184" i="68"/>
  <c r="A185" i="68"/>
  <c r="N1" i="71"/>
  <c r="A3" i="71"/>
  <c r="N3" i="71" s="1"/>
  <c r="F4" i="71"/>
  <c r="P4" i="71"/>
  <c r="N7" i="71"/>
  <c r="C8" i="71"/>
  <c r="P8" i="71" s="1"/>
  <c r="H8" i="71"/>
  <c r="F14" i="71"/>
  <c r="F15" i="71"/>
  <c r="F16" i="71"/>
  <c r="F17" i="71"/>
  <c r="F18" i="71"/>
  <c r="F19" i="71"/>
  <c r="F20" i="71"/>
  <c r="F22" i="71"/>
  <c r="F23" i="71"/>
  <c r="F24" i="71"/>
  <c r="F25" i="71"/>
  <c r="F26" i="71"/>
  <c r="F27" i="71"/>
  <c r="F28" i="71"/>
  <c r="F29" i="71"/>
  <c r="C30" i="71"/>
  <c r="D30" i="71"/>
  <c r="C44" i="71"/>
  <c r="D44" i="71"/>
  <c r="H69" i="71"/>
  <c r="T69" i="71" s="1"/>
  <c r="H72" i="71"/>
  <c r="T72" i="71" s="1"/>
  <c r="F85" i="71"/>
  <c r="R85" i="71" s="1"/>
  <c r="F88" i="71"/>
  <c r="R88" i="71" s="1"/>
  <c r="F90" i="71"/>
  <c r="R90" i="71" s="1"/>
  <c r="F92" i="71"/>
  <c r="F94" i="71"/>
  <c r="R94" i="71" s="1"/>
  <c r="F96" i="71"/>
  <c r="R96" i="71" s="1"/>
  <c r="F104" i="71"/>
  <c r="R104" i="71" s="1"/>
  <c r="F105" i="71"/>
  <c r="R105" i="71" s="1"/>
  <c r="F106" i="71"/>
  <c r="R106" i="71" s="1"/>
  <c r="G113" i="71"/>
  <c r="I113" i="71" s="1"/>
  <c r="G114" i="71"/>
  <c r="T114" i="71" s="1"/>
  <c r="U114" i="71" s="1"/>
  <c r="H121" i="71"/>
  <c r="H123" i="71" s="1"/>
  <c r="T123" i="71" s="1"/>
  <c r="R121" i="71"/>
  <c r="R122" i="71" s="1"/>
  <c r="F122" i="71"/>
  <c r="H122" i="71"/>
  <c r="T122" i="71" s="1"/>
  <c r="I143" i="71"/>
  <c r="A152" i="71"/>
  <c r="A162" i="71"/>
  <c r="A164" i="71"/>
  <c r="A168" i="71"/>
  <c r="A172" i="71"/>
  <c r="A173" i="71"/>
  <c r="A174" i="71"/>
  <c r="A178" i="71"/>
  <c r="A179" i="71"/>
  <c r="A180" i="71"/>
  <c r="A182" i="71"/>
  <c r="A183" i="71"/>
  <c r="A184" i="71"/>
  <c r="A185" i="71"/>
  <c r="N1" i="70"/>
  <c r="A3" i="70"/>
  <c r="N3" i="70" s="1"/>
  <c r="F4" i="70"/>
  <c r="P4" i="70"/>
  <c r="N7" i="70"/>
  <c r="C8" i="70"/>
  <c r="P8" i="70" s="1"/>
  <c r="H8" i="70"/>
  <c r="T8" i="70" s="1"/>
  <c r="F14" i="70"/>
  <c r="F15" i="70"/>
  <c r="F16" i="70"/>
  <c r="F17" i="70"/>
  <c r="F18" i="70"/>
  <c r="F19" i="70"/>
  <c r="F20" i="70"/>
  <c r="F21" i="70"/>
  <c r="F22" i="70"/>
  <c r="F23" i="70"/>
  <c r="F24" i="70"/>
  <c r="F25" i="70"/>
  <c r="F26" i="70"/>
  <c r="F27" i="70"/>
  <c r="F28" i="70"/>
  <c r="F29" i="70"/>
  <c r="C30" i="70"/>
  <c r="D30" i="70"/>
  <c r="C44" i="70"/>
  <c r="D44" i="70"/>
  <c r="H69" i="70"/>
  <c r="T69" i="70" s="1"/>
  <c r="H72" i="70"/>
  <c r="T72" i="70" s="1"/>
  <c r="F85" i="70"/>
  <c r="R85" i="70" s="1"/>
  <c r="F88" i="70"/>
  <c r="R88" i="70" s="1"/>
  <c r="F90" i="70"/>
  <c r="R90" i="70" s="1"/>
  <c r="F92" i="70"/>
  <c r="R92" i="70" s="1"/>
  <c r="F94" i="70"/>
  <c r="R94" i="70" s="1"/>
  <c r="F96" i="70"/>
  <c r="R96" i="70" s="1"/>
  <c r="F104" i="70"/>
  <c r="R104" i="70" s="1"/>
  <c r="F105" i="70"/>
  <c r="R105" i="70" s="1"/>
  <c r="F106" i="70"/>
  <c r="R106" i="70" s="1"/>
  <c r="G113" i="70"/>
  <c r="T113" i="70" s="1"/>
  <c r="G114" i="70"/>
  <c r="I114" i="70" s="1"/>
  <c r="H121" i="70"/>
  <c r="R121" i="70"/>
  <c r="R122" i="70" s="1"/>
  <c r="F122" i="70"/>
  <c r="H122" i="70"/>
  <c r="T122" i="70" s="1"/>
  <c r="I143" i="70"/>
  <c r="A152" i="70"/>
  <c r="A162" i="70"/>
  <c r="A164" i="70"/>
  <c r="A168" i="70"/>
  <c r="A172" i="70"/>
  <c r="A173" i="70"/>
  <c r="A174" i="70"/>
  <c r="A178" i="70"/>
  <c r="A179" i="70"/>
  <c r="A180" i="70"/>
  <c r="A182" i="70"/>
  <c r="A183" i="70"/>
  <c r="A184" i="70"/>
  <c r="A185" i="70"/>
  <c r="N1" i="69"/>
  <c r="A3" i="69"/>
  <c r="N3" i="69" s="1"/>
  <c r="F4" i="69"/>
  <c r="P4" i="69"/>
  <c r="N7" i="69"/>
  <c r="C8" i="69"/>
  <c r="P8" i="69" s="1"/>
  <c r="H8" i="69"/>
  <c r="F14" i="69"/>
  <c r="F15" i="69"/>
  <c r="F16" i="69"/>
  <c r="F17" i="69"/>
  <c r="F18" i="69"/>
  <c r="F19" i="69"/>
  <c r="F20" i="69"/>
  <c r="F21" i="69"/>
  <c r="F22" i="69"/>
  <c r="F23" i="69"/>
  <c r="F24" i="69"/>
  <c r="F25" i="69"/>
  <c r="F26" i="69"/>
  <c r="F27" i="69"/>
  <c r="F28" i="69"/>
  <c r="F29" i="69"/>
  <c r="C30" i="69"/>
  <c r="D30" i="69"/>
  <c r="C44" i="69"/>
  <c r="D44" i="69"/>
  <c r="H69" i="69"/>
  <c r="T69" i="69" s="1"/>
  <c r="H72" i="69"/>
  <c r="T72" i="69" s="1"/>
  <c r="F85" i="69"/>
  <c r="R85" i="69" s="1"/>
  <c r="F88" i="69"/>
  <c r="R88" i="69" s="1"/>
  <c r="F90" i="69"/>
  <c r="R90" i="69" s="1"/>
  <c r="F92" i="69"/>
  <c r="F94" i="69"/>
  <c r="R94" i="69" s="1"/>
  <c r="F96" i="69"/>
  <c r="R96" i="69" s="1"/>
  <c r="F104" i="69"/>
  <c r="R104" i="69" s="1"/>
  <c r="F105" i="69"/>
  <c r="R105" i="69" s="1"/>
  <c r="F106" i="69"/>
  <c r="R106" i="69" s="1"/>
  <c r="G113" i="69"/>
  <c r="I113" i="69" s="1"/>
  <c r="G114" i="69"/>
  <c r="T114" i="69" s="1"/>
  <c r="U114" i="69" s="1"/>
  <c r="H121" i="69"/>
  <c r="T121" i="69" s="1"/>
  <c r="R121" i="69"/>
  <c r="R122" i="69" s="1"/>
  <c r="F122" i="69"/>
  <c r="H122" i="69"/>
  <c r="T122" i="69" s="1"/>
  <c r="I143" i="69"/>
  <c r="A152" i="69"/>
  <c r="A162" i="69"/>
  <c r="A164" i="69"/>
  <c r="A168" i="69"/>
  <c r="A172" i="69"/>
  <c r="A173" i="69"/>
  <c r="A174" i="69"/>
  <c r="A178" i="69"/>
  <c r="A179" i="69"/>
  <c r="A180" i="69"/>
  <c r="A182" i="69"/>
  <c r="A183" i="69"/>
  <c r="A184" i="69"/>
  <c r="A185" i="69"/>
  <c r="N1" i="67"/>
  <c r="A3" i="67"/>
  <c r="N3" i="67" s="1"/>
  <c r="F4" i="67"/>
  <c r="P4" i="67"/>
  <c r="N7" i="67"/>
  <c r="C8" i="67"/>
  <c r="P8" i="67" s="1"/>
  <c r="H8" i="67"/>
  <c r="E104" i="67" s="1"/>
  <c r="F14" i="67"/>
  <c r="F15" i="67"/>
  <c r="F16" i="67"/>
  <c r="F17" i="67"/>
  <c r="F18" i="67"/>
  <c r="F19" i="67"/>
  <c r="F20" i="67"/>
  <c r="F21" i="67"/>
  <c r="F22" i="67"/>
  <c r="F23" i="67"/>
  <c r="F24" i="67"/>
  <c r="F25" i="67"/>
  <c r="F26" i="67"/>
  <c r="F27" i="67"/>
  <c r="F28" i="67"/>
  <c r="F29" i="67"/>
  <c r="C30" i="67"/>
  <c r="D30" i="67"/>
  <c r="E121" i="67" s="1"/>
  <c r="C44" i="67"/>
  <c r="D44" i="67"/>
  <c r="E39" i="67" s="1"/>
  <c r="H69" i="67"/>
  <c r="T69" i="67" s="1"/>
  <c r="H72" i="67"/>
  <c r="T72" i="67" s="1"/>
  <c r="F85" i="67"/>
  <c r="R85" i="67" s="1"/>
  <c r="F88" i="67"/>
  <c r="R88" i="67" s="1"/>
  <c r="F90" i="67"/>
  <c r="R90" i="67" s="1"/>
  <c r="F92" i="67"/>
  <c r="R92" i="67" s="1"/>
  <c r="F94" i="67"/>
  <c r="R94" i="67" s="1"/>
  <c r="F96" i="67"/>
  <c r="R96" i="67" s="1"/>
  <c r="F104" i="67"/>
  <c r="R104" i="67" s="1"/>
  <c r="F105" i="67"/>
  <c r="R105" i="67" s="1"/>
  <c r="F106" i="67"/>
  <c r="R106" i="67" s="1"/>
  <c r="G113" i="67"/>
  <c r="T113" i="67" s="1"/>
  <c r="G114" i="67"/>
  <c r="T114" i="67" s="1"/>
  <c r="U114" i="67" s="1"/>
  <c r="H121" i="67"/>
  <c r="H123" i="67" s="1"/>
  <c r="T123" i="67" s="1"/>
  <c r="R121" i="67"/>
  <c r="R122" i="67" s="1"/>
  <c r="F122" i="67"/>
  <c r="H122" i="67"/>
  <c r="T122" i="67" s="1"/>
  <c r="I143" i="67"/>
  <c r="A152" i="67"/>
  <c r="A162" i="67"/>
  <c r="A164" i="67"/>
  <c r="A168" i="67"/>
  <c r="A172" i="67"/>
  <c r="A173" i="67"/>
  <c r="A174" i="67"/>
  <c r="A178" i="67"/>
  <c r="A179" i="67"/>
  <c r="A180" i="67"/>
  <c r="A182" i="67"/>
  <c r="A183" i="67"/>
  <c r="A184" i="67"/>
  <c r="A185" i="67"/>
  <c r="N1" i="66"/>
  <c r="A3" i="66"/>
  <c r="N3" i="66" s="1"/>
  <c r="F4" i="66"/>
  <c r="P4" i="66"/>
  <c r="N7" i="66"/>
  <c r="C8" i="66"/>
  <c r="P8" i="66" s="1"/>
  <c r="H8" i="66"/>
  <c r="E105" i="66" s="1"/>
  <c r="F14" i="66"/>
  <c r="F15" i="66"/>
  <c r="F16" i="66"/>
  <c r="F17" i="66"/>
  <c r="F18" i="66"/>
  <c r="F19" i="66"/>
  <c r="F20" i="66"/>
  <c r="F21" i="66"/>
  <c r="F22" i="66"/>
  <c r="F23" i="66"/>
  <c r="F24" i="66"/>
  <c r="F25" i="66"/>
  <c r="F26" i="66"/>
  <c r="F27" i="66"/>
  <c r="F28" i="66"/>
  <c r="F29" i="66"/>
  <c r="C30" i="66"/>
  <c r="D30" i="66"/>
  <c r="C44" i="66"/>
  <c r="D44" i="66"/>
  <c r="E39" i="66" s="1"/>
  <c r="H69" i="66"/>
  <c r="T69" i="66" s="1"/>
  <c r="H72" i="66"/>
  <c r="T72" i="66" s="1"/>
  <c r="F85" i="66"/>
  <c r="R85" i="66" s="1"/>
  <c r="F88" i="66"/>
  <c r="R88" i="66" s="1"/>
  <c r="F90" i="66"/>
  <c r="R90" i="66" s="1"/>
  <c r="F92" i="66"/>
  <c r="R92" i="66" s="1"/>
  <c r="F94" i="66"/>
  <c r="R94" i="66" s="1"/>
  <c r="F96" i="66"/>
  <c r="R96" i="66" s="1"/>
  <c r="F104" i="66"/>
  <c r="R104" i="66" s="1"/>
  <c r="F105" i="66"/>
  <c r="R105" i="66" s="1"/>
  <c r="F106" i="66"/>
  <c r="R106" i="66" s="1"/>
  <c r="G113" i="66"/>
  <c r="T113" i="66" s="1"/>
  <c r="G114" i="66"/>
  <c r="T114" i="66" s="1"/>
  <c r="U114" i="66" s="1"/>
  <c r="H121" i="66"/>
  <c r="R121" i="66"/>
  <c r="R122" i="66" s="1"/>
  <c r="F122" i="66"/>
  <c r="H122" i="66"/>
  <c r="T122" i="66" s="1"/>
  <c r="I143" i="66"/>
  <c r="A152" i="66"/>
  <c r="A162" i="66"/>
  <c r="A164" i="66"/>
  <c r="A168" i="66"/>
  <c r="A172" i="66"/>
  <c r="A173" i="66"/>
  <c r="A174" i="66"/>
  <c r="A178" i="66"/>
  <c r="A179" i="66"/>
  <c r="A180" i="66"/>
  <c r="A182" i="66"/>
  <c r="A183" i="66"/>
  <c r="A184" i="66"/>
  <c r="A185" i="66"/>
  <c r="N1" i="58"/>
  <c r="A3" i="58"/>
  <c r="N3" i="58" s="1"/>
  <c r="F4" i="58"/>
  <c r="P4" i="58"/>
  <c r="N7" i="58"/>
  <c r="C8" i="58"/>
  <c r="P8" i="58" s="1"/>
  <c r="H8" i="58"/>
  <c r="T8" i="58" s="1"/>
  <c r="F14" i="58"/>
  <c r="F15" i="58"/>
  <c r="F16" i="58"/>
  <c r="F17" i="58"/>
  <c r="F18" i="58"/>
  <c r="F19" i="58"/>
  <c r="F20" i="58"/>
  <c r="F21" i="58"/>
  <c r="F22" i="58"/>
  <c r="F23" i="58"/>
  <c r="F24" i="58"/>
  <c r="F25" i="58"/>
  <c r="F26" i="58"/>
  <c r="F27" i="58"/>
  <c r="F28" i="58"/>
  <c r="F29" i="58"/>
  <c r="C30" i="58"/>
  <c r="D30" i="58"/>
  <c r="C44" i="58"/>
  <c r="D44" i="58"/>
  <c r="H69" i="58"/>
  <c r="T69" i="58" s="1"/>
  <c r="H72" i="58"/>
  <c r="T72" i="58" s="1"/>
  <c r="F85" i="58"/>
  <c r="F88" i="58"/>
  <c r="R88" i="58" s="1"/>
  <c r="F90" i="58"/>
  <c r="F92" i="58"/>
  <c r="R92" i="58" s="1"/>
  <c r="F94" i="58"/>
  <c r="R94" i="58" s="1"/>
  <c r="F96" i="58"/>
  <c r="R96" i="58" s="1"/>
  <c r="F104" i="58"/>
  <c r="R104" i="58" s="1"/>
  <c r="F105" i="58"/>
  <c r="R105" i="58" s="1"/>
  <c r="F106" i="58"/>
  <c r="R106" i="58" s="1"/>
  <c r="G113" i="58"/>
  <c r="I113" i="58" s="1"/>
  <c r="G114" i="58"/>
  <c r="T114" i="58" s="1"/>
  <c r="U114" i="58" s="1"/>
  <c r="H121" i="58"/>
  <c r="T121" i="58" s="1"/>
  <c r="R121" i="58"/>
  <c r="R122" i="58" s="1"/>
  <c r="F122" i="58"/>
  <c r="H122" i="58"/>
  <c r="T122" i="58" s="1"/>
  <c r="I143" i="58"/>
  <c r="A152" i="58"/>
  <c r="A162" i="58"/>
  <c r="A164" i="58"/>
  <c r="A168" i="58"/>
  <c r="A172" i="58"/>
  <c r="A173" i="58"/>
  <c r="A174" i="58"/>
  <c r="A178" i="58"/>
  <c r="A179" i="58"/>
  <c r="A180" i="58"/>
  <c r="A182" i="58"/>
  <c r="A183" i="58"/>
  <c r="A184" i="58"/>
  <c r="A185" i="58"/>
  <c r="N1" i="57"/>
  <c r="A3" i="57"/>
  <c r="N3" i="57" s="1"/>
  <c r="F4" i="57"/>
  <c r="P4" i="57"/>
  <c r="N7" i="57"/>
  <c r="C8" i="57"/>
  <c r="P8" i="57" s="1"/>
  <c r="H8" i="57"/>
  <c r="E105" i="57" s="1"/>
  <c r="F14" i="57"/>
  <c r="F15" i="57"/>
  <c r="F16" i="57"/>
  <c r="F17" i="57"/>
  <c r="F18" i="57"/>
  <c r="F19" i="57"/>
  <c r="F20" i="57"/>
  <c r="F21" i="57"/>
  <c r="F22" i="57"/>
  <c r="F23" i="57"/>
  <c r="F24" i="57"/>
  <c r="F25" i="57"/>
  <c r="F26" i="57"/>
  <c r="F27" i="57"/>
  <c r="F28" i="57"/>
  <c r="F29" i="57"/>
  <c r="C30" i="57"/>
  <c r="D30" i="57"/>
  <c r="E121" i="57" s="1"/>
  <c r="C44" i="57"/>
  <c r="D44" i="57"/>
  <c r="E40" i="57" s="1"/>
  <c r="H69" i="57"/>
  <c r="T69" i="57" s="1"/>
  <c r="H72" i="57"/>
  <c r="T72" i="57" s="1"/>
  <c r="F85" i="57"/>
  <c r="R85" i="57" s="1"/>
  <c r="F88" i="57"/>
  <c r="R88" i="57" s="1"/>
  <c r="F90" i="57"/>
  <c r="R90" i="57" s="1"/>
  <c r="F92" i="57"/>
  <c r="R92" i="57" s="1"/>
  <c r="F94" i="57"/>
  <c r="R94" i="57" s="1"/>
  <c r="F96" i="57"/>
  <c r="R96" i="57" s="1"/>
  <c r="F104" i="57"/>
  <c r="R104" i="57" s="1"/>
  <c r="F105" i="57"/>
  <c r="R105" i="57" s="1"/>
  <c r="F106" i="57"/>
  <c r="R106" i="57" s="1"/>
  <c r="G113" i="57"/>
  <c r="T113" i="57" s="1"/>
  <c r="G114" i="57"/>
  <c r="H121" i="57"/>
  <c r="R121" i="57"/>
  <c r="R122" i="57" s="1"/>
  <c r="F122" i="57"/>
  <c r="H122" i="57"/>
  <c r="T122" i="57" s="1"/>
  <c r="I143" i="57"/>
  <c r="A152" i="57"/>
  <c r="A162" i="57"/>
  <c r="A164" i="57"/>
  <c r="A168" i="57"/>
  <c r="A172" i="57"/>
  <c r="A173" i="57"/>
  <c r="A174" i="57"/>
  <c r="A178" i="57"/>
  <c r="A179" i="57"/>
  <c r="A180" i="57"/>
  <c r="A182" i="57"/>
  <c r="A183" i="57"/>
  <c r="A184" i="57"/>
  <c r="A185" i="57"/>
  <c r="N1" i="56"/>
  <c r="A3" i="56"/>
  <c r="N3" i="56" s="1"/>
  <c r="F4" i="56"/>
  <c r="P4" i="56"/>
  <c r="N7" i="56"/>
  <c r="C8" i="56"/>
  <c r="P8" i="56" s="1"/>
  <c r="H8" i="56"/>
  <c r="T8" i="56" s="1"/>
  <c r="F14" i="56"/>
  <c r="F15" i="56"/>
  <c r="F16" i="56"/>
  <c r="F17" i="56"/>
  <c r="F18" i="56"/>
  <c r="F19" i="56"/>
  <c r="F20" i="56"/>
  <c r="F21" i="56"/>
  <c r="F22" i="56"/>
  <c r="F23" i="56"/>
  <c r="F24" i="56"/>
  <c r="F25" i="56"/>
  <c r="F26" i="56"/>
  <c r="F27" i="56"/>
  <c r="F28" i="56"/>
  <c r="F29" i="56"/>
  <c r="C30" i="56"/>
  <c r="D30" i="56"/>
  <c r="C44" i="56"/>
  <c r="D44" i="56"/>
  <c r="H69" i="56"/>
  <c r="T69" i="56" s="1"/>
  <c r="H72" i="56"/>
  <c r="T72" i="56" s="1"/>
  <c r="F85" i="56"/>
  <c r="R85" i="56" s="1"/>
  <c r="F88" i="56"/>
  <c r="R88" i="56" s="1"/>
  <c r="F90" i="56"/>
  <c r="R90" i="56" s="1"/>
  <c r="F92" i="56"/>
  <c r="F94" i="56"/>
  <c r="R94" i="56" s="1"/>
  <c r="F96" i="56"/>
  <c r="R96" i="56" s="1"/>
  <c r="F104" i="56"/>
  <c r="R104" i="56" s="1"/>
  <c r="F105" i="56"/>
  <c r="R105" i="56" s="1"/>
  <c r="F106" i="56"/>
  <c r="R106" i="56" s="1"/>
  <c r="G113" i="56"/>
  <c r="I113" i="56" s="1"/>
  <c r="G114" i="56"/>
  <c r="T114" i="56" s="1"/>
  <c r="U114" i="56" s="1"/>
  <c r="H121" i="56"/>
  <c r="T121" i="56" s="1"/>
  <c r="R121" i="56"/>
  <c r="R122" i="56" s="1"/>
  <c r="F122" i="56"/>
  <c r="H122" i="56"/>
  <c r="I143" i="56"/>
  <c r="A152" i="56"/>
  <c r="A162" i="56"/>
  <c r="A164" i="56"/>
  <c r="A168" i="56"/>
  <c r="A172" i="56"/>
  <c r="A173" i="56"/>
  <c r="A174" i="56"/>
  <c r="A178" i="56"/>
  <c r="A179" i="56"/>
  <c r="A180" i="56"/>
  <c r="A182" i="56"/>
  <c r="A183" i="56"/>
  <c r="A184" i="56"/>
  <c r="A185" i="56"/>
  <c r="N1" i="55"/>
  <c r="A3" i="55"/>
  <c r="N3" i="55" s="1"/>
  <c r="F4" i="55"/>
  <c r="P4" i="55"/>
  <c r="N7" i="55"/>
  <c r="C8" i="55"/>
  <c r="P8" i="55" s="1"/>
  <c r="H8" i="55"/>
  <c r="F14" i="55"/>
  <c r="F15" i="55"/>
  <c r="F16" i="55"/>
  <c r="F17" i="55"/>
  <c r="F18" i="55"/>
  <c r="F19" i="55"/>
  <c r="F20" i="55"/>
  <c r="F21" i="55"/>
  <c r="F22" i="55"/>
  <c r="F23" i="55"/>
  <c r="F24" i="55"/>
  <c r="F25" i="55"/>
  <c r="F26" i="55"/>
  <c r="F27" i="55"/>
  <c r="F28" i="55"/>
  <c r="F29" i="55"/>
  <c r="C30" i="55"/>
  <c r="D30" i="55"/>
  <c r="C44" i="55"/>
  <c r="D44" i="55"/>
  <c r="E38" i="55" s="1"/>
  <c r="H69" i="55"/>
  <c r="T69" i="55" s="1"/>
  <c r="H72" i="55"/>
  <c r="T72" i="55" s="1"/>
  <c r="F85" i="55"/>
  <c r="F88" i="55"/>
  <c r="R88" i="55" s="1"/>
  <c r="F90" i="55"/>
  <c r="F92" i="55"/>
  <c r="R92" i="55" s="1"/>
  <c r="F94" i="55"/>
  <c r="F96" i="55"/>
  <c r="R96" i="55" s="1"/>
  <c r="F104" i="55"/>
  <c r="R104" i="55" s="1"/>
  <c r="F105" i="55"/>
  <c r="R105" i="55" s="1"/>
  <c r="F106" i="55"/>
  <c r="R106" i="55" s="1"/>
  <c r="G113" i="55"/>
  <c r="T113" i="55" s="1"/>
  <c r="G114" i="55"/>
  <c r="T114" i="55" s="1"/>
  <c r="U114" i="55" s="1"/>
  <c r="H121" i="55"/>
  <c r="T121" i="55" s="1"/>
  <c r="R121" i="55"/>
  <c r="R122" i="55" s="1"/>
  <c r="F122" i="55"/>
  <c r="H122" i="55"/>
  <c r="T122" i="55" s="1"/>
  <c r="I143" i="55"/>
  <c r="A152" i="55"/>
  <c r="A162" i="55"/>
  <c r="A164" i="55"/>
  <c r="A168" i="55"/>
  <c r="A172" i="55"/>
  <c r="A173" i="55"/>
  <c r="A174" i="55"/>
  <c r="A178" i="55"/>
  <c r="A179" i="55"/>
  <c r="A180" i="55"/>
  <c r="A182" i="55"/>
  <c r="A183" i="55"/>
  <c r="A184" i="55"/>
  <c r="A185" i="55"/>
  <c r="N1" i="76"/>
  <c r="A3" i="76"/>
  <c r="N3" i="76" s="1"/>
  <c r="F4" i="76"/>
  <c r="P4" i="76"/>
  <c r="N7" i="76"/>
  <c r="C8" i="76"/>
  <c r="P8" i="76" s="1"/>
  <c r="H8" i="76"/>
  <c r="F14" i="76"/>
  <c r="F15" i="76"/>
  <c r="F16" i="76"/>
  <c r="F17" i="76"/>
  <c r="F18" i="76"/>
  <c r="F19" i="76"/>
  <c r="F20" i="76"/>
  <c r="F21" i="76"/>
  <c r="F22" i="76"/>
  <c r="F23" i="76"/>
  <c r="F24" i="76"/>
  <c r="F25" i="76"/>
  <c r="F26" i="76"/>
  <c r="F27" i="76"/>
  <c r="F28" i="76"/>
  <c r="F29" i="76"/>
  <c r="C30" i="76"/>
  <c r="D30" i="76"/>
  <c r="C44" i="76"/>
  <c r="D44" i="76"/>
  <c r="E41" i="76" s="1"/>
  <c r="H69" i="76"/>
  <c r="T69" i="76" s="1"/>
  <c r="H72" i="76"/>
  <c r="T72" i="76" s="1"/>
  <c r="F85" i="76"/>
  <c r="R85" i="76" s="1"/>
  <c r="F88" i="76"/>
  <c r="R88" i="76" s="1"/>
  <c r="F90" i="76"/>
  <c r="R90" i="76" s="1"/>
  <c r="F92" i="76"/>
  <c r="F94" i="76"/>
  <c r="R94" i="76" s="1"/>
  <c r="F96" i="76"/>
  <c r="R96" i="76" s="1"/>
  <c r="F104" i="76"/>
  <c r="R104" i="76" s="1"/>
  <c r="F105" i="76"/>
  <c r="R105" i="76" s="1"/>
  <c r="F106" i="76"/>
  <c r="R106" i="76" s="1"/>
  <c r="G113" i="76"/>
  <c r="I113" i="76" s="1"/>
  <c r="G114" i="76"/>
  <c r="H121" i="76"/>
  <c r="H123" i="76" s="1"/>
  <c r="R121" i="76"/>
  <c r="R122" i="76" s="1"/>
  <c r="F122" i="76"/>
  <c r="H122" i="76"/>
  <c r="T122" i="76" s="1"/>
  <c r="I143" i="76"/>
  <c r="A152" i="76"/>
  <c r="A162" i="76"/>
  <c r="A164" i="76"/>
  <c r="A168" i="76"/>
  <c r="A172" i="76"/>
  <c r="A173" i="76"/>
  <c r="A174" i="76"/>
  <c r="A178" i="76"/>
  <c r="A179" i="76"/>
  <c r="A180" i="76"/>
  <c r="A182" i="76"/>
  <c r="A183" i="76"/>
  <c r="A184" i="76"/>
  <c r="A185" i="76"/>
  <c r="N1" i="75"/>
  <c r="A3" i="75"/>
  <c r="N3" i="75" s="1"/>
  <c r="F4" i="75"/>
  <c r="P4" i="75"/>
  <c r="N7" i="75"/>
  <c r="C8" i="75"/>
  <c r="P8" i="75" s="1"/>
  <c r="H8" i="75"/>
  <c r="F14" i="75"/>
  <c r="F15" i="75"/>
  <c r="F16" i="75"/>
  <c r="F17" i="75"/>
  <c r="F18" i="75"/>
  <c r="F19" i="75"/>
  <c r="F20" i="75"/>
  <c r="F21" i="75"/>
  <c r="F22" i="75"/>
  <c r="F23" i="75"/>
  <c r="F24" i="75"/>
  <c r="F25" i="75"/>
  <c r="F26" i="75"/>
  <c r="F27" i="75"/>
  <c r="F28" i="75"/>
  <c r="F29" i="75"/>
  <c r="C30" i="75"/>
  <c r="D30" i="75"/>
  <c r="C44" i="75"/>
  <c r="D44" i="75"/>
  <c r="H69" i="75"/>
  <c r="T69" i="75" s="1"/>
  <c r="H72" i="75"/>
  <c r="T72" i="75" s="1"/>
  <c r="F85" i="75"/>
  <c r="F88" i="75"/>
  <c r="R88" i="75" s="1"/>
  <c r="F90" i="75"/>
  <c r="F92" i="75"/>
  <c r="R92" i="75" s="1"/>
  <c r="F94" i="75"/>
  <c r="R94" i="75" s="1"/>
  <c r="F96" i="75"/>
  <c r="R96" i="75" s="1"/>
  <c r="F104" i="75"/>
  <c r="R104" i="75" s="1"/>
  <c r="F105" i="75"/>
  <c r="R105" i="75" s="1"/>
  <c r="F106" i="75"/>
  <c r="R106" i="75" s="1"/>
  <c r="G113" i="75"/>
  <c r="I113" i="75" s="1"/>
  <c r="G114" i="75"/>
  <c r="T114" i="75" s="1"/>
  <c r="U114" i="75" s="1"/>
  <c r="H121" i="75"/>
  <c r="T121" i="75" s="1"/>
  <c r="R121" i="75"/>
  <c r="R122" i="75" s="1"/>
  <c r="F122" i="75"/>
  <c r="H122" i="75"/>
  <c r="I143" i="75"/>
  <c r="A152" i="75"/>
  <c r="A162" i="75"/>
  <c r="A164" i="75"/>
  <c r="A168" i="75"/>
  <c r="A172" i="75"/>
  <c r="A173" i="75"/>
  <c r="A174" i="75"/>
  <c r="A178" i="75"/>
  <c r="A179" i="75"/>
  <c r="A180" i="75"/>
  <c r="A182" i="75"/>
  <c r="A183" i="75"/>
  <c r="A184" i="75"/>
  <c r="A185" i="75"/>
  <c r="N1" i="52"/>
  <c r="A3" i="52"/>
  <c r="N3" i="52" s="1"/>
  <c r="F4" i="52"/>
  <c r="P4" i="52"/>
  <c r="N7" i="52"/>
  <c r="C8" i="52"/>
  <c r="P8" i="52" s="1"/>
  <c r="H8" i="52"/>
  <c r="T8" i="52" s="1"/>
  <c r="F14" i="52"/>
  <c r="F15" i="52"/>
  <c r="F16" i="52"/>
  <c r="F17" i="52"/>
  <c r="F18" i="52"/>
  <c r="F19" i="52"/>
  <c r="F20" i="52"/>
  <c r="F21" i="52"/>
  <c r="F22" i="52"/>
  <c r="F23" i="52"/>
  <c r="F24" i="52"/>
  <c r="F25" i="52"/>
  <c r="F26" i="52"/>
  <c r="F27" i="52"/>
  <c r="F28" i="52"/>
  <c r="F29" i="52"/>
  <c r="C30" i="52"/>
  <c r="D30" i="52"/>
  <c r="C44" i="52"/>
  <c r="D44" i="52"/>
  <c r="E42" i="52" s="1"/>
  <c r="H69" i="52"/>
  <c r="T69" i="52" s="1"/>
  <c r="H72" i="52"/>
  <c r="T72" i="52" s="1"/>
  <c r="F85" i="52"/>
  <c r="R85" i="52" s="1"/>
  <c r="F88" i="52"/>
  <c r="R88" i="52" s="1"/>
  <c r="F90" i="52"/>
  <c r="R90" i="52" s="1"/>
  <c r="F92" i="52"/>
  <c r="F94" i="52"/>
  <c r="F96" i="52"/>
  <c r="R96" i="52" s="1"/>
  <c r="F104" i="52"/>
  <c r="R104" i="52" s="1"/>
  <c r="F105" i="52"/>
  <c r="R105" i="52" s="1"/>
  <c r="F106" i="52"/>
  <c r="R106" i="52" s="1"/>
  <c r="G113" i="52"/>
  <c r="I113" i="52" s="1"/>
  <c r="G114" i="52"/>
  <c r="I114" i="52" s="1"/>
  <c r="H121" i="52"/>
  <c r="T121" i="52" s="1"/>
  <c r="R121" i="52"/>
  <c r="R122" i="52" s="1"/>
  <c r="F122" i="52"/>
  <c r="H122" i="52"/>
  <c r="T122" i="52" s="1"/>
  <c r="I143" i="52"/>
  <c r="A152" i="52"/>
  <c r="A162" i="52"/>
  <c r="A164" i="52"/>
  <c r="A168" i="52"/>
  <c r="A172" i="52"/>
  <c r="A173" i="52"/>
  <c r="A174" i="52"/>
  <c r="A178" i="52"/>
  <c r="A179" i="52"/>
  <c r="A180" i="52"/>
  <c r="A182" i="52"/>
  <c r="A183" i="52"/>
  <c r="A184" i="52"/>
  <c r="A185" i="52"/>
  <c r="N1" i="51"/>
  <c r="A3" i="51"/>
  <c r="N3" i="51" s="1"/>
  <c r="F4" i="51"/>
  <c r="P4" i="51"/>
  <c r="N7" i="51"/>
  <c r="C8" i="51"/>
  <c r="P8" i="51" s="1"/>
  <c r="H8" i="51"/>
  <c r="T8" i="51" s="1"/>
  <c r="P104" i="51" s="1"/>
  <c r="F14" i="51"/>
  <c r="F15" i="51"/>
  <c r="F16" i="51"/>
  <c r="F17" i="51"/>
  <c r="F18" i="51"/>
  <c r="F19" i="51"/>
  <c r="F20" i="51"/>
  <c r="F21" i="51"/>
  <c r="F22" i="51"/>
  <c r="F23" i="51"/>
  <c r="F24" i="51"/>
  <c r="F25" i="51"/>
  <c r="F26" i="51"/>
  <c r="F27" i="51"/>
  <c r="F28" i="51"/>
  <c r="F29" i="51"/>
  <c r="C30" i="51"/>
  <c r="D30" i="51"/>
  <c r="C44" i="51"/>
  <c r="D44" i="51"/>
  <c r="E40" i="51" s="1"/>
  <c r="H69" i="51"/>
  <c r="T69" i="51" s="1"/>
  <c r="H72" i="51"/>
  <c r="T72" i="51" s="1"/>
  <c r="F85" i="51"/>
  <c r="R85" i="51" s="1"/>
  <c r="F88" i="51"/>
  <c r="R88" i="51" s="1"/>
  <c r="F90" i="51"/>
  <c r="R90" i="51" s="1"/>
  <c r="F92" i="51"/>
  <c r="R92" i="51" s="1"/>
  <c r="F94" i="51"/>
  <c r="F96" i="51"/>
  <c r="F104" i="51"/>
  <c r="R104" i="51" s="1"/>
  <c r="F105" i="51"/>
  <c r="R105" i="51" s="1"/>
  <c r="F106" i="51"/>
  <c r="R106" i="51" s="1"/>
  <c r="G113" i="51"/>
  <c r="I113" i="51" s="1"/>
  <c r="G114" i="51"/>
  <c r="T114" i="51" s="1"/>
  <c r="U114" i="51" s="1"/>
  <c r="H121" i="51"/>
  <c r="T121" i="51" s="1"/>
  <c r="R121" i="51"/>
  <c r="R122" i="51" s="1"/>
  <c r="F122" i="51"/>
  <c r="H122" i="51"/>
  <c r="T122" i="51" s="1"/>
  <c r="I143" i="51"/>
  <c r="A152" i="51"/>
  <c r="A162" i="51"/>
  <c r="A164" i="51"/>
  <c r="A168" i="51"/>
  <c r="A172" i="51"/>
  <c r="A173" i="51"/>
  <c r="A174" i="51"/>
  <c r="A178" i="51"/>
  <c r="A179" i="51"/>
  <c r="A180" i="51"/>
  <c r="A182" i="51"/>
  <c r="A183" i="51"/>
  <c r="A184" i="51"/>
  <c r="A185" i="51"/>
  <c r="N1" i="50"/>
  <c r="A3" i="50"/>
  <c r="N3" i="50" s="1"/>
  <c r="F4" i="50"/>
  <c r="P4" i="50"/>
  <c r="N7" i="50"/>
  <c r="C8" i="50"/>
  <c r="P8" i="50" s="1"/>
  <c r="H8" i="50"/>
  <c r="E104" i="50" s="1"/>
  <c r="F14" i="50"/>
  <c r="F15" i="50"/>
  <c r="F16" i="50"/>
  <c r="F17" i="50"/>
  <c r="F18" i="50"/>
  <c r="F19" i="50"/>
  <c r="F20" i="50"/>
  <c r="F21" i="50"/>
  <c r="F22" i="50"/>
  <c r="F23" i="50"/>
  <c r="F24" i="50"/>
  <c r="F25" i="50"/>
  <c r="F26" i="50"/>
  <c r="F27" i="50"/>
  <c r="F28" i="50"/>
  <c r="F29" i="50"/>
  <c r="C30" i="50"/>
  <c r="D30" i="50"/>
  <c r="C44" i="50"/>
  <c r="D44" i="50"/>
  <c r="E40" i="50" s="1"/>
  <c r="H69" i="50"/>
  <c r="T69" i="50" s="1"/>
  <c r="H72" i="50"/>
  <c r="T72" i="50" s="1"/>
  <c r="F85" i="50"/>
  <c r="R85" i="50" s="1"/>
  <c r="F88" i="50"/>
  <c r="R88" i="50" s="1"/>
  <c r="F90" i="50"/>
  <c r="R90" i="50" s="1"/>
  <c r="F92" i="50"/>
  <c r="R92" i="50" s="1"/>
  <c r="F94" i="50"/>
  <c r="R94" i="50" s="1"/>
  <c r="F96" i="50"/>
  <c r="R96" i="50" s="1"/>
  <c r="F104" i="50"/>
  <c r="R104" i="50" s="1"/>
  <c r="F105" i="50"/>
  <c r="R105" i="50" s="1"/>
  <c r="F106" i="50"/>
  <c r="R106" i="50" s="1"/>
  <c r="G113" i="50"/>
  <c r="T113" i="50" s="1"/>
  <c r="G114" i="50"/>
  <c r="I114" i="50" s="1"/>
  <c r="H121" i="50"/>
  <c r="R121" i="50"/>
  <c r="R122" i="50" s="1"/>
  <c r="F122" i="50"/>
  <c r="H122" i="50"/>
  <c r="T122" i="50" s="1"/>
  <c r="I143" i="50"/>
  <c r="A152" i="50"/>
  <c r="A162" i="50"/>
  <c r="A164" i="50"/>
  <c r="A168" i="50"/>
  <c r="A172" i="50"/>
  <c r="A173" i="50"/>
  <c r="A174" i="50"/>
  <c r="A178" i="50"/>
  <c r="A179" i="50"/>
  <c r="A180" i="50"/>
  <c r="A182" i="50"/>
  <c r="A183" i="50"/>
  <c r="A184" i="50"/>
  <c r="A185" i="50"/>
  <c r="N1" i="48"/>
  <c r="A3" i="48"/>
  <c r="N3" i="48" s="1"/>
  <c r="F4" i="48"/>
  <c r="P4" i="48"/>
  <c r="N7" i="48"/>
  <c r="C8" i="48"/>
  <c r="P8" i="48" s="1"/>
  <c r="H8" i="48"/>
  <c r="F14" i="48"/>
  <c r="F15" i="48"/>
  <c r="F16" i="48"/>
  <c r="F17" i="48"/>
  <c r="F18" i="48"/>
  <c r="F19" i="48"/>
  <c r="F20" i="48"/>
  <c r="F21" i="48"/>
  <c r="F22" i="48"/>
  <c r="F23" i="48"/>
  <c r="F24" i="48"/>
  <c r="F25" i="48"/>
  <c r="F26" i="48"/>
  <c r="F27" i="48"/>
  <c r="F28" i="48"/>
  <c r="F29" i="48"/>
  <c r="C30" i="48"/>
  <c r="D30" i="48"/>
  <c r="C44" i="48"/>
  <c r="D44" i="48"/>
  <c r="H69" i="48"/>
  <c r="T69" i="48" s="1"/>
  <c r="H72" i="48"/>
  <c r="T72" i="48" s="1"/>
  <c r="F85" i="48"/>
  <c r="R85" i="48" s="1"/>
  <c r="F88" i="48"/>
  <c r="F90" i="48"/>
  <c r="R90" i="48" s="1"/>
  <c r="F92" i="48"/>
  <c r="F94" i="48"/>
  <c r="R94" i="48" s="1"/>
  <c r="F96" i="48"/>
  <c r="F104" i="48"/>
  <c r="R104" i="48" s="1"/>
  <c r="F105" i="48"/>
  <c r="R105" i="48" s="1"/>
  <c r="F106" i="48"/>
  <c r="R106" i="48" s="1"/>
  <c r="G113" i="48"/>
  <c r="T113" i="48" s="1"/>
  <c r="G114" i="48"/>
  <c r="I114" i="48" s="1"/>
  <c r="H121" i="48"/>
  <c r="R121" i="48"/>
  <c r="R122" i="48" s="1"/>
  <c r="F122" i="48"/>
  <c r="H122" i="48"/>
  <c r="I143" i="48"/>
  <c r="A152" i="48"/>
  <c r="A162" i="48"/>
  <c r="A164" i="48"/>
  <c r="A168" i="48"/>
  <c r="A172" i="48"/>
  <c r="A173" i="48"/>
  <c r="A174" i="48"/>
  <c r="A178" i="48"/>
  <c r="A179" i="48"/>
  <c r="A180" i="48"/>
  <c r="A182" i="48"/>
  <c r="A183" i="48"/>
  <c r="A184" i="48"/>
  <c r="A185" i="48"/>
  <c r="N1" i="47"/>
  <c r="A3" i="47"/>
  <c r="N3" i="47" s="1"/>
  <c r="F4" i="47"/>
  <c r="P4" i="47"/>
  <c r="N7" i="47"/>
  <c r="C8" i="47"/>
  <c r="P8" i="47" s="1"/>
  <c r="H8" i="47"/>
  <c r="F14" i="47"/>
  <c r="F15" i="47"/>
  <c r="F16" i="47"/>
  <c r="F17" i="47"/>
  <c r="F18" i="47"/>
  <c r="F19" i="47"/>
  <c r="F20" i="47"/>
  <c r="F21" i="47"/>
  <c r="F22" i="47"/>
  <c r="F23" i="47"/>
  <c r="F24" i="47"/>
  <c r="F25" i="47"/>
  <c r="F26" i="47"/>
  <c r="F27" i="47"/>
  <c r="F28" i="47"/>
  <c r="F29" i="47"/>
  <c r="C30" i="47"/>
  <c r="D30" i="47"/>
  <c r="C44" i="47"/>
  <c r="D44" i="47"/>
  <c r="H69" i="47"/>
  <c r="T69" i="47" s="1"/>
  <c r="H72" i="47"/>
  <c r="T72" i="47" s="1"/>
  <c r="F85" i="47"/>
  <c r="R85" i="47" s="1"/>
  <c r="F88" i="47"/>
  <c r="R88" i="47" s="1"/>
  <c r="F90" i="47"/>
  <c r="R90" i="47" s="1"/>
  <c r="F92" i="47"/>
  <c r="F94" i="47"/>
  <c r="R94" i="47" s="1"/>
  <c r="F96" i="47"/>
  <c r="R96" i="47" s="1"/>
  <c r="F104" i="47"/>
  <c r="R104" i="47" s="1"/>
  <c r="F105" i="47"/>
  <c r="R105" i="47" s="1"/>
  <c r="F106" i="47"/>
  <c r="R106" i="47" s="1"/>
  <c r="G113" i="47"/>
  <c r="T113" i="47" s="1"/>
  <c r="G114" i="47"/>
  <c r="I114" i="47" s="1"/>
  <c r="H121" i="47"/>
  <c r="R121" i="47"/>
  <c r="R122" i="47" s="1"/>
  <c r="F122" i="47"/>
  <c r="H122" i="47"/>
  <c r="T122" i="47" s="1"/>
  <c r="I143" i="47"/>
  <c r="A152" i="47"/>
  <c r="A162" i="47"/>
  <c r="A164" i="47"/>
  <c r="A168" i="47"/>
  <c r="A172" i="47"/>
  <c r="A173" i="47"/>
  <c r="A174" i="47"/>
  <c r="A178" i="47"/>
  <c r="A179" i="47"/>
  <c r="A180" i="47"/>
  <c r="A182" i="47"/>
  <c r="A183" i="47"/>
  <c r="A184" i="47"/>
  <c r="A185" i="47"/>
  <c r="N1" i="45"/>
  <c r="A3" i="45"/>
  <c r="N3" i="45" s="1"/>
  <c r="F4" i="45"/>
  <c r="P4" i="45"/>
  <c r="N7" i="45"/>
  <c r="C8" i="45"/>
  <c r="P8" i="45" s="1"/>
  <c r="H8" i="45"/>
  <c r="T8" i="45" s="1"/>
  <c r="P104" i="45" s="1"/>
  <c r="F14" i="45"/>
  <c r="F15" i="45"/>
  <c r="F16" i="45"/>
  <c r="F17" i="45"/>
  <c r="F18" i="45"/>
  <c r="F19" i="45"/>
  <c r="F20" i="45"/>
  <c r="F21" i="45"/>
  <c r="F22" i="45"/>
  <c r="F23" i="45"/>
  <c r="F24" i="45"/>
  <c r="F25" i="45"/>
  <c r="F26" i="45"/>
  <c r="F27" i="45"/>
  <c r="F28" i="45"/>
  <c r="F29" i="45"/>
  <c r="C30" i="45"/>
  <c r="D30" i="45"/>
  <c r="C44" i="45"/>
  <c r="D44" i="45"/>
  <c r="E40" i="45" s="1"/>
  <c r="H69" i="45"/>
  <c r="T69" i="45" s="1"/>
  <c r="H72" i="45"/>
  <c r="T72" i="45" s="1"/>
  <c r="F85" i="45"/>
  <c r="R85" i="45" s="1"/>
  <c r="F88" i="45"/>
  <c r="R88" i="45" s="1"/>
  <c r="F90" i="45"/>
  <c r="R90" i="45" s="1"/>
  <c r="F92" i="45"/>
  <c r="F94" i="45"/>
  <c r="F96" i="45"/>
  <c r="R96" i="45" s="1"/>
  <c r="F104" i="45"/>
  <c r="R104" i="45" s="1"/>
  <c r="F105" i="45"/>
  <c r="R105" i="45" s="1"/>
  <c r="F106" i="45"/>
  <c r="R106" i="45" s="1"/>
  <c r="G113" i="45"/>
  <c r="G114" i="45"/>
  <c r="I114" i="45" s="1"/>
  <c r="H121" i="45"/>
  <c r="R121" i="45"/>
  <c r="R122" i="45" s="1"/>
  <c r="F122" i="45"/>
  <c r="H122" i="45"/>
  <c r="T122" i="45" s="1"/>
  <c r="I143" i="45"/>
  <c r="A152" i="45"/>
  <c r="A162" i="45"/>
  <c r="A164" i="45"/>
  <c r="A168" i="45"/>
  <c r="A172" i="45"/>
  <c r="A173" i="45"/>
  <c r="A174" i="45"/>
  <c r="A178" i="45"/>
  <c r="A179" i="45"/>
  <c r="A180" i="45"/>
  <c r="A182" i="45"/>
  <c r="A183" i="45"/>
  <c r="A184" i="45"/>
  <c r="A185" i="45"/>
  <c r="N1" i="44"/>
  <c r="A3" i="44"/>
  <c r="N3" i="44" s="1"/>
  <c r="F4" i="44"/>
  <c r="P4" i="44"/>
  <c r="N7" i="44"/>
  <c r="C8" i="44"/>
  <c r="P8" i="44" s="1"/>
  <c r="H8" i="44"/>
  <c r="F14" i="44"/>
  <c r="F15" i="44"/>
  <c r="F16" i="44"/>
  <c r="F17" i="44"/>
  <c r="F18" i="44"/>
  <c r="F19" i="44"/>
  <c r="F20" i="44"/>
  <c r="F21" i="44"/>
  <c r="F22" i="44"/>
  <c r="F23" i="44"/>
  <c r="F24" i="44"/>
  <c r="F25" i="44"/>
  <c r="F26" i="44"/>
  <c r="F27" i="44"/>
  <c r="F28" i="44"/>
  <c r="F29" i="44"/>
  <c r="C30" i="44"/>
  <c r="D30" i="44"/>
  <c r="C44" i="44"/>
  <c r="D44" i="44"/>
  <c r="H69" i="44"/>
  <c r="T69" i="44" s="1"/>
  <c r="H72" i="44"/>
  <c r="T72" i="44" s="1"/>
  <c r="F85" i="44"/>
  <c r="R85" i="44" s="1"/>
  <c r="F88" i="44"/>
  <c r="F90" i="44"/>
  <c r="R90" i="44" s="1"/>
  <c r="F92" i="44"/>
  <c r="R92" i="44" s="1"/>
  <c r="F94" i="44"/>
  <c r="R94" i="44" s="1"/>
  <c r="F96" i="44"/>
  <c r="R96" i="44" s="1"/>
  <c r="F104" i="44"/>
  <c r="R104" i="44" s="1"/>
  <c r="F105" i="44"/>
  <c r="R105" i="44" s="1"/>
  <c r="F106" i="44"/>
  <c r="R106" i="44" s="1"/>
  <c r="G113" i="44"/>
  <c r="I113" i="44" s="1"/>
  <c r="G114" i="44"/>
  <c r="T114" i="44" s="1"/>
  <c r="U114" i="44" s="1"/>
  <c r="H121" i="44"/>
  <c r="H123" i="44" s="1"/>
  <c r="R121" i="44"/>
  <c r="R122" i="44" s="1"/>
  <c r="F122" i="44"/>
  <c r="H122" i="44"/>
  <c r="I143" i="44"/>
  <c r="A152" i="44"/>
  <c r="A162" i="44"/>
  <c r="A164" i="44"/>
  <c r="A168" i="44"/>
  <c r="A172" i="44"/>
  <c r="A173" i="44"/>
  <c r="A174" i="44"/>
  <c r="A178" i="44"/>
  <c r="A179" i="44"/>
  <c r="A180" i="44"/>
  <c r="A182" i="44"/>
  <c r="A183" i="44"/>
  <c r="A184" i="44"/>
  <c r="A185" i="44"/>
  <c r="N1" i="43"/>
  <c r="A3" i="43"/>
  <c r="N3" i="43" s="1"/>
  <c r="F4" i="43"/>
  <c r="P4" i="43"/>
  <c r="N7" i="43"/>
  <c r="C8" i="43"/>
  <c r="P8" i="43" s="1"/>
  <c r="H8" i="43"/>
  <c r="T8" i="43" s="1"/>
  <c r="F14" i="43"/>
  <c r="F15" i="43"/>
  <c r="F16" i="43"/>
  <c r="F17" i="43"/>
  <c r="F18" i="43"/>
  <c r="F19" i="43"/>
  <c r="F20" i="43"/>
  <c r="F21" i="43"/>
  <c r="F22" i="43"/>
  <c r="F23" i="43"/>
  <c r="F24" i="43"/>
  <c r="F25" i="43"/>
  <c r="F26" i="43"/>
  <c r="F27" i="43"/>
  <c r="F28" i="43"/>
  <c r="F29" i="43"/>
  <c r="C30" i="43"/>
  <c r="D30" i="43"/>
  <c r="C44" i="43"/>
  <c r="D44" i="43"/>
  <c r="E38" i="43" s="1"/>
  <c r="H69" i="43"/>
  <c r="T69" i="43" s="1"/>
  <c r="H72" i="43"/>
  <c r="T72" i="43" s="1"/>
  <c r="F85" i="43"/>
  <c r="R85" i="43" s="1"/>
  <c r="F88" i="43"/>
  <c r="R88" i="43" s="1"/>
  <c r="F90" i="43"/>
  <c r="R90" i="43" s="1"/>
  <c r="F92" i="43"/>
  <c r="R92" i="43" s="1"/>
  <c r="F94" i="43"/>
  <c r="R94" i="43" s="1"/>
  <c r="F96" i="43"/>
  <c r="R96" i="43" s="1"/>
  <c r="F104" i="43"/>
  <c r="R104" i="43" s="1"/>
  <c r="F105" i="43"/>
  <c r="R105" i="43" s="1"/>
  <c r="F106" i="43"/>
  <c r="R106" i="43" s="1"/>
  <c r="G113" i="43"/>
  <c r="G114" i="43"/>
  <c r="I114" i="43" s="1"/>
  <c r="H121" i="43"/>
  <c r="H123" i="43" s="1"/>
  <c r="R121" i="43"/>
  <c r="R122" i="43" s="1"/>
  <c r="F122" i="43"/>
  <c r="H122" i="43"/>
  <c r="T122" i="43" s="1"/>
  <c r="I143" i="43"/>
  <c r="A152" i="43"/>
  <c r="A162" i="43"/>
  <c r="A164" i="43"/>
  <c r="A168" i="43"/>
  <c r="A172" i="43"/>
  <c r="A173" i="43"/>
  <c r="A174" i="43"/>
  <c r="A178" i="43"/>
  <c r="A179" i="43"/>
  <c r="A180" i="43"/>
  <c r="A182" i="43"/>
  <c r="A183" i="43"/>
  <c r="A184" i="43"/>
  <c r="A185" i="43"/>
  <c r="N1" i="42"/>
  <c r="A3" i="42"/>
  <c r="N3" i="42" s="1"/>
  <c r="F4" i="42"/>
  <c r="P4" i="42"/>
  <c r="N7" i="42"/>
  <c r="C8" i="42"/>
  <c r="P8" i="42" s="1"/>
  <c r="H8" i="42"/>
  <c r="E106" i="42" s="1"/>
  <c r="F14" i="42"/>
  <c r="F15" i="42"/>
  <c r="F16" i="42"/>
  <c r="F17" i="42"/>
  <c r="F18" i="42"/>
  <c r="F19" i="42"/>
  <c r="F20" i="42"/>
  <c r="F21" i="42"/>
  <c r="F22" i="42"/>
  <c r="F23" i="42"/>
  <c r="F24" i="42"/>
  <c r="F25" i="42"/>
  <c r="F26" i="42"/>
  <c r="F27" i="42"/>
  <c r="F28" i="42"/>
  <c r="F29" i="42"/>
  <c r="C30" i="42"/>
  <c r="D30" i="42"/>
  <c r="C44" i="42"/>
  <c r="D44" i="42"/>
  <c r="E39" i="42" s="1"/>
  <c r="H69" i="42"/>
  <c r="T69" i="42" s="1"/>
  <c r="H72" i="42"/>
  <c r="T72" i="42" s="1"/>
  <c r="F85" i="42"/>
  <c r="F88" i="42"/>
  <c r="R88" i="42" s="1"/>
  <c r="F90" i="42"/>
  <c r="F92" i="42"/>
  <c r="R92" i="42" s="1"/>
  <c r="F94" i="42"/>
  <c r="F96" i="42"/>
  <c r="R96" i="42" s="1"/>
  <c r="F104" i="42"/>
  <c r="R104" i="42" s="1"/>
  <c r="F105" i="42"/>
  <c r="R105" i="42" s="1"/>
  <c r="F106" i="42"/>
  <c r="R106" i="42" s="1"/>
  <c r="G113" i="42"/>
  <c r="I113" i="42" s="1"/>
  <c r="G114" i="42"/>
  <c r="I114" i="42" s="1"/>
  <c r="H121" i="42"/>
  <c r="H123" i="42" s="1"/>
  <c r="T123" i="42" s="1"/>
  <c r="R121" i="42"/>
  <c r="R122" i="42" s="1"/>
  <c r="F122" i="42"/>
  <c r="H122" i="42"/>
  <c r="T122" i="42" s="1"/>
  <c r="I143" i="42"/>
  <c r="A152" i="42"/>
  <c r="A162" i="42"/>
  <c r="A164" i="42"/>
  <c r="A168" i="42"/>
  <c r="A172" i="42"/>
  <c r="A173" i="42"/>
  <c r="A174" i="42"/>
  <c r="A178" i="42"/>
  <c r="A179" i="42"/>
  <c r="A180" i="42"/>
  <c r="A182" i="42"/>
  <c r="A183" i="42"/>
  <c r="A184" i="42"/>
  <c r="A185" i="42"/>
  <c r="N1" i="40"/>
  <c r="A3" i="40"/>
  <c r="N3" i="40" s="1"/>
  <c r="F4" i="40"/>
  <c r="P4" i="40"/>
  <c r="N7" i="40"/>
  <c r="C8" i="40"/>
  <c r="P8" i="40" s="1"/>
  <c r="H8" i="40"/>
  <c r="F14" i="40"/>
  <c r="F15" i="40"/>
  <c r="F16" i="40"/>
  <c r="F17" i="40"/>
  <c r="F18" i="40"/>
  <c r="F19" i="40"/>
  <c r="F20" i="40"/>
  <c r="F21" i="40"/>
  <c r="F22" i="40"/>
  <c r="F23" i="40"/>
  <c r="F24" i="40"/>
  <c r="F25" i="40"/>
  <c r="F26" i="40"/>
  <c r="F27" i="40"/>
  <c r="F28" i="40"/>
  <c r="F29" i="40"/>
  <c r="C30" i="40"/>
  <c r="D30" i="40"/>
  <c r="E121" i="40" s="1"/>
  <c r="C44" i="40"/>
  <c r="D44" i="40"/>
  <c r="E38" i="40" s="1"/>
  <c r="H69" i="40"/>
  <c r="T69" i="40" s="1"/>
  <c r="H72" i="40"/>
  <c r="T72" i="40" s="1"/>
  <c r="F85" i="40"/>
  <c r="R85" i="40" s="1"/>
  <c r="F88" i="40"/>
  <c r="R88" i="40" s="1"/>
  <c r="F90" i="40"/>
  <c r="R90" i="40" s="1"/>
  <c r="F92" i="40"/>
  <c r="R92" i="40" s="1"/>
  <c r="F94" i="40"/>
  <c r="F96" i="40"/>
  <c r="R96" i="40" s="1"/>
  <c r="F104" i="40"/>
  <c r="R104" i="40" s="1"/>
  <c r="F105" i="40"/>
  <c r="R105" i="40" s="1"/>
  <c r="F106" i="40"/>
  <c r="R106" i="40" s="1"/>
  <c r="G113" i="40"/>
  <c r="I113" i="40" s="1"/>
  <c r="G114" i="40"/>
  <c r="I114" i="40" s="1"/>
  <c r="H121" i="40"/>
  <c r="H123" i="40" s="1"/>
  <c r="T123" i="40" s="1"/>
  <c r="R121" i="40"/>
  <c r="R122" i="40" s="1"/>
  <c r="F122" i="40"/>
  <c r="H122" i="40"/>
  <c r="I143" i="40"/>
  <c r="A152" i="40"/>
  <c r="A162" i="40"/>
  <c r="A164" i="40"/>
  <c r="A168" i="40"/>
  <c r="A172" i="40"/>
  <c r="A173" i="40"/>
  <c r="A174" i="40"/>
  <c r="A178" i="40"/>
  <c r="A179" i="40"/>
  <c r="A180" i="40"/>
  <c r="A182" i="40"/>
  <c r="A183" i="40"/>
  <c r="A184" i="40"/>
  <c r="A185" i="40"/>
  <c r="N1" i="39"/>
  <c r="A3" i="39"/>
  <c r="N3" i="39" s="1"/>
  <c r="F4" i="39"/>
  <c r="P4" i="39"/>
  <c r="N7" i="39"/>
  <c r="C8" i="39"/>
  <c r="P8" i="39" s="1"/>
  <c r="H8" i="39"/>
  <c r="E104" i="39" s="1"/>
  <c r="F14" i="39"/>
  <c r="F15" i="39"/>
  <c r="F16" i="39"/>
  <c r="F17" i="39"/>
  <c r="F18" i="39"/>
  <c r="F19" i="39"/>
  <c r="F20" i="39"/>
  <c r="F21" i="39"/>
  <c r="F22" i="39"/>
  <c r="F23" i="39"/>
  <c r="F24" i="39"/>
  <c r="F25" i="39"/>
  <c r="F26" i="39"/>
  <c r="F27" i="39"/>
  <c r="F28" i="39"/>
  <c r="F29" i="39"/>
  <c r="C30" i="39"/>
  <c r="D30" i="39"/>
  <c r="C44" i="39"/>
  <c r="D44" i="39"/>
  <c r="E39" i="39" s="1"/>
  <c r="H69" i="39"/>
  <c r="T69" i="39" s="1"/>
  <c r="H72" i="39"/>
  <c r="T72" i="39" s="1"/>
  <c r="F85" i="39"/>
  <c r="F88" i="39"/>
  <c r="R88" i="39" s="1"/>
  <c r="F90" i="39"/>
  <c r="F92" i="39"/>
  <c r="R92" i="39" s="1"/>
  <c r="F94" i="39"/>
  <c r="R94" i="39" s="1"/>
  <c r="F96" i="39"/>
  <c r="R96" i="39" s="1"/>
  <c r="F104" i="39"/>
  <c r="R104" i="39" s="1"/>
  <c r="F105" i="39"/>
  <c r="R105" i="39" s="1"/>
  <c r="F106" i="39"/>
  <c r="R106" i="39" s="1"/>
  <c r="G113" i="39"/>
  <c r="I113" i="39" s="1"/>
  <c r="G114" i="39"/>
  <c r="H121" i="39"/>
  <c r="T121" i="39" s="1"/>
  <c r="R121" i="39"/>
  <c r="R122" i="39" s="1"/>
  <c r="F122" i="39"/>
  <c r="H122" i="39"/>
  <c r="I143" i="39"/>
  <c r="A152" i="39"/>
  <c r="A162" i="39"/>
  <c r="A164" i="39"/>
  <c r="A168" i="39"/>
  <c r="A172" i="39"/>
  <c r="A173" i="39"/>
  <c r="A174" i="39"/>
  <c r="A178" i="39"/>
  <c r="A179" i="39"/>
  <c r="A180" i="39"/>
  <c r="A182" i="39"/>
  <c r="A183" i="39"/>
  <c r="A184" i="39"/>
  <c r="A185" i="39"/>
  <c r="N1" i="38"/>
  <c r="A3" i="38"/>
  <c r="N3" i="38" s="1"/>
  <c r="F4" i="38"/>
  <c r="P4" i="38"/>
  <c r="N7" i="38"/>
  <c r="C8" i="38"/>
  <c r="P8" i="38" s="1"/>
  <c r="H8" i="38"/>
  <c r="E104" i="38" s="1"/>
  <c r="F14" i="38"/>
  <c r="F15" i="38"/>
  <c r="F16" i="38"/>
  <c r="F17" i="38"/>
  <c r="F18" i="38"/>
  <c r="F19" i="38"/>
  <c r="F20" i="38"/>
  <c r="F21" i="38"/>
  <c r="F22" i="38"/>
  <c r="F23" i="38"/>
  <c r="F24" i="38"/>
  <c r="F25" i="38"/>
  <c r="F26" i="38"/>
  <c r="F27" i="38"/>
  <c r="F28" i="38"/>
  <c r="F29" i="38"/>
  <c r="C30" i="38"/>
  <c r="D30" i="38"/>
  <c r="C44" i="38"/>
  <c r="D44" i="38"/>
  <c r="E40" i="38" s="1"/>
  <c r="H69" i="38"/>
  <c r="T69" i="38" s="1"/>
  <c r="H72" i="38"/>
  <c r="T72" i="38" s="1"/>
  <c r="F85" i="38"/>
  <c r="R85" i="38" s="1"/>
  <c r="F88" i="38"/>
  <c r="R88" i="38" s="1"/>
  <c r="F90" i="38"/>
  <c r="R90" i="38" s="1"/>
  <c r="F92" i="38"/>
  <c r="R92" i="38" s="1"/>
  <c r="F94" i="38"/>
  <c r="R94" i="38" s="1"/>
  <c r="F96" i="38"/>
  <c r="R96" i="38" s="1"/>
  <c r="F104" i="38"/>
  <c r="R104" i="38" s="1"/>
  <c r="F105" i="38"/>
  <c r="R105" i="38" s="1"/>
  <c r="F106" i="38"/>
  <c r="R106" i="38" s="1"/>
  <c r="G113" i="38"/>
  <c r="G114" i="38"/>
  <c r="I114" i="38" s="1"/>
  <c r="H121" i="38"/>
  <c r="R121" i="38"/>
  <c r="R122" i="38" s="1"/>
  <c r="F122" i="38"/>
  <c r="H122" i="38"/>
  <c r="I143" i="38"/>
  <c r="A152" i="38"/>
  <c r="A162" i="38"/>
  <c r="A164" i="38"/>
  <c r="A168" i="38"/>
  <c r="A172" i="38"/>
  <c r="A173" i="38"/>
  <c r="A174" i="38"/>
  <c r="A178" i="38"/>
  <c r="A179" i="38"/>
  <c r="A180" i="38"/>
  <c r="A182" i="38"/>
  <c r="A183" i="38"/>
  <c r="A184" i="38"/>
  <c r="A185" i="38"/>
  <c r="N1" i="37"/>
  <c r="A3" i="37"/>
  <c r="N3" i="37" s="1"/>
  <c r="F4" i="37"/>
  <c r="P4" i="37"/>
  <c r="N7" i="37"/>
  <c r="C8" i="37"/>
  <c r="P8" i="37" s="1"/>
  <c r="H8" i="37"/>
  <c r="F14" i="37"/>
  <c r="F15" i="37"/>
  <c r="F16" i="37"/>
  <c r="F17" i="37"/>
  <c r="F18" i="37"/>
  <c r="F19" i="37"/>
  <c r="F20" i="37"/>
  <c r="F21" i="37"/>
  <c r="F22" i="37"/>
  <c r="F23" i="37"/>
  <c r="F24" i="37"/>
  <c r="F25" i="37"/>
  <c r="F26" i="37"/>
  <c r="F27" i="37"/>
  <c r="F28" i="37"/>
  <c r="F29" i="37"/>
  <c r="C30" i="37"/>
  <c r="D30" i="37"/>
  <c r="C44" i="37"/>
  <c r="D44" i="37"/>
  <c r="H69" i="37"/>
  <c r="T69" i="37" s="1"/>
  <c r="H72" i="37"/>
  <c r="T72" i="37" s="1"/>
  <c r="F85" i="37"/>
  <c r="R85" i="37" s="1"/>
  <c r="F88" i="37"/>
  <c r="F90" i="37"/>
  <c r="R90" i="37" s="1"/>
  <c r="F92" i="37"/>
  <c r="R92" i="37" s="1"/>
  <c r="F94" i="37"/>
  <c r="F96" i="37"/>
  <c r="F104" i="37"/>
  <c r="R104" i="37" s="1"/>
  <c r="F105" i="37"/>
  <c r="R105" i="37" s="1"/>
  <c r="F106" i="37"/>
  <c r="R106" i="37" s="1"/>
  <c r="G113" i="37"/>
  <c r="G114" i="37"/>
  <c r="I114" i="37" s="1"/>
  <c r="H121" i="37"/>
  <c r="R121" i="37"/>
  <c r="R122" i="37" s="1"/>
  <c r="F122" i="37"/>
  <c r="H122" i="37"/>
  <c r="T122" i="37" s="1"/>
  <c r="I143" i="37"/>
  <c r="A152" i="37"/>
  <c r="A162" i="37"/>
  <c r="A164" i="37"/>
  <c r="A168" i="37"/>
  <c r="A172" i="37"/>
  <c r="A173" i="37"/>
  <c r="A174" i="37"/>
  <c r="A178" i="37"/>
  <c r="A179" i="37"/>
  <c r="A180" i="37"/>
  <c r="A182" i="37"/>
  <c r="A183" i="37"/>
  <c r="A184" i="37"/>
  <c r="A185" i="37"/>
  <c r="N1" i="36"/>
  <c r="A3" i="36"/>
  <c r="N3" i="36" s="1"/>
  <c r="F4" i="36"/>
  <c r="P4" i="36"/>
  <c r="N7" i="36"/>
  <c r="C8" i="36"/>
  <c r="P8" i="36" s="1"/>
  <c r="H8" i="36"/>
  <c r="F14" i="36"/>
  <c r="F15" i="36"/>
  <c r="F16" i="36"/>
  <c r="F17" i="36"/>
  <c r="F18" i="36"/>
  <c r="F19" i="36"/>
  <c r="F20" i="36"/>
  <c r="F21" i="36"/>
  <c r="F22" i="36"/>
  <c r="F23" i="36"/>
  <c r="F24" i="36"/>
  <c r="F25" i="36"/>
  <c r="F26" i="36"/>
  <c r="F27" i="36"/>
  <c r="F28" i="36"/>
  <c r="F29" i="36"/>
  <c r="C30" i="36"/>
  <c r="D30" i="36"/>
  <c r="E121" i="36" s="1"/>
  <c r="C44" i="36"/>
  <c r="D44" i="36"/>
  <c r="H69" i="36"/>
  <c r="T69" i="36" s="1"/>
  <c r="H72" i="36"/>
  <c r="T72" i="36" s="1"/>
  <c r="F85" i="36"/>
  <c r="R85" i="36" s="1"/>
  <c r="F88" i="36"/>
  <c r="R88" i="36" s="1"/>
  <c r="F90" i="36"/>
  <c r="R90" i="36" s="1"/>
  <c r="F92" i="36"/>
  <c r="R92" i="36" s="1"/>
  <c r="F94" i="36"/>
  <c r="F96" i="36"/>
  <c r="R96" i="36" s="1"/>
  <c r="F104" i="36"/>
  <c r="R104" i="36" s="1"/>
  <c r="F105" i="36"/>
  <c r="R105" i="36" s="1"/>
  <c r="F106" i="36"/>
  <c r="R106" i="36" s="1"/>
  <c r="G113" i="36"/>
  <c r="T113" i="36" s="1"/>
  <c r="G114" i="36"/>
  <c r="H121" i="36"/>
  <c r="R121" i="36"/>
  <c r="R122" i="36" s="1"/>
  <c r="F122" i="36"/>
  <c r="H122" i="36"/>
  <c r="T122" i="36" s="1"/>
  <c r="I143" i="36"/>
  <c r="A152" i="36"/>
  <c r="A162" i="36"/>
  <c r="A164" i="36"/>
  <c r="A168" i="36"/>
  <c r="A172" i="36"/>
  <c r="A173" i="36"/>
  <c r="A174" i="36"/>
  <c r="A178" i="36"/>
  <c r="A179" i="36"/>
  <c r="A180" i="36"/>
  <c r="A182" i="36"/>
  <c r="A183" i="36"/>
  <c r="A184" i="36"/>
  <c r="A185" i="36"/>
  <c r="N1" i="23"/>
  <c r="A3" i="23"/>
  <c r="N3" i="23" s="1"/>
  <c r="F4" i="23"/>
  <c r="P4" i="23"/>
  <c r="N7" i="23"/>
  <c r="C8" i="23"/>
  <c r="P8" i="23" s="1"/>
  <c r="H8" i="23"/>
  <c r="E105" i="23" s="1"/>
  <c r="F14" i="23"/>
  <c r="F15" i="23"/>
  <c r="F16" i="23"/>
  <c r="F17" i="23"/>
  <c r="F18" i="23"/>
  <c r="F19" i="23"/>
  <c r="F20" i="23"/>
  <c r="F21" i="23"/>
  <c r="F22" i="23"/>
  <c r="F23" i="23"/>
  <c r="F24" i="23"/>
  <c r="F25" i="23"/>
  <c r="F26" i="23"/>
  <c r="F27" i="23"/>
  <c r="F28" i="23"/>
  <c r="F29" i="23"/>
  <c r="C30" i="23"/>
  <c r="D30" i="23"/>
  <c r="C44" i="23"/>
  <c r="D44" i="23"/>
  <c r="E39" i="23" s="1"/>
  <c r="H69" i="23"/>
  <c r="T69" i="23" s="1"/>
  <c r="H72" i="23"/>
  <c r="T72" i="23" s="1"/>
  <c r="F85" i="23"/>
  <c r="R85" i="23" s="1"/>
  <c r="F88" i="23"/>
  <c r="F90" i="23"/>
  <c r="R90" i="23" s="1"/>
  <c r="F92" i="23"/>
  <c r="F94" i="23"/>
  <c r="R94" i="23" s="1"/>
  <c r="F96" i="23"/>
  <c r="F104" i="23"/>
  <c r="R104" i="23" s="1"/>
  <c r="F105" i="23"/>
  <c r="R105" i="23" s="1"/>
  <c r="F106" i="23"/>
  <c r="R106" i="23" s="1"/>
  <c r="G113" i="23"/>
  <c r="T113" i="23" s="1"/>
  <c r="G114" i="23"/>
  <c r="I114" i="23" s="1"/>
  <c r="H121" i="23"/>
  <c r="T121" i="23" s="1"/>
  <c r="R121" i="23"/>
  <c r="R122" i="23" s="1"/>
  <c r="F122" i="23"/>
  <c r="H122" i="23"/>
  <c r="T122" i="23" s="1"/>
  <c r="I143" i="23"/>
  <c r="A152" i="23"/>
  <c r="A162" i="23"/>
  <c r="A164" i="23"/>
  <c r="A168" i="23"/>
  <c r="A172" i="23"/>
  <c r="A173" i="23"/>
  <c r="A174" i="23"/>
  <c r="A178" i="23"/>
  <c r="A179" i="23"/>
  <c r="A180" i="23"/>
  <c r="A182" i="23"/>
  <c r="A183" i="23"/>
  <c r="A184" i="23"/>
  <c r="A185" i="23"/>
  <c r="N1" i="35"/>
  <c r="A3" i="35"/>
  <c r="N3" i="35" s="1"/>
  <c r="F4" i="35"/>
  <c r="P4" i="35"/>
  <c r="N7" i="35"/>
  <c r="C8" i="35"/>
  <c r="P8" i="35" s="1"/>
  <c r="H8" i="35"/>
  <c r="T8" i="35" s="1"/>
  <c r="F14" i="35"/>
  <c r="F15" i="35"/>
  <c r="F16" i="35"/>
  <c r="F17" i="35"/>
  <c r="F18" i="35"/>
  <c r="F19" i="35"/>
  <c r="F20" i="35"/>
  <c r="F21" i="35"/>
  <c r="F22" i="35"/>
  <c r="F23" i="35"/>
  <c r="F24" i="35"/>
  <c r="F25" i="35"/>
  <c r="F26" i="35"/>
  <c r="F27" i="35"/>
  <c r="F28" i="35"/>
  <c r="F29" i="35"/>
  <c r="C30" i="35"/>
  <c r="D30" i="35"/>
  <c r="C44" i="35"/>
  <c r="D44" i="35"/>
  <c r="E40" i="35" s="1"/>
  <c r="H69" i="35"/>
  <c r="T69" i="35" s="1"/>
  <c r="H72" i="35"/>
  <c r="T72" i="35" s="1"/>
  <c r="F85" i="35"/>
  <c r="R85" i="35" s="1"/>
  <c r="F88" i="35"/>
  <c r="R88" i="35" s="1"/>
  <c r="F90" i="35"/>
  <c r="R90" i="35" s="1"/>
  <c r="F92" i="35"/>
  <c r="R92" i="35" s="1"/>
  <c r="F94" i="35"/>
  <c r="R94" i="35" s="1"/>
  <c r="F96" i="35"/>
  <c r="R96" i="35" s="1"/>
  <c r="F104" i="35"/>
  <c r="R104" i="35" s="1"/>
  <c r="F105" i="35"/>
  <c r="R105" i="35" s="1"/>
  <c r="F106" i="35"/>
  <c r="R106" i="35" s="1"/>
  <c r="G113" i="35"/>
  <c r="G114" i="35"/>
  <c r="T114" i="35" s="1"/>
  <c r="U114" i="35" s="1"/>
  <c r="H121" i="35"/>
  <c r="R121" i="35"/>
  <c r="R122" i="35" s="1"/>
  <c r="F122" i="35"/>
  <c r="H122" i="35"/>
  <c r="T122" i="35" s="1"/>
  <c r="I143" i="35"/>
  <c r="A152" i="35"/>
  <c r="A162" i="35"/>
  <c r="A164" i="35"/>
  <c r="A168" i="35"/>
  <c r="A172" i="35"/>
  <c r="A173" i="35"/>
  <c r="A174" i="35"/>
  <c r="A178" i="35"/>
  <c r="A179" i="35"/>
  <c r="A180" i="35"/>
  <c r="A182" i="35"/>
  <c r="A183" i="35"/>
  <c r="A184" i="35"/>
  <c r="A185" i="35"/>
  <c r="N1" i="34"/>
  <c r="A3" i="34"/>
  <c r="N3" i="34" s="1"/>
  <c r="F4" i="34"/>
  <c r="P4" i="34"/>
  <c r="N7" i="34"/>
  <c r="C8" i="34"/>
  <c r="P8" i="34" s="1"/>
  <c r="H8" i="34"/>
  <c r="E106" i="34" s="1"/>
  <c r="F14" i="34"/>
  <c r="F15" i="34"/>
  <c r="F16" i="34"/>
  <c r="F17" i="34"/>
  <c r="F18" i="34"/>
  <c r="F19" i="34"/>
  <c r="F20" i="34"/>
  <c r="F21" i="34"/>
  <c r="F22" i="34"/>
  <c r="F23" i="34"/>
  <c r="F24" i="34"/>
  <c r="F25" i="34"/>
  <c r="F26" i="34"/>
  <c r="F27" i="34"/>
  <c r="F28" i="34"/>
  <c r="F29" i="34"/>
  <c r="C30" i="34"/>
  <c r="D30" i="34"/>
  <c r="C44" i="34"/>
  <c r="D44" i="34"/>
  <c r="H69" i="34"/>
  <c r="T69" i="34" s="1"/>
  <c r="H72" i="34"/>
  <c r="T72" i="34" s="1"/>
  <c r="F85" i="34"/>
  <c r="F88" i="34"/>
  <c r="R88" i="34" s="1"/>
  <c r="F90" i="34"/>
  <c r="F92" i="34"/>
  <c r="R92" i="34" s="1"/>
  <c r="F94" i="34"/>
  <c r="F96" i="34"/>
  <c r="F104" i="34"/>
  <c r="R104" i="34" s="1"/>
  <c r="F105" i="34"/>
  <c r="R105" i="34" s="1"/>
  <c r="F106" i="34"/>
  <c r="R106" i="34" s="1"/>
  <c r="G113" i="34"/>
  <c r="G114" i="34"/>
  <c r="T114" i="34" s="1"/>
  <c r="U114" i="34" s="1"/>
  <c r="H121" i="34"/>
  <c r="R121" i="34"/>
  <c r="R122" i="34" s="1"/>
  <c r="F122" i="34"/>
  <c r="H122" i="34"/>
  <c r="T122" i="34" s="1"/>
  <c r="I143" i="34"/>
  <c r="A152" i="34"/>
  <c r="A162" i="34"/>
  <c r="A164" i="34"/>
  <c r="A168" i="34"/>
  <c r="A172" i="34"/>
  <c r="A173" i="34"/>
  <c r="A174" i="34"/>
  <c r="A178" i="34"/>
  <c r="A179" i="34"/>
  <c r="A180" i="34"/>
  <c r="A182" i="34"/>
  <c r="A183" i="34"/>
  <c r="A184" i="34"/>
  <c r="A185" i="34"/>
  <c r="N1" i="33"/>
  <c r="A3" i="33"/>
  <c r="N3" i="33" s="1"/>
  <c r="F4" i="33"/>
  <c r="P4" i="33"/>
  <c r="N7" i="33"/>
  <c r="C8" i="33"/>
  <c r="P8" i="33" s="1"/>
  <c r="H8" i="33"/>
  <c r="E104" i="33" s="1"/>
  <c r="F14" i="33"/>
  <c r="F15" i="33"/>
  <c r="F16" i="33"/>
  <c r="F17" i="33"/>
  <c r="F18" i="33"/>
  <c r="F19" i="33"/>
  <c r="F20" i="33"/>
  <c r="F21" i="33"/>
  <c r="F22" i="33"/>
  <c r="F23" i="33"/>
  <c r="F24" i="33"/>
  <c r="F25" i="33"/>
  <c r="F26" i="33"/>
  <c r="F27" i="33"/>
  <c r="F28" i="33"/>
  <c r="F29" i="33"/>
  <c r="C30" i="33"/>
  <c r="D30" i="33"/>
  <c r="C44" i="33"/>
  <c r="D44" i="33"/>
  <c r="E38" i="33" s="1"/>
  <c r="H69" i="33"/>
  <c r="T69" i="33" s="1"/>
  <c r="H72" i="33"/>
  <c r="T72" i="33" s="1"/>
  <c r="F85" i="33"/>
  <c r="R85" i="33" s="1"/>
  <c r="F88" i="33"/>
  <c r="R88" i="33" s="1"/>
  <c r="F90" i="33"/>
  <c r="R90" i="33" s="1"/>
  <c r="F92" i="33"/>
  <c r="F94" i="33"/>
  <c r="R94" i="33" s="1"/>
  <c r="F96" i="33"/>
  <c r="R96" i="33" s="1"/>
  <c r="F104" i="33"/>
  <c r="R104" i="33" s="1"/>
  <c r="F105" i="33"/>
  <c r="R105" i="33" s="1"/>
  <c r="F106" i="33"/>
  <c r="R106" i="33" s="1"/>
  <c r="G113" i="33"/>
  <c r="I113" i="33" s="1"/>
  <c r="G114" i="33"/>
  <c r="H121" i="33"/>
  <c r="R121" i="33"/>
  <c r="R122" i="33" s="1"/>
  <c r="F122" i="33"/>
  <c r="H122" i="33"/>
  <c r="T122" i="33" s="1"/>
  <c r="I143" i="33"/>
  <c r="A152" i="33"/>
  <c r="A162" i="33"/>
  <c r="A164" i="33"/>
  <c r="A168" i="33"/>
  <c r="A172" i="33"/>
  <c r="A173" i="33"/>
  <c r="A174" i="33"/>
  <c r="A178" i="33"/>
  <c r="A179" i="33"/>
  <c r="A180" i="33"/>
  <c r="A182" i="33"/>
  <c r="A183" i="33"/>
  <c r="A184" i="33"/>
  <c r="A185" i="33"/>
  <c r="N1" i="32"/>
  <c r="A3" i="32"/>
  <c r="N3" i="32" s="1"/>
  <c r="F4" i="32"/>
  <c r="P4" i="32"/>
  <c r="N7" i="32"/>
  <c r="C8" i="32"/>
  <c r="P8" i="32" s="1"/>
  <c r="H8" i="32"/>
  <c r="T8" i="32" s="1"/>
  <c r="P104" i="32" s="1"/>
  <c r="F14" i="32"/>
  <c r="F15" i="32"/>
  <c r="F16" i="32"/>
  <c r="F17" i="32"/>
  <c r="F18" i="32"/>
  <c r="F19" i="32"/>
  <c r="F20" i="32"/>
  <c r="F21" i="32"/>
  <c r="F22" i="32"/>
  <c r="F23" i="32"/>
  <c r="F24" i="32"/>
  <c r="F25" i="32"/>
  <c r="F26" i="32"/>
  <c r="F27" i="32"/>
  <c r="F28" i="32"/>
  <c r="F29" i="32"/>
  <c r="C30" i="32"/>
  <c r="D30" i="32"/>
  <c r="C44" i="32"/>
  <c r="D44" i="32"/>
  <c r="T69" i="32"/>
  <c r="T72" i="32"/>
  <c r="F85" i="32"/>
  <c r="R85" i="32" s="1"/>
  <c r="F88" i="32"/>
  <c r="R88" i="32" s="1"/>
  <c r="F90" i="32"/>
  <c r="R90" i="32" s="1"/>
  <c r="F92" i="32"/>
  <c r="F94" i="32"/>
  <c r="R94" i="32" s="1"/>
  <c r="F96" i="32"/>
  <c r="R96" i="32" s="1"/>
  <c r="F104" i="32"/>
  <c r="R104" i="32" s="1"/>
  <c r="F105" i="32"/>
  <c r="R105" i="32" s="1"/>
  <c r="F106" i="32"/>
  <c r="R106" i="32" s="1"/>
  <c r="G113" i="32"/>
  <c r="I113" i="32" s="1"/>
  <c r="G114" i="32"/>
  <c r="I114" i="32" s="1"/>
  <c r="H121" i="32"/>
  <c r="H123" i="32" s="1"/>
  <c r="T123" i="32" s="1"/>
  <c r="R121" i="32"/>
  <c r="R122" i="32" s="1"/>
  <c r="F122" i="32"/>
  <c r="H122" i="32"/>
  <c r="T122" i="32" s="1"/>
  <c r="I143" i="32"/>
  <c r="A152" i="32"/>
  <c r="A162" i="32"/>
  <c r="A164" i="32"/>
  <c r="A168" i="32"/>
  <c r="A172" i="32"/>
  <c r="A173" i="32"/>
  <c r="A174" i="32"/>
  <c r="A178" i="32"/>
  <c r="A179" i="32"/>
  <c r="A180" i="32"/>
  <c r="A182" i="32"/>
  <c r="A183" i="32"/>
  <c r="A184" i="32"/>
  <c r="A185" i="32"/>
  <c r="N1" i="31"/>
  <c r="A3" i="31"/>
  <c r="N3" i="31" s="1"/>
  <c r="F4" i="31"/>
  <c r="P4" i="31"/>
  <c r="N7" i="31"/>
  <c r="C8" i="31"/>
  <c r="P8" i="31" s="1"/>
  <c r="H8" i="31"/>
  <c r="T8" i="31" s="1"/>
  <c r="F14" i="31"/>
  <c r="F15" i="31"/>
  <c r="F16" i="31"/>
  <c r="F17" i="31"/>
  <c r="F18" i="31"/>
  <c r="F19" i="31"/>
  <c r="F20" i="31"/>
  <c r="F21" i="31"/>
  <c r="F22" i="31"/>
  <c r="F23" i="31"/>
  <c r="F24" i="31"/>
  <c r="F25" i="31"/>
  <c r="F26" i="31"/>
  <c r="F27" i="31"/>
  <c r="F28" i="31"/>
  <c r="F29" i="31"/>
  <c r="C30" i="31"/>
  <c r="D30" i="31"/>
  <c r="C44" i="31"/>
  <c r="D44" i="31"/>
  <c r="E42" i="31" s="1"/>
  <c r="H69" i="31"/>
  <c r="T69" i="31" s="1"/>
  <c r="H72" i="31"/>
  <c r="T72" i="31" s="1"/>
  <c r="F85" i="31"/>
  <c r="R85" i="31" s="1"/>
  <c r="F88" i="31"/>
  <c r="R88" i="31" s="1"/>
  <c r="F90" i="31"/>
  <c r="R90" i="31" s="1"/>
  <c r="F92" i="31"/>
  <c r="R92" i="31" s="1"/>
  <c r="F94" i="31"/>
  <c r="R94" i="31" s="1"/>
  <c r="F96" i="31"/>
  <c r="R96" i="31" s="1"/>
  <c r="F104" i="31"/>
  <c r="R104" i="31" s="1"/>
  <c r="F105" i="31"/>
  <c r="R105" i="31" s="1"/>
  <c r="F106" i="31"/>
  <c r="R106" i="31" s="1"/>
  <c r="G113" i="31"/>
  <c r="T113" i="31" s="1"/>
  <c r="G114" i="31"/>
  <c r="I114" i="31" s="1"/>
  <c r="H121" i="31"/>
  <c r="R121" i="31"/>
  <c r="R122" i="31" s="1"/>
  <c r="F122" i="31"/>
  <c r="H122" i="31"/>
  <c r="T122" i="31" s="1"/>
  <c r="I143" i="31"/>
  <c r="A152" i="31"/>
  <c r="A162" i="31"/>
  <c r="A164" i="31"/>
  <c r="A168" i="31"/>
  <c r="A172" i="31"/>
  <c r="A173" i="31"/>
  <c r="A174" i="31"/>
  <c r="A178" i="31"/>
  <c r="A179" i="31"/>
  <c r="A180" i="31"/>
  <c r="A182" i="31"/>
  <c r="A183" i="31"/>
  <c r="A184" i="31"/>
  <c r="A185" i="31"/>
  <c r="N1" i="28"/>
  <c r="A3" i="28"/>
  <c r="N3" i="28" s="1"/>
  <c r="F4" i="28"/>
  <c r="P4" i="28"/>
  <c r="N7" i="28"/>
  <c r="C8" i="28"/>
  <c r="P8" i="28" s="1"/>
  <c r="H8" i="28"/>
  <c r="F14" i="28"/>
  <c r="F15" i="28"/>
  <c r="F16" i="28"/>
  <c r="F17" i="28"/>
  <c r="F18" i="28"/>
  <c r="F19" i="28"/>
  <c r="F20" i="28"/>
  <c r="F21" i="28"/>
  <c r="F22" i="28"/>
  <c r="F23" i="28"/>
  <c r="F24" i="28"/>
  <c r="F25" i="28"/>
  <c r="F26" i="28"/>
  <c r="F27" i="28"/>
  <c r="F28" i="28"/>
  <c r="F29" i="28"/>
  <c r="C30" i="28"/>
  <c r="D30" i="28"/>
  <c r="C44" i="28"/>
  <c r="D44" i="28"/>
  <c r="E38" i="28" s="1"/>
  <c r="H69" i="28"/>
  <c r="T69" i="28" s="1"/>
  <c r="H72" i="28"/>
  <c r="T72" i="28" s="1"/>
  <c r="F85" i="28"/>
  <c r="R85" i="28" s="1"/>
  <c r="F88" i="28"/>
  <c r="F90" i="28"/>
  <c r="R90" i="28" s="1"/>
  <c r="F92" i="28"/>
  <c r="R92" i="28" s="1"/>
  <c r="F94" i="28"/>
  <c r="R94" i="28" s="1"/>
  <c r="F96" i="28"/>
  <c r="F104" i="28"/>
  <c r="R104" i="28" s="1"/>
  <c r="F105" i="28"/>
  <c r="R105" i="28" s="1"/>
  <c r="F106" i="28"/>
  <c r="R106" i="28" s="1"/>
  <c r="G113" i="28"/>
  <c r="T113" i="28" s="1"/>
  <c r="G114" i="28"/>
  <c r="I114" i="28" s="1"/>
  <c r="H121" i="28"/>
  <c r="H123" i="28" s="1"/>
  <c r="R121" i="28"/>
  <c r="R122" i="28" s="1"/>
  <c r="F122" i="28"/>
  <c r="H122" i="28"/>
  <c r="T122" i="28" s="1"/>
  <c r="I143" i="28"/>
  <c r="A152" i="28"/>
  <c r="A162" i="28"/>
  <c r="A164" i="28"/>
  <c r="A168" i="28"/>
  <c r="A172" i="28"/>
  <c r="A173" i="28"/>
  <c r="A174" i="28"/>
  <c r="A178" i="28"/>
  <c r="A179" i="28"/>
  <c r="A180" i="28"/>
  <c r="A182" i="28"/>
  <c r="A183" i="28"/>
  <c r="A184" i="28"/>
  <c r="A185" i="28"/>
  <c r="N1" i="27"/>
  <c r="A3" i="27"/>
  <c r="N3" i="27" s="1"/>
  <c r="F4" i="27"/>
  <c r="P4" i="27"/>
  <c r="N7" i="27"/>
  <c r="C8" i="27"/>
  <c r="P8" i="27" s="1"/>
  <c r="H8" i="27"/>
  <c r="F14" i="27"/>
  <c r="F15" i="27"/>
  <c r="F16" i="27"/>
  <c r="F17" i="27"/>
  <c r="F18" i="27"/>
  <c r="F19" i="27"/>
  <c r="F20" i="27"/>
  <c r="F21" i="27"/>
  <c r="F22" i="27"/>
  <c r="F23" i="27"/>
  <c r="F24" i="27"/>
  <c r="F25" i="27"/>
  <c r="F26" i="27"/>
  <c r="F27" i="27"/>
  <c r="F28" i="27"/>
  <c r="F29" i="27"/>
  <c r="C30" i="27"/>
  <c r="D30" i="27"/>
  <c r="C44" i="27"/>
  <c r="D44" i="27"/>
  <c r="H69" i="27"/>
  <c r="T69" i="27" s="1"/>
  <c r="H72" i="27"/>
  <c r="T72" i="27" s="1"/>
  <c r="F85" i="27"/>
  <c r="R85" i="27" s="1"/>
  <c r="F88" i="27"/>
  <c r="R88" i="27" s="1"/>
  <c r="F90" i="27"/>
  <c r="R90" i="27" s="1"/>
  <c r="F92" i="27"/>
  <c r="F94" i="27"/>
  <c r="R94" i="27" s="1"/>
  <c r="F96" i="27"/>
  <c r="R96" i="27" s="1"/>
  <c r="F104" i="27"/>
  <c r="R104" i="27" s="1"/>
  <c r="F105" i="27"/>
  <c r="R105" i="27" s="1"/>
  <c r="F106" i="27"/>
  <c r="R106" i="27" s="1"/>
  <c r="G113" i="27"/>
  <c r="I113" i="27" s="1"/>
  <c r="G114" i="27"/>
  <c r="I114" i="27" s="1"/>
  <c r="H121" i="27"/>
  <c r="H123" i="27" s="1"/>
  <c r="T123" i="27" s="1"/>
  <c r="R121" i="27"/>
  <c r="R122" i="27" s="1"/>
  <c r="F122" i="27"/>
  <c r="H122" i="27"/>
  <c r="T122" i="27" s="1"/>
  <c r="I143" i="27"/>
  <c r="A152" i="27"/>
  <c r="A162" i="27"/>
  <c r="A164" i="27"/>
  <c r="A168" i="27"/>
  <c r="A172" i="27"/>
  <c r="A173" i="27"/>
  <c r="A174" i="27"/>
  <c r="A178" i="27"/>
  <c r="A179" i="27"/>
  <c r="A180" i="27"/>
  <c r="A182" i="27"/>
  <c r="A183" i="27"/>
  <c r="A184" i="27"/>
  <c r="A185" i="27"/>
  <c r="N1" i="26"/>
  <c r="A3" i="26"/>
  <c r="N3" i="26" s="1"/>
  <c r="F4" i="26"/>
  <c r="P4" i="26"/>
  <c r="N7" i="26"/>
  <c r="C8" i="26"/>
  <c r="P8" i="26" s="1"/>
  <c r="H8" i="26"/>
  <c r="T8" i="26" s="1"/>
  <c r="F14" i="26"/>
  <c r="F15" i="26"/>
  <c r="F16" i="26"/>
  <c r="F17" i="26"/>
  <c r="F18" i="26"/>
  <c r="F19" i="26"/>
  <c r="F20" i="26"/>
  <c r="F21" i="26"/>
  <c r="F22" i="26"/>
  <c r="F23" i="26"/>
  <c r="F24" i="26"/>
  <c r="F25" i="26"/>
  <c r="F26" i="26"/>
  <c r="F27" i="26"/>
  <c r="F28" i="26"/>
  <c r="F29" i="26"/>
  <c r="C30" i="26"/>
  <c r="D30" i="26"/>
  <c r="C44" i="26"/>
  <c r="D44" i="26"/>
  <c r="E40" i="26" s="1"/>
  <c r="H69" i="26"/>
  <c r="T69" i="26" s="1"/>
  <c r="H72" i="26"/>
  <c r="T72" i="26" s="1"/>
  <c r="F85" i="26"/>
  <c r="R85" i="26" s="1"/>
  <c r="F88" i="26"/>
  <c r="R88" i="26" s="1"/>
  <c r="F90" i="26"/>
  <c r="R90" i="26" s="1"/>
  <c r="F92" i="26"/>
  <c r="R92" i="26" s="1"/>
  <c r="F94" i="26"/>
  <c r="R94" i="26" s="1"/>
  <c r="F96" i="26"/>
  <c r="R96" i="26" s="1"/>
  <c r="F104" i="26"/>
  <c r="R104" i="26" s="1"/>
  <c r="F105" i="26"/>
  <c r="R105" i="26" s="1"/>
  <c r="F106" i="26"/>
  <c r="R106" i="26" s="1"/>
  <c r="G113" i="26"/>
  <c r="I113" i="26" s="1"/>
  <c r="G114" i="26"/>
  <c r="I114" i="26" s="1"/>
  <c r="H121" i="26"/>
  <c r="R121" i="26"/>
  <c r="R122" i="26" s="1"/>
  <c r="F122" i="26"/>
  <c r="H122" i="26"/>
  <c r="T122" i="26" s="1"/>
  <c r="I143" i="26"/>
  <c r="A152" i="26"/>
  <c r="A162" i="26"/>
  <c r="A164" i="26"/>
  <c r="A168" i="26"/>
  <c r="A172" i="26"/>
  <c r="A173" i="26"/>
  <c r="A174" i="26"/>
  <c r="A178" i="26"/>
  <c r="A179" i="26"/>
  <c r="A180" i="26"/>
  <c r="A182" i="26"/>
  <c r="A183" i="26"/>
  <c r="A184" i="26"/>
  <c r="A185" i="26"/>
  <c r="N1" i="22"/>
  <c r="A3" i="22"/>
  <c r="N3" i="22" s="1"/>
  <c r="F4" i="22"/>
  <c r="P4" i="22"/>
  <c r="N7" i="22"/>
  <c r="C8" i="22"/>
  <c r="P8" i="22" s="1"/>
  <c r="H8" i="22"/>
  <c r="E104" i="22" s="1"/>
  <c r="F14" i="22"/>
  <c r="F15" i="22"/>
  <c r="F16" i="22"/>
  <c r="F17" i="22"/>
  <c r="F18" i="22"/>
  <c r="F19" i="22"/>
  <c r="F20" i="22"/>
  <c r="F21" i="22"/>
  <c r="F22" i="22"/>
  <c r="F23" i="22"/>
  <c r="F24" i="22"/>
  <c r="F25" i="22"/>
  <c r="F26" i="22"/>
  <c r="F27" i="22"/>
  <c r="F28" i="22"/>
  <c r="F29" i="22"/>
  <c r="C30" i="22"/>
  <c r="D30" i="22"/>
  <c r="C44" i="22"/>
  <c r="D44" i="22"/>
  <c r="E43" i="22" s="1"/>
  <c r="H69" i="22"/>
  <c r="T69" i="22" s="1"/>
  <c r="H72" i="22"/>
  <c r="T72" i="22" s="1"/>
  <c r="F85" i="22"/>
  <c r="R85" i="22" s="1"/>
  <c r="F88" i="22"/>
  <c r="F90" i="22"/>
  <c r="R90" i="22" s="1"/>
  <c r="F92" i="22"/>
  <c r="R92" i="22" s="1"/>
  <c r="F94" i="22"/>
  <c r="R94" i="22" s="1"/>
  <c r="F96" i="22"/>
  <c r="F104" i="22"/>
  <c r="R104" i="22" s="1"/>
  <c r="F105" i="22"/>
  <c r="R105" i="22" s="1"/>
  <c r="F106" i="22"/>
  <c r="R106" i="22" s="1"/>
  <c r="G113" i="22"/>
  <c r="G114" i="22"/>
  <c r="I114" i="22" s="1"/>
  <c r="H121" i="22"/>
  <c r="T121" i="22" s="1"/>
  <c r="R121" i="22"/>
  <c r="R122" i="22" s="1"/>
  <c r="F122" i="22"/>
  <c r="H122" i="22"/>
  <c r="T122" i="22" s="1"/>
  <c r="I143" i="22"/>
  <c r="A152" i="22"/>
  <c r="A162" i="22"/>
  <c r="A164" i="22"/>
  <c r="A168" i="22"/>
  <c r="A172" i="22"/>
  <c r="A173" i="22"/>
  <c r="A174" i="22"/>
  <c r="A178" i="22"/>
  <c r="A179" i="22"/>
  <c r="A180" i="22"/>
  <c r="A182" i="22"/>
  <c r="A183" i="22"/>
  <c r="A184" i="22"/>
  <c r="A185" i="22"/>
  <c r="N1" i="24"/>
  <c r="A3" i="24"/>
  <c r="N3" i="24" s="1"/>
  <c r="F4" i="24"/>
  <c r="P4" i="24"/>
  <c r="N7" i="24"/>
  <c r="C8" i="24"/>
  <c r="P8" i="24" s="1"/>
  <c r="H8" i="24"/>
  <c r="E105" i="24" s="1"/>
  <c r="F14" i="24"/>
  <c r="F15" i="24"/>
  <c r="F16" i="24"/>
  <c r="F17" i="24"/>
  <c r="F18" i="24"/>
  <c r="F19" i="24"/>
  <c r="F20" i="24"/>
  <c r="F21" i="24"/>
  <c r="F22" i="24"/>
  <c r="F23" i="24"/>
  <c r="F24" i="24"/>
  <c r="F25" i="24"/>
  <c r="F26" i="24"/>
  <c r="F27" i="24"/>
  <c r="F28" i="24"/>
  <c r="F29" i="24"/>
  <c r="C30" i="24"/>
  <c r="D30" i="24"/>
  <c r="C44" i="24"/>
  <c r="D44" i="24"/>
  <c r="E39" i="24" s="1"/>
  <c r="H69" i="24"/>
  <c r="T69" i="24" s="1"/>
  <c r="H72" i="24"/>
  <c r="T72" i="24" s="1"/>
  <c r="F85" i="24"/>
  <c r="R85" i="24" s="1"/>
  <c r="F88" i="24"/>
  <c r="R88" i="24" s="1"/>
  <c r="F90" i="24"/>
  <c r="R90" i="24" s="1"/>
  <c r="F92" i="24"/>
  <c r="R92" i="24" s="1"/>
  <c r="F94" i="24"/>
  <c r="R94" i="24" s="1"/>
  <c r="F96" i="24"/>
  <c r="R96" i="24" s="1"/>
  <c r="F104" i="24"/>
  <c r="R104" i="24" s="1"/>
  <c r="F105" i="24"/>
  <c r="R105" i="24" s="1"/>
  <c r="F106" i="24"/>
  <c r="R106" i="24" s="1"/>
  <c r="G113" i="24"/>
  <c r="T113" i="24" s="1"/>
  <c r="G114" i="24"/>
  <c r="I114" i="24" s="1"/>
  <c r="H121" i="24"/>
  <c r="H123" i="24" s="1"/>
  <c r="R121" i="24"/>
  <c r="R122" i="24" s="1"/>
  <c r="F122" i="24"/>
  <c r="H122" i="24"/>
  <c r="T122" i="24" s="1"/>
  <c r="I143" i="24"/>
  <c r="A152" i="24"/>
  <c r="A162" i="24"/>
  <c r="A164" i="24"/>
  <c r="A168" i="24"/>
  <c r="A172" i="24"/>
  <c r="A173" i="24"/>
  <c r="A174" i="24"/>
  <c r="A178" i="24"/>
  <c r="A179" i="24"/>
  <c r="A180" i="24"/>
  <c r="A182" i="24"/>
  <c r="A183" i="24"/>
  <c r="A184" i="24"/>
  <c r="A185" i="24"/>
  <c r="N1" i="25"/>
  <c r="A3" i="25"/>
  <c r="N3" i="25" s="1"/>
  <c r="F4" i="25"/>
  <c r="P4" i="25"/>
  <c r="N7" i="25"/>
  <c r="C8" i="25"/>
  <c r="P8" i="25" s="1"/>
  <c r="H8" i="25"/>
  <c r="T8" i="25" s="1"/>
  <c r="P104" i="25" s="1"/>
  <c r="F14" i="25"/>
  <c r="F15" i="25"/>
  <c r="F16" i="25"/>
  <c r="F17" i="25"/>
  <c r="F18" i="25"/>
  <c r="F19" i="25"/>
  <c r="F20" i="25"/>
  <c r="F21" i="25"/>
  <c r="F22" i="25"/>
  <c r="F23" i="25"/>
  <c r="F24" i="25"/>
  <c r="F25" i="25"/>
  <c r="F26" i="25"/>
  <c r="F27" i="25"/>
  <c r="F28" i="25"/>
  <c r="F29" i="25"/>
  <c r="C30" i="25"/>
  <c r="D30" i="25"/>
  <c r="C44" i="25"/>
  <c r="D44" i="25"/>
  <c r="H69" i="25"/>
  <c r="T69" i="25" s="1"/>
  <c r="H72" i="25"/>
  <c r="T72" i="25" s="1"/>
  <c r="F85" i="25"/>
  <c r="R85" i="25" s="1"/>
  <c r="F88" i="25"/>
  <c r="R88" i="25" s="1"/>
  <c r="F90" i="25"/>
  <c r="R90" i="25" s="1"/>
  <c r="F92" i="25"/>
  <c r="R92" i="25" s="1"/>
  <c r="F94" i="25"/>
  <c r="R94" i="25" s="1"/>
  <c r="F96" i="25"/>
  <c r="R96" i="25" s="1"/>
  <c r="F104" i="25"/>
  <c r="R104" i="25" s="1"/>
  <c r="F105" i="25"/>
  <c r="R105" i="25" s="1"/>
  <c r="F106" i="25"/>
  <c r="R106" i="25" s="1"/>
  <c r="G113" i="25"/>
  <c r="T113" i="25" s="1"/>
  <c r="G114" i="25"/>
  <c r="I114" i="25" s="1"/>
  <c r="H121" i="25"/>
  <c r="R121" i="25"/>
  <c r="R122" i="25" s="1"/>
  <c r="F122" i="25"/>
  <c r="H122" i="25"/>
  <c r="T122" i="25" s="1"/>
  <c r="I143" i="25"/>
  <c r="A152" i="25"/>
  <c r="A162" i="25"/>
  <c r="A164" i="25"/>
  <c r="A168" i="25"/>
  <c r="A172" i="25"/>
  <c r="A173" i="25"/>
  <c r="A174" i="25"/>
  <c r="A178" i="25"/>
  <c r="A179" i="25"/>
  <c r="A180" i="25"/>
  <c r="A182" i="25"/>
  <c r="A183" i="25"/>
  <c r="A184" i="25"/>
  <c r="A185" i="25"/>
  <c r="N1" i="21"/>
  <c r="A3" i="21"/>
  <c r="N3" i="21" s="1"/>
  <c r="F4" i="21"/>
  <c r="P4" i="21"/>
  <c r="N7" i="21"/>
  <c r="C8" i="21"/>
  <c r="P8" i="21" s="1"/>
  <c r="H8" i="21"/>
  <c r="E104" i="21" s="1"/>
  <c r="F14" i="21"/>
  <c r="F15" i="21"/>
  <c r="F16" i="21"/>
  <c r="F17" i="21"/>
  <c r="F18" i="21"/>
  <c r="F19" i="21"/>
  <c r="F20" i="21"/>
  <c r="F21" i="21"/>
  <c r="F22" i="21"/>
  <c r="F23" i="21"/>
  <c r="F24" i="21"/>
  <c r="F25" i="21"/>
  <c r="F26" i="21"/>
  <c r="F27" i="21"/>
  <c r="F28" i="21"/>
  <c r="F29" i="21"/>
  <c r="C30" i="21"/>
  <c r="D30" i="21"/>
  <c r="C44" i="21"/>
  <c r="D44" i="21"/>
  <c r="E40" i="21" s="1"/>
  <c r="H69" i="21"/>
  <c r="T69" i="21" s="1"/>
  <c r="H72" i="21"/>
  <c r="T72" i="21" s="1"/>
  <c r="F85" i="21"/>
  <c r="R85" i="21" s="1"/>
  <c r="F88" i="21"/>
  <c r="F90" i="21"/>
  <c r="R90" i="21" s="1"/>
  <c r="F92" i="21"/>
  <c r="F94" i="21"/>
  <c r="R94" i="21" s="1"/>
  <c r="F96" i="21"/>
  <c r="F104" i="21"/>
  <c r="R104" i="21" s="1"/>
  <c r="F105" i="21"/>
  <c r="R105" i="21" s="1"/>
  <c r="F106" i="21"/>
  <c r="R106" i="21" s="1"/>
  <c r="G113" i="21"/>
  <c r="T113" i="21" s="1"/>
  <c r="G114" i="21"/>
  <c r="I114" i="21" s="1"/>
  <c r="H121" i="21"/>
  <c r="R121" i="21"/>
  <c r="R122" i="21" s="1"/>
  <c r="F122" i="21"/>
  <c r="H122" i="21"/>
  <c r="T122" i="21" s="1"/>
  <c r="I143" i="21"/>
  <c r="A152" i="21"/>
  <c r="A162" i="21"/>
  <c r="A164" i="21"/>
  <c r="A168" i="21"/>
  <c r="A172" i="21"/>
  <c r="A173" i="21"/>
  <c r="A174" i="21"/>
  <c r="A178" i="21"/>
  <c r="A179" i="21"/>
  <c r="A180" i="21"/>
  <c r="A182" i="21"/>
  <c r="A183" i="21"/>
  <c r="A184" i="21"/>
  <c r="A185" i="21"/>
  <c r="N1" i="20"/>
  <c r="A3" i="20"/>
  <c r="N3" i="20" s="1"/>
  <c r="F4" i="20"/>
  <c r="P4" i="20"/>
  <c r="N7" i="20"/>
  <c r="C8" i="20"/>
  <c r="P8" i="20" s="1"/>
  <c r="H8" i="20"/>
  <c r="T8" i="20" s="1"/>
  <c r="F14" i="20"/>
  <c r="F15" i="20"/>
  <c r="F16" i="20"/>
  <c r="F17" i="20"/>
  <c r="F18" i="20"/>
  <c r="F19" i="20"/>
  <c r="F20" i="20"/>
  <c r="F21" i="20"/>
  <c r="F22" i="20"/>
  <c r="F23" i="20"/>
  <c r="F24" i="20"/>
  <c r="F25" i="20"/>
  <c r="F26" i="20"/>
  <c r="F27" i="20"/>
  <c r="F28" i="20"/>
  <c r="F29" i="20"/>
  <c r="C30" i="20"/>
  <c r="D30" i="20"/>
  <c r="C44" i="20"/>
  <c r="D44" i="20"/>
  <c r="E38" i="20" s="1"/>
  <c r="H69" i="20"/>
  <c r="T69" i="20" s="1"/>
  <c r="H72" i="20"/>
  <c r="T72" i="20" s="1"/>
  <c r="F85" i="20"/>
  <c r="R85" i="20" s="1"/>
  <c r="F88" i="20"/>
  <c r="R88" i="20" s="1"/>
  <c r="F90" i="20"/>
  <c r="R90" i="20" s="1"/>
  <c r="F92" i="20"/>
  <c r="R92" i="20" s="1"/>
  <c r="F94" i="20"/>
  <c r="R94" i="20" s="1"/>
  <c r="F96" i="20"/>
  <c r="R96" i="20" s="1"/>
  <c r="F104" i="20"/>
  <c r="R104" i="20" s="1"/>
  <c r="F105" i="20"/>
  <c r="R105" i="20" s="1"/>
  <c r="F106" i="20"/>
  <c r="R106" i="20" s="1"/>
  <c r="G113" i="20"/>
  <c r="G114" i="20"/>
  <c r="H121" i="20"/>
  <c r="H123" i="20" s="1"/>
  <c r="T123" i="20" s="1"/>
  <c r="R121" i="20"/>
  <c r="R122" i="20" s="1"/>
  <c r="F122" i="20"/>
  <c r="H122" i="20"/>
  <c r="T122" i="20" s="1"/>
  <c r="I143" i="20"/>
  <c r="A152" i="20"/>
  <c r="A162" i="20"/>
  <c r="A164" i="20"/>
  <c r="A168" i="20"/>
  <c r="A172" i="20"/>
  <c r="A173" i="20"/>
  <c r="A174" i="20"/>
  <c r="A178" i="20"/>
  <c r="A179" i="20"/>
  <c r="A180" i="20"/>
  <c r="A182" i="20"/>
  <c r="A183" i="20"/>
  <c r="A184" i="20"/>
  <c r="A185" i="20"/>
  <c r="N1" i="18"/>
  <c r="A3" i="18"/>
  <c r="N3" i="18" s="1"/>
  <c r="F4" i="18"/>
  <c r="P4" i="18"/>
  <c r="N7" i="18"/>
  <c r="C8" i="18"/>
  <c r="P8" i="18" s="1"/>
  <c r="H8" i="18"/>
  <c r="T8" i="18" s="1"/>
  <c r="P106" i="18" s="1"/>
  <c r="F14" i="18"/>
  <c r="F15" i="18"/>
  <c r="F16" i="18"/>
  <c r="F17" i="18"/>
  <c r="F18" i="18"/>
  <c r="F19" i="18"/>
  <c r="F20" i="18"/>
  <c r="F21" i="18"/>
  <c r="F22" i="18"/>
  <c r="F23" i="18"/>
  <c r="F24" i="18"/>
  <c r="F25" i="18"/>
  <c r="F26" i="18"/>
  <c r="F27" i="18"/>
  <c r="F28" i="18"/>
  <c r="F29" i="18"/>
  <c r="C30" i="18"/>
  <c r="D30" i="18"/>
  <c r="E15" i="18" s="1"/>
  <c r="C44" i="18"/>
  <c r="D44" i="18"/>
  <c r="E38" i="18" s="1"/>
  <c r="H69" i="18"/>
  <c r="T69" i="18" s="1"/>
  <c r="H72" i="18"/>
  <c r="T72" i="18" s="1"/>
  <c r="F85" i="18"/>
  <c r="R85" i="18" s="1"/>
  <c r="F88" i="18"/>
  <c r="R88" i="18" s="1"/>
  <c r="F90" i="18"/>
  <c r="R90" i="18" s="1"/>
  <c r="F92" i="18"/>
  <c r="R92" i="18" s="1"/>
  <c r="F94" i="18"/>
  <c r="F96" i="18"/>
  <c r="R96" i="18" s="1"/>
  <c r="F104" i="18"/>
  <c r="R104" i="18" s="1"/>
  <c r="F105" i="18"/>
  <c r="R105" i="18" s="1"/>
  <c r="F106" i="18"/>
  <c r="R106" i="18" s="1"/>
  <c r="G113" i="18"/>
  <c r="T113" i="18" s="1"/>
  <c r="G114" i="18"/>
  <c r="I114" i="18" s="1"/>
  <c r="H121" i="18"/>
  <c r="R121" i="18"/>
  <c r="R122" i="18" s="1"/>
  <c r="F122" i="18"/>
  <c r="H122" i="18"/>
  <c r="I143" i="18"/>
  <c r="A152" i="18"/>
  <c r="A162" i="18"/>
  <c r="A164" i="18"/>
  <c r="A168" i="18"/>
  <c r="A172" i="18"/>
  <c r="A173" i="18"/>
  <c r="A174" i="18"/>
  <c r="A178" i="18"/>
  <c r="A179" i="18"/>
  <c r="A180" i="18"/>
  <c r="A182" i="18"/>
  <c r="A183" i="18"/>
  <c r="A184" i="18"/>
  <c r="A185" i="18"/>
  <c r="N1" i="17"/>
  <c r="A3" i="17"/>
  <c r="N3" i="17" s="1"/>
  <c r="F4" i="17"/>
  <c r="P4" i="17"/>
  <c r="N7" i="17"/>
  <c r="C8" i="17"/>
  <c r="P8" i="17" s="1"/>
  <c r="H8" i="17"/>
  <c r="E105" i="17" s="1"/>
  <c r="F14" i="17"/>
  <c r="F15" i="17"/>
  <c r="F16" i="17"/>
  <c r="F17" i="17"/>
  <c r="F18" i="17"/>
  <c r="F19" i="17"/>
  <c r="F20" i="17"/>
  <c r="F21" i="17"/>
  <c r="F22" i="17"/>
  <c r="F23" i="17"/>
  <c r="F24" i="17"/>
  <c r="F25" i="17"/>
  <c r="F26" i="17"/>
  <c r="F27" i="17"/>
  <c r="F28" i="17"/>
  <c r="F29" i="17"/>
  <c r="C30" i="17"/>
  <c r="D30" i="17"/>
  <c r="C44" i="17"/>
  <c r="D44" i="17"/>
  <c r="E43" i="17" s="1"/>
  <c r="H69" i="17"/>
  <c r="T69" i="17" s="1"/>
  <c r="H72" i="17"/>
  <c r="T72" i="17" s="1"/>
  <c r="F85" i="17"/>
  <c r="R85" i="17" s="1"/>
  <c r="F88" i="17"/>
  <c r="F90" i="17"/>
  <c r="R90" i="17" s="1"/>
  <c r="F92" i="17"/>
  <c r="F94" i="17"/>
  <c r="R94" i="17" s="1"/>
  <c r="F96" i="17"/>
  <c r="F104" i="17"/>
  <c r="R104" i="17" s="1"/>
  <c r="F105" i="17"/>
  <c r="R105" i="17" s="1"/>
  <c r="F106" i="17"/>
  <c r="R106" i="17" s="1"/>
  <c r="G113" i="17"/>
  <c r="T113" i="17" s="1"/>
  <c r="G114" i="17"/>
  <c r="T114" i="17" s="1"/>
  <c r="U114" i="17" s="1"/>
  <c r="H121" i="17"/>
  <c r="H123" i="17" s="1"/>
  <c r="R121" i="17"/>
  <c r="R122" i="17" s="1"/>
  <c r="F122" i="17"/>
  <c r="H122" i="17"/>
  <c r="T122" i="17" s="1"/>
  <c r="I143" i="17"/>
  <c r="A152" i="17"/>
  <c r="A162" i="17"/>
  <c r="A164" i="17"/>
  <c r="A168" i="17"/>
  <c r="A172" i="17"/>
  <c r="A173" i="17"/>
  <c r="A174" i="17"/>
  <c r="A178" i="17"/>
  <c r="A179" i="17"/>
  <c r="A180" i="17"/>
  <c r="A182" i="17"/>
  <c r="A183" i="17"/>
  <c r="A184" i="17"/>
  <c r="A185" i="17"/>
  <c r="N1" i="16"/>
  <c r="A3" i="16"/>
  <c r="N3" i="16" s="1"/>
  <c r="F4" i="16"/>
  <c r="P4" i="16"/>
  <c r="N7" i="16"/>
  <c r="C8" i="16"/>
  <c r="P8" i="16" s="1"/>
  <c r="H8" i="16"/>
  <c r="F14" i="16"/>
  <c r="F15" i="16"/>
  <c r="F16" i="16"/>
  <c r="F17" i="16"/>
  <c r="F18" i="16"/>
  <c r="F19" i="16"/>
  <c r="F20" i="16"/>
  <c r="F21" i="16"/>
  <c r="F22" i="16"/>
  <c r="F23" i="16"/>
  <c r="F24" i="16"/>
  <c r="F25" i="16"/>
  <c r="F26" i="16"/>
  <c r="F27" i="16"/>
  <c r="F28" i="16"/>
  <c r="F29" i="16"/>
  <c r="C30" i="16"/>
  <c r="D30" i="16"/>
  <c r="C44" i="16"/>
  <c r="D44" i="16"/>
  <c r="E39" i="16" s="1"/>
  <c r="H69" i="16"/>
  <c r="H72" i="16"/>
  <c r="T72" i="16" s="1"/>
  <c r="F85" i="16"/>
  <c r="F88" i="16"/>
  <c r="R88" i="16" s="1"/>
  <c r="F90" i="16"/>
  <c r="F92" i="16"/>
  <c r="R92" i="16" s="1"/>
  <c r="F94" i="16"/>
  <c r="R94" i="16" s="1"/>
  <c r="F96" i="16"/>
  <c r="R96" i="16" s="1"/>
  <c r="F104" i="16"/>
  <c r="R104" i="16" s="1"/>
  <c r="F105" i="16"/>
  <c r="R105" i="16" s="1"/>
  <c r="F106" i="16"/>
  <c r="R106" i="16" s="1"/>
  <c r="G113" i="16"/>
  <c r="I113" i="16" s="1"/>
  <c r="G114" i="16"/>
  <c r="H121" i="16"/>
  <c r="R121" i="16"/>
  <c r="R122" i="16" s="1"/>
  <c r="F122" i="16"/>
  <c r="H122" i="16"/>
  <c r="I143" i="16"/>
  <c r="A152" i="16"/>
  <c r="A162" i="16"/>
  <c r="A164" i="16"/>
  <c r="A168" i="16"/>
  <c r="A172" i="16"/>
  <c r="A173" i="16"/>
  <c r="A174" i="16"/>
  <c r="A178" i="16"/>
  <c r="A179" i="16"/>
  <c r="A180" i="16"/>
  <c r="A182" i="16"/>
  <c r="A183" i="16"/>
  <c r="A184" i="16"/>
  <c r="A185" i="16"/>
  <c r="N1" i="7"/>
  <c r="N3" i="7"/>
  <c r="P4" i="7"/>
  <c r="T8" i="7"/>
  <c r="P104" i="7" s="1"/>
  <c r="C30" i="7"/>
  <c r="D30" i="7"/>
  <c r="E18" i="7" s="1"/>
  <c r="I35" i="7"/>
  <c r="U35" i="7" s="1"/>
  <c r="C44" i="7"/>
  <c r="D44" i="7"/>
  <c r="E38" i="7" s="1"/>
  <c r="I38" i="7" s="1"/>
  <c r="T69" i="7"/>
  <c r="T72" i="7"/>
  <c r="R85" i="7"/>
  <c r="R88" i="7"/>
  <c r="R90" i="7"/>
  <c r="R92" i="7"/>
  <c r="R94" i="7"/>
  <c r="R96" i="7"/>
  <c r="E104" i="7"/>
  <c r="E102" i="60" s="1"/>
  <c r="R104" i="7"/>
  <c r="E105" i="7"/>
  <c r="E103" i="60" s="1"/>
  <c r="R105" i="7"/>
  <c r="E106" i="7"/>
  <c r="E104" i="60" s="1"/>
  <c r="R106" i="7"/>
  <c r="I113" i="7"/>
  <c r="T113" i="7"/>
  <c r="I114" i="7"/>
  <c r="T114" i="7"/>
  <c r="U114" i="7" s="1"/>
  <c r="H121" i="7"/>
  <c r="R121" i="7"/>
  <c r="R122" i="7" s="1"/>
  <c r="F122" i="7"/>
  <c r="H122" i="7"/>
  <c r="T122" i="7" s="1"/>
  <c r="A3" i="60"/>
  <c r="A7" i="60"/>
  <c r="C8" i="60"/>
  <c r="H8" i="60"/>
  <c r="I10" i="60"/>
  <c r="C14" i="60"/>
  <c r="D14" i="60"/>
  <c r="F14" i="60"/>
  <c r="C15" i="60"/>
  <c r="D15" i="60"/>
  <c r="F15" i="60"/>
  <c r="C16" i="60"/>
  <c r="D16" i="60"/>
  <c r="F16" i="60"/>
  <c r="C17" i="60"/>
  <c r="D17" i="60"/>
  <c r="F17" i="60"/>
  <c r="C18" i="60"/>
  <c r="D18" i="60"/>
  <c r="F18" i="60"/>
  <c r="C19" i="60"/>
  <c r="D19" i="60"/>
  <c r="F19" i="60"/>
  <c r="C20" i="60"/>
  <c r="D20" i="60"/>
  <c r="F20" i="60"/>
  <c r="C21" i="60"/>
  <c r="D21" i="60"/>
  <c r="F21" i="60"/>
  <c r="C22" i="60"/>
  <c r="D22" i="60"/>
  <c r="F22" i="60"/>
  <c r="C23" i="60"/>
  <c r="D23" i="60"/>
  <c r="F23" i="60"/>
  <c r="C24" i="60"/>
  <c r="D24" i="60"/>
  <c r="F24" i="60"/>
  <c r="C25" i="60"/>
  <c r="D25" i="60"/>
  <c r="F25" i="60"/>
  <c r="C26" i="60"/>
  <c r="D26" i="60"/>
  <c r="F26" i="60"/>
  <c r="C27" i="60"/>
  <c r="D27" i="60"/>
  <c r="F27" i="60"/>
  <c r="C28" i="60"/>
  <c r="D28" i="60"/>
  <c r="F28" i="60"/>
  <c r="C29" i="60"/>
  <c r="D29" i="60"/>
  <c r="F29" i="60"/>
  <c r="C31" i="60"/>
  <c r="D31" i="60"/>
  <c r="E119" i="60" s="1"/>
  <c r="I119" i="60" s="1"/>
  <c r="C39" i="60"/>
  <c r="D39" i="60"/>
  <c r="C40" i="60"/>
  <c r="D40" i="60"/>
  <c r="C41" i="60"/>
  <c r="D41" i="60"/>
  <c r="C42" i="60"/>
  <c r="D42" i="60"/>
  <c r="C43" i="60"/>
  <c r="D43" i="60"/>
  <c r="C44" i="60"/>
  <c r="D44" i="60"/>
  <c r="B2" i="64"/>
  <c r="A27" i="64"/>
  <c r="A43" i="64" s="1"/>
  <c r="A50" i="64" s="1"/>
  <c r="A62" i="64" s="1"/>
  <c r="A70" i="64" s="1"/>
  <c r="A80" i="64" s="1"/>
  <c r="A91" i="64" s="1"/>
  <c r="A100" i="64" s="1"/>
  <c r="A108" i="64" s="1"/>
  <c r="A115" i="64" s="1"/>
  <c r="A124" i="64" s="1"/>
  <c r="A133" i="64" s="1"/>
  <c r="A142" i="64" s="1"/>
  <c r="A152" i="64" s="1"/>
  <c r="A161" i="64" s="1"/>
  <c r="A169" i="64" s="1"/>
  <c r="A176" i="64" s="1"/>
  <c r="A184" i="64" s="1"/>
  <c r="A195" i="64" s="1"/>
  <c r="A203" i="64" s="1"/>
  <c r="A214" i="64" s="1"/>
  <c r="A224" i="64" s="1"/>
  <c r="A233" i="64" s="1"/>
  <c r="A243" i="64" s="1"/>
  <c r="A253" i="64" s="1"/>
  <c r="A261" i="64" s="1"/>
  <c r="A269" i="64" s="1"/>
  <c r="A278" i="64" s="1"/>
  <c r="A288" i="64" s="1"/>
  <c r="A296" i="64" s="1"/>
  <c r="A305" i="64" s="1"/>
  <c r="A314" i="64" s="1"/>
  <c r="A324" i="64" s="1"/>
  <c r="A334" i="64" s="1"/>
  <c r="A345" i="64" s="1"/>
  <c r="A352" i="64" s="1"/>
  <c r="A361" i="64" s="1"/>
  <c r="A370" i="64" s="1"/>
  <c r="A377" i="64" s="1"/>
  <c r="A386" i="64" s="1"/>
  <c r="A396" i="64" s="1"/>
  <c r="A406" i="64" s="1"/>
  <c r="A415" i="64" s="1"/>
  <c r="A423" i="64" s="1"/>
  <c r="A433" i="64" s="1"/>
  <c r="A442" i="64" s="1"/>
  <c r="L32" i="64"/>
  <c r="T69" i="16" l="1"/>
  <c r="H70" i="16"/>
  <c r="H88" i="16" s="1"/>
  <c r="E121" i="22"/>
  <c r="E22" i="22"/>
  <c r="E19" i="22"/>
  <c r="E104" i="32"/>
  <c r="E105" i="32"/>
  <c r="P106" i="32"/>
  <c r="E16" i="18"/>
  <c r="H16" i="18" s="1"/>
  <c r="I16" i="18" s="1"/>
  <c r="E121" i="18"/>
  <c r="I121" i="18" s="1"/>
  <c r="E17" i="51"/>
  <c r="E121" i="51"/>
  <c r="I121" i="51" s="1"/>
  <c r="E22" i="71"/>
  <c r="H22" i="71" s="1"/>
  <c r="I22" i="71" s="1"/>
  <c r="E121" i="71"/>
  <c r="I121" i="71" s="1"/>
  <c r="E25" i="17"/>
  <c r="H25" i="17" s="1"/>
  <c r="I25" i="17" s="1"/>
  <c r="E121" i="17"/>
  <c r="I121" i="17" s="1"/>
  <c r="E17" i="23"/>
  <c r="E121" i="23"/>
  <c r="I121" i="23" s="1"/>
  <c r="E25" i="50"/>
  <c r="H25" i="50" s="1"/>
  <c r="I25" i="50" s="1"/>
  <c r="E121" i="50"/>
  <c r="I121" i="50" s="1"/>
  <c r="E28" i="70"/>
  <c r="H28" i="70" s="1"/>
  <c r="I28" i="70" s="1"/>
  <c r="E121" i="70"/>
  <c r="I121" i="70" s="1"/>
  <c r="E22" i="16"/>
  <c r="H22" i="16" s="1"/>
  <c r="I22" i="16" s="1"/>
  <c r="E121" i="16"/>
  <c r="E19" i="35"/>
  <c r="J19" i="35" s="1"/>
  <c r="E121" i="35"/>
  <c r="I121" i="35" s="1"/>
  <c r="E23" i="48"/>
  <c r="H23" i="48" s="1"/>
  <c r="I23" i="48" s="1"/>
  <c r="E121" i="48"/>
  <c r="I121" i="48" s="1"/>
  <c r="E24" i="69"/>
  <c r="H24" i="69" s="1"/>
  <c r="I24" i="69" s="1"/>
  <c r="E121" i="69"/>
  <c r="I121" i="69" s="1"/>
  <c r="E25" i="31"/>
  <c r="H25" i="31" s="1"/>
  <c r="I25" i="31" s="1"/>
  <c r="E121" i="31"/>
  <c r="I121" i="31" s="1"/>
  <c r="E14" i="34"/>
  <c r="H14" i="34" s="1"/>
  <c r="I14" i="34" s="1"/>
  <c r="E121" i="34"/>
  <c r="I121" i="34" s="1"/>
  <c r="E22" i="47"/>
  <c r="H22" i="47" s="1"/>
  <c r="I22" i="47" s="1"/>
  <c r="E121" i="47"/>
  <c r="I121" i="47" s="1"/>
  <c r="E25" i="28"/>
  <c r="H25" i="28" s="1"/>
  <c r="I25" i="28" s="1"/>
  <c r="E121" i="28"/>
  <c r="I121" i="28" s="1"/>
  <c r="E19" i="33"/>
  <c r="E121" i="33"/>
  <c r="I121" i="33" s="1"/>
  <c r="E25" i="45"/>
  <c r="H25" i="45" s="1"/>
  <c r="I25" i="45" s="1"/>
  <c r="E121" i="45"/>
  <c r="I121" i="45" s="1"/>
  <c r="E18" i="66"/>
  <c r="H18" i="66" s="1"/>
  <c r="I18" i="66" s="1"/>
  <c r="E121" i="66"/>
  <c r="I121" i="66" s="1"/>
  <c r="E16" i="27"/>
  <c r="H16" i="27" s="1"/>
  <c r="I16" i="27" s="1"/>
  <c r="E121" i="27"/>
  <c r="I121" i="27" s="1"/>
  <c r="E26" i="32"/>
  <c r="H26" i="32" s="1"/>
  <c r="I26" i="32" s="1"/>
  <c r="E121" i="32"/>
  <c r="I121" i="32" s="1"/>
  <c r="E19" i="44"/>
  <c r="E121" i="44"/>
  <c r="I121" i="44" s="1"/>
  <c r="E25" i="58"/>
  <c r="H25" i="58" s="1"/>
  <c r="I25" i="58" s="1"/>
  <c r="E121" i="58"/>
  <c r="I121" i="58" s="1"/>
  <c r="E18" i="26"/>
  <c r="E121" i="26"/>
  <c r="I121" i="26" s="1"/>
  <c r="E18" i="43"/>
  <c r="E121" i="43"/>
  <c r="I121" i="43" s="1"/>
  <c r="E22" i="42"/>
  <c r="H22" i="42" s="1"/>
  <c r="I22" i="42" s="1"/>
  <c r="E121" i="42"/>
  <c r="I121" i="42" s="1"/>
  <c r="E18" i="56"/>
  <c r="H18" i="56" s="1"/>
  <c r="I18" i="56" s="1"/>
  <c r="E121" i="56"/>
  <c r="I121" i="56" s="1"/>
  <c r="E25" i="24"/>
  <c r="H25" i="24" s="1"/>
  <c r="I25" i="24" s="1"/>
  <c r="E121" i="24"/>
  <c r="I121" i="24" s="1"/>
  <c r="E19" i="55"/>
  <c r="E121" i="55"/>
  <c r="I121" i="55" s="1"/>
  <c r="E19" i="30"/>
  <c r="E121" i="30"/>
  <c r="I121" i="30" s="1"/>
  <c r="E22" i="25"/>
  <c r="H22" i="25" s="1"/>
  <c r="I22" i="25" s="1"/>
  <c r="E121" i="25"/>
  <c r="I121" i="25" s="1"/>
  <c r="E26" i="39"/>
  <c r="H26" i="39" s="1"/>
  <c r="I26" i="39" s="1"/>
  <c r="E121" i="39"/>
  <c r="I121" i="39" s="1"/>
  <c r="E22" i="76"/>
  <c r="H22" i="76" s="1"/>
  <c r="I22" i="76" s="1"/>
  <c r="E121" i="76"/>
  <c r="I121" i="76" s="1"/>
  <c r="E24" i="78"/>
  <c r="H24" i="78" s="1"/>
  <c r="I24" i="78" s="1"/>
  <c r="E121" i="78"/>
  <c r="I121" i="78" s="1"/>
  <c r="E14" i="21"/>
  <c r="H14" i="21" s="1"/>
  <c r="I14" i="21" s="1"/>
  <c r="E121" i="21"/>
  <c r="I121" i="21" s="1"/>
  <c r="E25" i="38"/>
  <c r="H25" i="38" s="1"/>
  <c r="I25" i="38" s="1"/>
  <c r="E121" i="38"/>
  <c r="I121" i="38" s="1"/>
  <c r="E22" i="75"/>
  <c r="H22" i="75" s="1"/>
  <c r="I22" i="75" s="1"/>
  <c r="E121" i="75"/>
  <c r="I121" i="75" s="1"/>
  <c r="E15" i="7"/>
  <c r="E121" i="7"/>
  <c r="E29" i="20"/>
  <c r="H29" i="20" s="1"/>
  <c r="I29" i="20" s="1"/>
  <c r="E121" i="20"/>
  <c r="I121" i="20" s="1"/>
  <c r="E22" i="37"/>
  <c r="H22" i="37" s="1"/>
  <c r="I22" i="37" s="1"/>
  <c r="E121" i="37"/>
  <c r="I121" i="37" s="1"/>
  <c r="E25" i="52"/>
  <c r="H25" i="52" s="1"/>
  <c r="I25" i="52" s="1"/>
  <c r="E121" i="52"/>
  <c r="I121" i="52" s="1"/>
  <c r="E24" i="68"/>
  <c r="H24" i="68" s="1"/>
  <c r="I24" i="68" s="1"/>
  <c r="E121" i="68"/>
  <c r="I121" i="68" s="1"/>
  <c r="T121" i="76"/>
  <c r="H123" i="23"/>
  <c r="T123" i="23" s="1"/>
  <c r="I42" i="52"/>
  <c r="T121" i="27"/>
  <c r="T121" i="44"/>
  <c r="I40" i="38"/>
  <c r="I38" i="40"/>
  <c r="I41" i="76"/>
  <c r="I38" i="28"/>
  <c r="I38" i="43"/>
  <c r="I39" i="42"/>
  <c r="I38" i="68"/>
  <c r="I38" i="20"/>
  <c r="P105" i="32"/>
  <c r="I39" i="16"/>
  <c r="I38" i="18"/>
  <c r="I38" i="55"/>
  <c r="I43" i="17"/>
  <c r="I40" i="21"/>
  <c r="I40" i="35"/>
  <c r="I39" i="24"/>
  <c r="I40" i="26"/>
  <c r="I38" i="33"/>
  <c r="I40" i="50"/>
  <c r="H123" i="52"/>
  <c r="T123" i="52" s="1"/>
  <c r="I40" i="57"/>
  <c r="I39" i="66"/>
  <c r="T121" i="71"/>
  <c r="I40" i="77"/>
  <c r="I38" i="30"/>
  <c r="I40" i="45"/>
  <c r="H123" i="56"/>
  <c r="T123" i="56" s="1"/>
  <c r="I43" i="22"/>
  <c r="I39" i="23"/>
  <c r="I40" i="51"/>
  <c r="I39" i="67"/>
  <c r="I42" i="31"/>
  <c r="I39" i="39"/>
  <c r="E42" i="57"/>
  <c r="I42" i="57" s="1"/>
  <c r="E105" i="18"/>
  <c r="E27" i="47"/>
  <c r="H27" i="47" s="1"/>
  <c r="I27" i="47" s="1"/>
  <c r="E38" i="57"/>
  <c r="I38" i="57" s="1"/>
  <c r="E104" i="18"/>
  <c r="E29" i="52"/>
  <c r="H29" i="52" s="1"/>
  <c r="I29" i="52" s="1"/>
  <c r="E38" i="39"/>
  <c r="I38" i="39" s="1"/>
  <c r="E42" i="77"/>
  <c r="I42" i="77" s="1"/>
  <c r="H123" i="75"/>
  <c r="T123" i="75" s="1"/>
  <c r="T121" i="67"/>
  <c r="H123" i="68"/>
  <c r="I123" i="68" s="1"/>
  <c r="E23" i="78"/>
  <c r="H23" i="78" s="1"/>
  <c r="I23" i="78" s="1"/>
  <c r="E23" i="52"/>
  <c r="H23" i="52" s="1"/>
  <c r="I23" i="52" s="1"/>
  <c r="E106" i="18"/>
  <c r="E39" i="40"/>
  <c r="I39" i="40" s="1"/>
  <c r="E40" i="40"/>
  <c r="I40" i="40" s="1"/>
  <c r="E23" i="69"/>
  <c r="H23" i="69" s="1"/>
  <c r="I23" i="69" s="1"/>
  <c r="E39" i="68"/>
  <c r="I39" i="68" s="1"/>
  <c r="E39" i="18"/>
  <c r="I39" i="18" s="1"/>
  <c r="T121" i="32"/>
  <c r="E39" i="22"/>
  <c r="I39" i="22" s="1"/>
  <c r="E41" i="33"/>
  <c r="I41" i="33" s="1"/>
  <c r="E18" i="75"/>
  <c r="H18" i="75" s="1"/>
  <c r="I18" i="75" s="1"/>
  <c r="E40" i="33"/>
  <c r="I40" i="33" s="1"/>
  <c r="E16" i="52"/>
  <c r="H16" i="52" s="1"/>
  <c r="I16" i="52" s="1"/>
  <c r="E14" i="20"/>
  <c r="H14" i="20" s="1"/>
  <c r="I14" i="20" s="1"/>
  <c r="E21" i="71"/>
  <c r="H21" i="71" s="1"/>
  <c r="I21" i="71" s="1"/>
  <c r="E43" i="68"/>
  <c r="I43" i="68" s="1"/>
  <c r="E21" i="44"/>
  <c r="H21" i="44" s="1"/>
  <c r="I21" i="44" s="1"/>
  <c r="E38" i="22"/>
  <c r="I38" i="22" s="1"/>
  <c r="E24" i="27"/>
  <c r="H24" i="27" s="1"/>
  <c r="I24" i="27" s="1"/>
  <c r="E38" i="51"/>
  <c r="I38" i="51" s="1"/>
  <c r="E39" i="77"/>
  <c r="I39" i="77" s="1"/>
  <c r="E43" i="20"/>
  <c r="I43" i="20" s="1"/>
  <c r="E43" i="24"/>
  <c r="I43" i="24" s="1"/>
  <c r="E39" i="26"/>
  <c r="I39" i="26" s="1"/>
  <c r="T121" i="40"/>
  <c r="E28" i="58"/>
  <c r="H28" i="58" s="1"/>
  <c r="I28" i="58" s="1"/>
  <c r="H123" i="69"/>
  <c r="T123" i="69" s="1"/>
  <c r="E42" i="20"/>
  <c r="I42" i="20" s="1"/>
  <c r="E42" i="24"/>
  <c r="I42" i="24" s="1"/>
  <c r="E38" i="26"/>
  <c r="I38" i="26" s="1"/>
  <c r="E23" i="27"/>
  <c r="H23" i="27" s="1"/>
  <c r="I23" i="27" s="1"/>
  <c r="E16" i="33"/>
  <c r="H16" i="33" s="1"/>
  <c r="I16" i="33" s="1"/>
  <c r="E26" i="70"/>
  <c r="H26" i="70" s="1"/>
  <c r="I26" i="70" s="1"/>
  <c r="E21" i="78"/>
  <c r="H21" i="78" s="1"/>
  <c r="I21" i="78" s="1"/>
  <c r="E40" i="20"/>
  <c r="I40" i="20" s="1"/>
  <c r="E41" i="24"/>
  <c r="I41" i="24" s="1"/>
  <c r="E43" i="33"/>
  <c r="I43" i="33" s="1"/>
  <c r="E39" i="20"/>
  <c r="I39" i="20" s="1"/>
  <c r="E40" i="24"/>
  <c r="I40" i="24" s="1"/>
  <c r="E42" i="33"/>
  <c r="I42" i="33" s="1"/>
  <c r="E20" i="23"/>
  <c r="H20" i="23" s="1"/>
  <c r="I20" i="23" s="1"/>
  <c r="T121" i="42"/>
  <c r="E27" i="44"/>
  <c r="E42" i="68"/>
  <c r="I42" i="68" s="1"/>
  <c r="E40" i="18"/>
  <c r="I40" i="18" s="1"/>
  <c r="E38" i="24"/>
  <c r="I38" i="24" s="1"/>
  <c r="E24" i="33"/>
  <c r="H24" i="33" s="1"/>
  <c r="I24" i="33" s="1"/>
  <c r="E40" i="76"/>
  <c r="I40" i="76" s="1"/>
  <c r="E41" i="57"/>
  <c r="I41" i="57" s="1"/>
  <c r="E41" i="68"/>
  <c r="I41" i="68" s="1"/>
  <c r="E28" i="78"/>
  <c r="H28" i="78" s="1"/>
  <c r="I28" i="78" s="1"/>
  <c r="E15" i="44"/>
  <c r="J15" i="44" s="1"/>
  <c r="E39" i="76"/>
  <c r="I39" i="76" s="1"/>
  <c r="E39" i="57"/>
  <c r="I39" i="57" s="1"/>
  <c r="E40" i="68"/>
  <c r="I40" i="68" s="1"/>
  <c r="E41" i="21"/>
  <c r="I41" i="21" s="1"/>
  <c r="E39" i="28"/>
  <c r="I39" i="28" s="1"/>
  <c r="E39" i="33"/>
  <c r="I39" i="33" s="1"/>
  <c r="T121" i="43"/>
  <c r="E20" i="47"/>
  <c r="H20" i="47" s="1"/>
  <c r="I20" i="47" s="1"/>
  <c r="E38" i="76"/>
  <c r="I38" i="76" s="1"/>
  <c r="E42" i="22"/>
  <c r="I42" i="22" s="1"/>
  <c r="E43" i="43"/>
  <c r="I43" i="43" s="1"/>
  <c r="E23" i="66"/>
  <c r="H23" i="66" s="1"/>
  <c r="I23" i="66" s="1"/>
  <c r="E41" i="22"/>
  <c r="I41" i="22" s="1"/>
  <c r="E17" i="27"/>
  <c r="P105" i="7"/>
  <c r="T121" i="20"/>
  <c r="E40" i="22"/>
  <c r="I40" i="22" s="1"/>
  <c r="E24" i="35"/>
  <c r="H24" i="35" s="1"/>
  <c r="I24" i="35" s="1"/>
  <c r="E41" i="39"/>
  <c r="I41" i="39" s="1"/>
  <c r="E104" i="78"/>
  <c r="E106" i="32"/>
  <c r="E104" i="25"/>
  <c r="E106" i="23"/>
  <c r="E104" i="52"/>
  <c r="I114" i="69"/>
  <c r="E105" i="35"/>
  <c r="E106" i="43"/>
  <c r="I114" i="51"/>
  <c r="E23" i="68"/>
  <c r="H23" i="68" s="1"/>
  <c r="I23" i="68" s="1"/>
  <c r="E21" i="68"/>
  <c r="H21" i="68" s="1"/>
  <c r="I21" i="68" s="1"/>
  <c r="E24" i="71"/>
  <c r="H24" i="71" s="1"/>
  <c r="I24" i="71" s="1"/>
  <c r="E23" i="71"/>
  <c r="H23" i="71" s="1"/>
  <c r="I23" i="71" s="1"/>
  <c r="E14" i="71"/>
  <c r="H14" i="71" s="1"/>
  <c r="I14" i="71" s="1"/>
  <c r="I122" i="70"/>
  <c r="E21" i="70"/>
  <c r="H21" i="70" s="1"/>
  <c r="I21" i="70" s="1"/>
  <c r="E20" i="70"/>
  <c r="H20" i="70" s="1"/>
  <c r="I20" i="70" s="1"/>
  <c r="E22" i="69"/>
  <c r="H22" i="69" s="1"/>
  <c r="I22" i="69" s="1"/>
  <c r="E21" i="69"/>
  <c r="H21" i="69" s="1"/>
  <c r="I21" i="69" s="1"/>
  <c r="E24" i="66"/>
  <c r="H24" i="66" s="1"/>
  <c r="I24" i="66" s="1"/>
  <c r="E22" i="58"/>
  <c r="H22" i="58" s="1"/>
  <c r="I22" i="58" s="1"/>
  <c r="E21" i="58"/>
  <c r="H21" i="58" s="1"/>
  <c r="I21" i="58" s="1"/>
  <c r="E27" i="55"/>
  <c r="H27" i="55" s="1"/>
  <c r="I27" i="55" s="1"/>
  <c r="E14" i="55"/>
  <c r="H14" i="55" s="1"/>
  <c r="I14" i="55" s="1"/>
  <c r="I122" i="52"/>
  <c r="E28" i="52"/>
  <c r="H28" i="52" s="1"/>
  <c r="I28" i="52" s="1"/>
  <c r="E15" i="52"/>
  <c r="E27" i="52"/>
  <c r="H27" i="52" s="1"/>
  <c r="I27" i="52" s="1"/>
  <c r="E20" i="52"/>
  <c r="H20" i="52" s="1"/>
  <c r="I20" i="52" s="1"/>
  <c r="E26" i="52"/>
  <c r="H26" i="52" s="1"/>
  <c r="I26" i="52" s="1"/>
  <c r="E19" i="52"/>
  <c r="J19" i="52" s="1"/>
  <c r="E18" i="52"/>
  <c r="H18" i="52" s="1"/>
  <c r="I18" i="52" s="1"/>
  <c r="E24" i="52"/>
  <c r="H24" i="52" s="1"/>
  <c r="I24" i="52" s="1"/>
  <c r="E17" i="52"/>
  <c r="E22" i="48"/>
  <c r="H22" i="48" s="1"/>
  <c r="I22" i="48" s="1"/>
  <c r="E21" i="48"/>
  <c r="H21" i="48" s="1"/>
  <c r="I21" i="48" s="1"/>
  <c r="E19" i="47"/>
  <c r="E25" i="47"/>
  <c r="H25" i="47" s="1"/>
  <c r="I25" i="47" s="1"/>
  <c r="E24" i="47"/>
  <c r="H24" i="47" s="1"/>
  <c r="I24" i="47" s="1"/>
  <c r="E17" i="47"/>
  <c r="E15" i="47"/>
  <c r="E29" i="47"/>
  <c r="H29" i="47" s="1"/>
  <c r="I29" i="47" s="1"/>
  <c r="I123" i="44"/>
  <c r="E17" i="44"/>
  <c r="E22" i="44"/>
  <c r="H22" i="44" s="1"/>
  <c r="I22" i="44" s="1"/>
  <c r="E14" i="44"/>
  <c r="H14" i="44" s="1"/>
  <c r="I14" i="44" s="1"/>
  <c r="I123" i="43"/>
  <c r="E19" i="43"/>
  <c r="I122" i="42"/>
  <c r="E23" i="42"/>
  <c r="H23" i="42" s="1"/>
  <c r="I23" i="42" s="1"/>
  <c r="E14" i="42"/>
  <c r="H14" i="42" s="1"/>
  <c r="I14" i="42" s="1"/>
  <c r="E29" i="42"/>
  <c r="H29" i="42" s="1"/>
  <c r="I29" i="42" s="1"/>
  <c r="E20" i="42"/>
  <c r="H20" i="42" s="1"/>
  <c r="I20" i="42" s="1"/>
  <c r="E28" i="42"/>
  <c r="H28" i="42" s="1"/>
  <c r="I28" i="42" s="1"/>
  <c r="E27" i="42"/>
  <c r="H27" i="42" s="1"/>
  <c r="I27" i="42" s="1"/>
  <c r="E18" i="42"/>
  <c r="H18" i="42" s="1"/>
  <c r="I18" i="42" s="1"/>
  <c r="I122" i="39"/>
  <c r="E21" i="39"/>
  <c r="H21" i="39" s="1"/>
  <c r="I21" i="39" s="1"/>
  <c r="E20" i="37"/>
  <c r="H20" i="37" s="1"/>
  <c r="I20" i="37" s="1"/>
  <c r="E21" i="23"/>
  <c r="H21" i="23" s="1"/>
  <c r="I21" i="23" s="1"/>
  <c r="E15" i="35"/>
  <c r="J15" i="35" s="1"/>
  <c r="E20" i="35"/>
  <c r="H20" i="35" s="1"/>
  <c r="I20" i="35" s="1"/>
  <c r="E20" i="34"/>
  <c r="H20" i="34" s="1"/>
  <c r="I20" i="34" s="1"/>
  <c r="E27" i="34"/>
  <c r="H27" i="34" s="1"/>
  <c r="I27" i="34" s="1"/>
  <c r="E23" i="33"/>
  <c r="H23" i="33" s="1"/>
  <c r="I23" i="33" s="1"/>
  <c r="E15" i="33"/>
  <c r="E22" i="33"/>
  <c r="H22" i="33" s="1"/>
  <c r="I22" i="33" s="1"/>
  <c r="E14" i="33"/>
  <c r="H14" i="33" s="1"/>
  <c r="I14" i="33" s="1"/>
  <c r="E29" i="33"/>
  <c r="H29" i="33" s="1"/>
  <c r="I29" i="33" s="1"/>
  <c r="E28" i="33"/>
  <c r="H28" i="33" s="1"/>
  <c r="I28" i="33" s="1"/>
  <c r="E27" i="32"/>
  <c r="H27" i="32" s="1"/>
  <c r="I27" i="32" s="1"/>
  <c r="E16" i="32"/>
  <c r="H16" i="32" s="1"/>
  <c r="I16" i="32" s="1"/>
  <c r="E22" i="28"/>
  <c r="H22" i="28" s="1"/>
  <c r="I22" i="28" s="1"/>
  <c r="I122" i="27"/>
  <c r="E29" i="27"/>
  <c r="H29" i="27" s="1"/>
  <c r="I29" i="27" s="1"/>
  <c r="E22" i="27"/>
  <c r="H22" i="27" s="1"/>
  <c r="I22" i="27" s="1"/>
  <c r="E14" i="27"/>
  <c r="H14" i="27" s="1"/>
  <c r="I14" i="27" s="1"/>
  <c r="E28" i="27"/>
  <c r="H28" i="27" s="1"/>
  <c r="I28" i="27" s="1"/>
  <c r="E27" i="27"/>
  <c r="H27" i="27" s="1"/>
  <c r="I27" i="27" s="1"/>
  <c r="E19" i="27"/>
  <c r="E18" i="27"/>
  <c r="H18" i="27" s="1"/>
  <c r="I18" i="27" s="1"/>
  <c r="I122" i="26"/>
  <c r="E28" i="26"/>
  <c r="H28" i="26" s="1"/>
  <c r="I28" i="26" s="1"/>
  <c r="E26" i="26"/>
  <c r="H26" i="26" s="1"/>
  <c r="I26" i="26" s="1"/>
  <c r="E15" i="26"/>
  <c r="E20" i="26"/>
  <c r="H20" i="26" s="1"/>
  <c r="I20" i="26" s="1"/>
  <c r="E23" i="24"/>
  <c r="H23" i="24" s="1"/>
  <c r="I23" i="24" s="1"/>
  <c r="E22" i="24"/>
  <c r="H22" i="24" s="1"/>
  <c r="I22" i="24" s="1"/>
  <c r="E20" i="24"/>
  <c r="H20" i="24" s="1"/>
  <c r="I20" i="24" s="1"/>
  <c r="E26" i="21"/>
  <c r="H26" i="21" s="1"/>
  <c r="I26" i="21" s="1"/>
  <c r="E23" i="21"/>
  <c r="H23" i="21" s="1"/>
  <c r="I23" i="21" s="1"/>
  <c r="E22" i="21"/>
  <c r="H22" i="21" s="1"/>
  <c r="I22" i="21" s="1"/>
  <c r="E20" i="21"/>
  <c r="H20" i="21" s="1"/>
  <c r="I20" i="21" s="1"/>
  <c r="E20" i="20"/>
  <c r="H20" i="20" s="1"/>
  <c r="I20" i="20" s="1"/>
  <c r="E20" i="18"/>
  <c r="E29" i="18"/>
  <c r="H29" i="18" s="1"/>
  <c r="I29" i="18" s="1"/>
  <c r="E28" i="18"/>
  <c r="H28" i="18" s="1"/>
  <c r="I28" i="18" s="1"/>
  <c r="E15" i="17"/>
  <c r="J15" i="17" s="1"/>
  <c r="E22" i="17"/>
  <c r="H22" i="17" s="1"/>
  <c r="I22" i="17" s="1"/>
  <c r="E21" i="17"/>
  <c r="H21" i="17" s="1"/>
  <c r="I21" i="17" s="1"/>
  <c r="E28" i="17"/>
  <c r="H28" i="17" s="1"/>
  <c r="I28" i="17" s="1"/>
  <c r="E27" i="17"/>
  <c r="H27" i="17" s="1"/>
  <c r="I27" i="17" s="1"/>
  <c r="E17" i="17"/>
  <c r="E21" i="16"/>
  <c r="H21" i="16" s="1"/>
  <c r="I21" i="16" s="1"/>
  <c r="E26" i="16"/>
  <c r="H26" i="16" s="1"/>
  <c r="I26" i="16" s="1"/>
  <c r="I122" i="58"/>
  <c r="H18" i="43"/>
  <c r="I18" i="43" s="1"/>
  <c r="E40" i="31"/>
  <c r="I40" i="31" s="1"/>
  <c r="E39" i="31"/>
  <c r="I39" i="31" s="1"/>
  <c r="I122" i="69"/>
  <c r="H123" i="18"/>
  <c r="T123" i="18" s="1"/>
  <c r="I122" i="75"/>
  <c r="I122" i="31"/>
  <c r="I122" i="45"/>
  <c r="E16" i="30"/>
  <c r="H16" i="30" s="1"/>
  <c r="I16" i="30" s="1"/>
  <c r="E22" i="30"/>
  <c r="H22" i="30" s="1"/>
  <c r="I22" i="30" s="1"/>
  <c r="E21" i="30"/>
  <c r="H21" i="30" s="1"/>
  <c r="I21" i="30" s="1"/>
  <c r="E24" i="30"/>
  <c r="H24" i="30" s="1"/>
  <c r="I24" i="30" s="1"/>
  <c r="E18" i="51"/>
  <c r="H18" i="51" s="1"/>
  <c r="I18" i="51" s="1"/>
  <c r="E25" i="51"/>
  <c r="H25" i="51" s="1"/>
  <c r="I25" i="51" s="1"/>
  <c r="E16" i="51"/>
  <c r="H16" i="51" s="1"/>
  <c r="I16" i="51" s="1"/>
  <c r="E26" i="51"/>
  <c r="H26" i="51" s="1"/>
  <c r="I26" i="51" s="1"/>
  <c r="E20" i="51"/>
  <c r="H20" i="51" s="1"/>
  <c r="I20" i="51" s="1"/>
  <c r="E24" i="51"/>
  <c r="H24" i="51" s="1"/>
  <c r="I24" i="51" s="1"/>
  <c r="E19" i="51"/>
  <c r="E27" i="51"/>
  <c r="H27" i="51" s="1"/>
  <c r="I27" i="51" s="1"/>
  <c r="E24" i="57"/>
  <c r="H24" i="57" s="1"/>
  <c r="I24" i="57" s="1"/>
  <c r="E25" i="57"/>
  <c r="H25" i="57" s="1"/>
  <c r="I25" i="57" s="1"/>
  <c r="E19" i="57"/>
  <c r="T8" i="28"/>
  <c r="P106" i="28" s="1"/>
  <c r="E104" i="28"/>
  <c r="T8" i="27"/>
  <c r="P105" i="27" s="1"/>
  <c r="E104" i="27"/>
  <c r="T121" i="33"/>
  <c r="H123" i="33"/>
  <c r="T123" i="33" s="1"/>
  <c r="T8" i="40"/>
  <c r="P106" i="40" s="1"/>
  <c r="E104" i="40"/>
  <c r="E106" i="40"/>
  <c r="E38" i="27"/>
  <c r="I38" i="27" s="1"/>
  <c r="E40" i="27"/>
  <c r="I40" i="27" s="1"/>
  <c r="E39" i="27"/>
  <c r="I39" i="27" s="1"/>
  <c r="E43" i="27"/>
  <c r="I43" i="27" s="1"/>
  <c r="E42" i="27"/>
  <c r="I42" i="27" s="1"/>
  <c r="T121" i="34"/>
  <c r="H123" i="34"/>
  <c r="T123" i="34" s="1"/>
  <c r="E17" i="43"/>
  <c r="E23" i="43"/>
  <c r="H23" i="43" s="1"/>
  <c r="I23" i="43" s="1"/>
  <c r="E14" i="43"/>
  <c r="H14" i="43" s="1"/>
  <c r="I14" i="43" s="1"/>
  <c r="E24" i="43"/>
  <c r="H24" i="43" s="1"/>
  <c r="I24" i="43" s="1"/>
  <c r="E15" i="43"/>
  <c r="J15" i="43" s="1"/>
  <c r="E29" i="43"/>
  <c r="H29" i="43" s="1"/>
  <c r="I29" i="43" s="1"/>
  <c r="E20" i="43"/>
  <c r="H20" i="43" s="1"/>
  <c r="I20" i="43" s="1"/>
  <c r="E40" i="69"/>
  <c r="I40" i="69" s="1"/>
  <c r="E41" i="69"/>
  <c r="I41" i="69" s="1"/>
  <c r="E38" i="69"/>
  <c r="I38" i="69" s="1"/>
  <c r="E39" i="69"/>
  <c r="I39" i="69" s="1"/>
  <c r="I122" i="32"/>
  <c r="I123" i="32"/>
  <c r="E14" i="56"/>
  <c r="H14" i="56" s="1"/>
  <c r="I14" i="56" s="1"/>
  <c r="E23" i="56"/>
  <c r="H23" i="56" s="1"/>
  <c r="I23" i="56" s="1"/>
  <c r="E22" i="56"/>
  <c r="H22" i="56" s="1"/>
  <c r="I22" i="56" s="1"/>
  <c r="E21" i="56"/>
  <c r="H21" i="56" s="1"/>
  <c r="I21" i="56" s="1"/>
  <c r="E24" i="56"/>
  <c r="H24" i="56" s="1"/>
  <c r="I24" i="56" s="1"/>
  <c r="E19" i="56"/>
  <c r="E15" i="56"/>
  <c r="J15" i="56" s="1"/>
  <c r="E27" i="56"/>
  <c r="H27" i="56" s="1"/>
  <c r="I27" i="56" s="1"/>
  <c r="E17" i="56"/>
  <c r="E42" i="69"/>
  <c r="I42" i="69" s="1"/>
  <c r="E105" i="36"/>
  <c r="E104" i="36"/>
  <c r="E106" i="36"/>
  <c r="E38" i="34"/>
  <c r="I38" i="34" s="1"/>
  <c r="E41" i="34"/>
  <c r="I41" i="34" s="1"/>
  <c r="E18" i="23"/>
  <c r="H18" i="23" s="1"/>
  <c r="I18" i="23" s="1"/>
  <c r="E41" i="50"/>
  <c r="I41" i="50" s="1"/>
  <c r="E21" i="76"/>
  <c r="H21" i="76" s="1"/>
  <c r="I21" i="76" s="1"/>
  <c r="E27" i="76"/>
  <c r="H27" i="76" s="1"/>
  <c r="I27" i="76" s="1"/>
  <c r="E19" i="76"/>
  <c r="E29" i="76"/>
  <c r="H29" i="76" s="1"/>
  <c r="I29" i="76" s="1"/>
  <c r="E18" i="76"/>
  <c r="H18" i="76" s="1"/>
  <c r="I18" i="76" s="1"/>
  <c r="E28" i="76"/>
  <c r="H28" i="76" s="1"/>
  <c r="I28" i="76" s="1"/>
  <c r="E23" i="76"/>
  <c r="H23" i="76" s="1"/>
  <c r="I23" i="76" s="1"/>
  <c r="E15" i="76"/>
  <c r="J15" i="76" s="1"/>
  <c r="E14" i="76"/>
  <c r="H14" i="76" s="1"/>
  <c r="I14" i="76" s="1"/>
  <c r="E24" i="76"/>
  <c r="H24" i="76" s="1"/>
  <c r="I24" i="76" s="1"/>
  <c r="E38" i="25"/>
  <c r="I38" i="25" s="1"/>
  <c r="E39" i="25"/>
  <c r="I39" i="25" s="1"/>
  <c r="E40" i="25"/>
  <c r="I40" i="25" s="1"/>
  <c r="E41" i="25"/>
  <c r="I41" i="25" s="1"/>
  <c r="E43" i="25"/>
  <c r="I43" i="25" s="1"/>
  <c r="E16" i="76"/>
  <c r="H16" i="76" s="1"/>
  <c r="I16" i="76" s="1"/>
  <c r="I122" i="67"/>
  <c r="E27" i="40"/>
  <c r="H27" i="40" s="1"/>
  <c r="I27" i="40" s="1"/>
  <c r="E23" i="40"/>
  <c r="H23" i="40" s="1"/>
  <c r="I23" i="40" s="1"/>
  <c r="E25" i="40"/>
  <c r="H25" i="40" s="1"/>
  <c r="I25" i="40" s="1"/>
  <c r="T121" i="48"/>
  <c r="H123" i="48"/>
  <c r="T123" i="48" s="1"/>
  <c r="T121" i="21"/>
  <c r="H123" i="21"/>
  <c r="T123" i="21" s="1"/>
  <c r="E23" i="36"/>
  <c r="H23" i="36" s="1"/>
  <c r="I23" i="36" s="1"/>
  <c r="E22" i="36"/>
  <c r="H22" i="36" s="1"/>
  <c r="I22" i="36" s="1"/>
  <c r="E24" i="36"/>
  <c r="H24" i="36" s="1"/>
  <c r="I24" i="36" s="1"/>
  <c r="I122" i="71"/>
  <c r="I123" i="71"/>
  <c r="E24" i="16"/>
  <c r="H24" i="16" s="1"/>
  <c r="I24" i="16" s="1"/>
  <c r="E17" i="16"/>
  <c r="E27" i="16"/>
  <c r="H27" i="16" s="1"/>
  <c r="I27" i="16" s="1"/>
  <c r="E20" i="16"/>
  <c r="H20" i="16" s="1"/>
  <c r="I20" i="16" s="1"/>
  <c r="E29" i="16"/>
  <c r="H29" i="16" s="1"/>
  <c r="I29" i="16" s="1"/>
  <c r="E19" i="16"/>
  <c r="E28" i="16"/>
  <c r="H28" i="16" s="1"/>
  <c r="I28" i="16" s="1"/>
  <c r="I122" i="20"/>
  <c r="E16" i="20"/>
  <c r="H16" i="20" s="1"/>
  <c r="I16" i="20" s="1"/>
  <c r="E23" i="20"/>
  <c r="H23" i="20" s="1"/>
  <c r="I23" i="20" s="1"/>
  <c r="E22" i="20"/>
  <c r="H22" i="20" s="1"/>
  <c r="I22" i="20" s="1"/>
  <c r="E18" i="20"/>
  <c r="H18" i="20" s="1"/>
  <c r="I18" i="20" s="1"/>
  <c r="E39" i="21"/>
  <c r="I39" i="21" s="1"/>
  <c r="E38" i="21"/>
  <c r="I38" i="21" s="1"/>
  <c r="E15" i="40"/>
  <c r="H27" i="44"/>
  <c r="I27" i="44" s="1"/>
  <c r="I122" i="50"/>
  <c r="E26" i="76"/>
  <c r="H26" i="76" s="1"/>
  <c r="I26" i="76" s="1"/>
  <c r="E41" i="58"/>
  <c r="I41" i="58" s="1"/>
  <c r="E40" i="58"/>
  <c r="I40" i="58" s="1"/>
  <c r="E14" i="69"/>
  <c r="H14" i="69" s="1"/>
  <c r="I14" i="69" s="1"/>
  <c r="E42" i="25"/>
  <c r="I42" i="25" s="1"/>
  <c r="E15" i="50"/>
  <c r="J15" i="50" s="1"/>
  <c r="E39" i="32"/>
  <c r="I39" i="32" s="1"/>
  <c r="E38" i="32"/>
  <c r="I38" i="32" s="1"/>
  <c r="E43" i="32"/>
  <c r="I43" i="32" s="1"/>
  <c r="E40" i="32"/>
  <c r="I40" i="32" s="1"/>
  <c r="E41" i="32"/>
  <c r="I41" i="32" s="1"/>
  <c r="E17" i="35"/>
  <c r="E14" i="35"/>
  <c r="H14" i="35" s="1"/>
  <c r="I14" i="35" s="1"/>
  <c r="E23" i="35"/>
  <c r="H23" i="35" s="1"/>
  <c r="I23" i="35" s="1"/>
  <c r="E18" i="35"/>
  <c r="H18" i="35" s="1"/>
  <c r="I18" i="35" s="1"/>
  <c r="E28" i="35"/>
  <c r="H28" i="35" s="1"/>
  <c r="I28" i="35" s="1"/>
  <c r="E29" i="35"/>
  <c r="H29" i="35" s="1"/>
  <c r="I29" i="35" s="1"/>
  <c r="E15" i="36"/>
  <c r="J15" i="36" s="1"/>
  <c r="E29" i="40"/>
  <c r="H29" i="40" s="1"/>
  <c r="I29" i="40" s="1"/>
  <c r="I123" i="67"/>
  <c r="I122" i="77"/>
  <c r="I121" i="77"/>
  <c r="E15" i="77"/>
  <c r="J15" i="77" s="1"/>
  <c r="E25" i="77"/>
  <c r="H25" i="77" s="1"/>
  <c r="I25" i="77" s="1"/>
  <c r="I122" i="38"/>
  <c r="T122" i="38"/>
  <c r="E15" i="23"/>
  <c r="J15" i="23" s="1"/>
  <c r="E22" i="23"/>
  <c r="H22" i="23" s="1"/>
  <c r="I22" i="23" s="1"/>
  <c r="E23" i="23"/>
  <c r="H23" i="23" s="1"/>
  <c r="I23" i="23" s="1"/>
  <c r="E26" i="23"/>
  <c r="H26" i="23" s="1"/>
  <c r="I26" i="23" s="1"/>
  <c r="E16" i="23"/>
  <c r="H16" i="23" s="1"/>
  <c r="I16" i="23" s="1"/>
  <c r="T121" i="26"/>
  <c r="H123" i="26"/>
  <c r="E42" i="50"/>
  <c r="I42" i="50" s="1"/>
  <c r="E25" i="69"/>
  <c r="H25" i="69" s="1"/>
  <c r="I25" i="69" s="1"/>
  <c r="E29" i="69"/>
  <c r="H29" i="69" s="1"/>
  <c r="I29" i="69" s="1"/>
  <c r="E19" i="69"/>
  <c r="E28" i="69"/>
  <c r="H28" i="69" s="1"/>
  <c r="I28" i="69" s="1"/>
  <c r="E20" i="69"/>
  <c r="H20" i="69" s="1"/>
  <c r="I20" i="69" s="1"/>
  <c r="E16" i="69"/>
  <c r="H16" i="69" s="1"/>
  <c r="I16" i="69" s="1"/>
  <c r="E26" i="69"/>
  <c r="H26" i="69" s="1"/>
  <c r="I26" i="69" s="1"/>
  <c r="E18" i="69"/>
  <c r="H18" i="69" s="1"/>
  <c r="I18" i="69" s="1"/>
  <c r="E25" i="68"/>
  <c r="H25" i="68" s="1"/>
  <c r="I25" i="68" s="1"/>
  <c r="E17" i="68"/>
  <c r="J17" i="68" s="1"/>
  <c r="E18" i="68"/>
  <c r="H18" i="68" s="1"/>
  <c r="I18" i="68" s="1"/>
  <c r="E19" i="68"/>
  <c r="I122" i="30"/>
  <c r="T8" i="30"/>
  <c r="P104" i="30" s="1"/>
  <c r="E105" i="30"/>
  <c r="T121" i="16"/>
  <c r="H123" i="16"/>
  <c r="I122" i="24"/>
  <c r="E28" i="39"/>
  <c r="H28" i="39" s="1"/>
  <c r="I28" i="39" s="1"/>
  <c r="E24" i="39"/>
  <c r="H24" i="39" s="1"/>
  <c r="I24" i="39" s="1"/>
  <c r="E14" i="39"/>
  <c r="H14" i="39" s="1"/>
  <c r="I14" i="39" s="1"/>
  <c r="E16" i="39"/>
  <c r="H16" i="39" s="1"/>
  <c r="I16" i="39" s="1"/>
  <c r="E27" i="39"/>
  <c r="H27" i="39" s="1"/>
  <c r="I27" i="39" s="1"/>
  <c r="E29" i="39"/>
  <c r="H29" i="39" s="1"/>
  <c r="I29" i="39" s="1"/>
  <c r="E17" i="39"/>
  <c r="E19" i="39"/>
  <c r="E39" i="50"/>
  <c r="I39" i="50" s="1"/>
  <c r="H123" i="51"/>
  <c r="T123" i="51" s="1"/>
  <c r="E17" i="76"/>
  <c r="J17" i="76" s="1"/>
  <c r="H123" i="70"/>
  <c r="T123" i="70" s="1"/>
  <c r="T121" i="70"/>
  <c r="E28" i="23"/>
  <c r="H28" i="23" s="1"/>
  <c r="I28" i="23" s="1"/>
  <c r="E38" i="50"/>
  <c r="I38" i="50" s="1"/>
  <c r="E16" i="67"/>
  <c r="H16" i="67" s="1"/>
  <c r="I16" i="67" s="1"/>
  <c r="E26" i="67"/>
  <c r="H26" i="67" s="1"/>
  <c r="I26" i="67" s="1"/>
  <c r="E15" i="67"/>
  <c r="J15" i="67" s="1"/>
  <c r="E27" i="23"/>
  <c r="H27" i="23" s="1"/>
  <c r="I27" i="23" s="1"/>
  <c r="E15" i="69"/>
  <c r="E18" i="18"/>
  <c r="H18" i="18" s="1"/>
  <c r="I18" i="18" s="1"/>
  <c r="E22" i="18"/>
  <c r="H22" i="18" s="1"/>
  <c r="I22" i="18" s="1"/>
  <c r="E14" i="18"/>
  <c r="H14" i="18" s="1"/>
  <c r="I14" i="18" s="1"/>
  <c r="E26" i="18"/>
  <c r="H26" i="18" s="1"/>
  <c r="I26" i="18" s="1"/>
  <c r="E43" i="21"/>
  <c r="I43" i="21" s="1"/>
  <c r="I122" i="35"/>
  <c r="E29" i="36"/>
  <c r="H29" i="36" s="1"/>
  <c r="I29" i="36" s="1"/>
  <c r="E14" i="40"/>
  <c r="H14" i="40" s="1"/>
  <c r="I14" i="40" s="1"/>
  <c r="H123" i="47"/>
  <c r="I123" i="47" s="1"/>
  <c r="T121" i="47"/>
  <c r="E14" i="48"/>
  <c r="H14" i="48" s="1"/>
  <c r="I14" i="48" s="1"/>
  <c r="E17" i="48"/>
  <c r="E27" i="48"/>
  <c r="H27" i="48" s="1"/>
  <c r="I27" i="48" s="1"/>
  <c r="E18" i="48"/>
  <c r="H18" i="48" s="1"/>
  <c r="I18" i="48" s="1"/>
  <c r="E28" i="48"/>
  <c r="H28" i="48" s="1"/>
  <c r="I28" i="48" s="1"/>
  <c r="E19" i="75"/>
  <c r="E28" i="75"/>
  <c r="H28" i="75" s="1"/>
  <c r="I28" i="75" s="1"/>
  <c r="E27" i="75"/>
  <c r="H27" i="75" s="1"/>
  <c r="I27" i="75" s="1"/>
  <c r="E24" i="75"/>
  <c r="H24" i="75" s="1"/>
  <c r="I24" i="75" s="1"/>
  <c r="E26" i="75"/>
  <c r="H26" i="75" s="1"/>
  <c r="I26" i="75" s="1"/>
  <c r="E43" i="58"/>
  <c r="I43" i="58" s="1"/>
  <c r="E15" i="32"/>
  <c r="J15" i="32" s="1"/>
  <c r="E23" i="32"/>
  <c r="H23" i="32" s="1"/>
  <c r="I23" i="32" s="1"/>
  <c r="E24" i="32"/>
  <c r="H24" i="32" s="1"/>
  <c r="I24" i="32" s="1"/>
  <c r="E15" i="71"/>
  <c r="J15" i="71" s="1"/>
  <c r="E17" i="71"/>
  <c r="J17" i="71" s="1"/>
  <c r="E18" i="71"/>
  <c r="H18" i="71" s="1"/>
  <c r="I18" i="71" s="1"/>
  <c r="E27" i="71"/>
  <c r="H27" i="71" s="1"/>
  <c r="I27" i="71" s="1"/>
  <c r="E28" i="71"/>
  <c r="H28" i="71" s="1"/>
  <c r="I28" i="71" s="1"/>
  <c r="E41" i="36"/>
  <c r="I41" i="36" s="1"/>
  <c r="E42" i="36"/>
  <c r="I42" i="36" s="1"/>
  <c r="E43" i="36"/>
  <c r="I43" i="36" s="1"/>
  <c r="E43" i="28"/>
  <c r="I43" i="28" s="1"/>
  <c r="E19" i="32"/>
  <c r="J19" i="32" s="1"/>
  <c r="E42" i="38"/>
  <c r="I42" i="38" s="1"/>
  <c r="I122" i="66"/>
  <c r="E19" i="71"/>
  <c r="E18" i="78"/>
  <c r="H18" i="78" s="1"/>
  <c r="I18" i="78" s="1"/>
  <c r="E27" i="78"/>
  <c r="H27" i="78" s="1"/>
  <c r="I27" i="78" s="1"/>
  <c r="E15" i="78"/>
  <c r="J15" i="78" s="1"/>
  <c r="E41" i="18"/>
  <c r="I41" i="18" s="1"/>
  <c r="E42" i="18"/>
  <c r="I42" i="18" s="1"/>
  <c r="E43" i="18"/>
  <c r="I43" i="18" s="1"/>
  <c r="E42" i="28"/>
  <c r="I42" i="28" s="1"/>
  <c r="E29" i="32"/>
  <c r="H29" i="32" s="1"/>
  <c r="I29" i="32" s="1"/>
  <c r="I122" i="33"/>
  <c r="E40" i="36"/>
  <c r="I40" i="36" s="1"/>
  <c r="T114" i="37"/>
  <c r="U114" i="37" s="1"/>
  <c r="E41" i="38"/>
  <c r="I41" i="38" s="1"/>
  <c r="E41" i="42"/>
  <c r="I41" i="42" s="1"/>
  <c r="E105" i="43"/>
  <c r="I122" i="47"/>
  <c r="E42" i="51"/>
  <c r="I42" i="51" s="1"/>
  <c r="E43" i="76"/>
  <c r="I43" i="76" s="1"/>
  <c r="E40" i="66"/>
  <c r="I40" i="66" s="1"/>
  <c r="E16" i="70"/>
  <c r="H16" i="70" s="1"/>
  <c r="I16" i="70" s="1"/>
  <c r="E24" i="70"/>
  <c r="H24" i="70" s="1"/>
  <c r="I24" i="70" s="1"/>
  <c r="E15" i="70"/>
  <c r="J15" i="70" s="1"/>
  <c r="E25" i="70"/>
  <c r="H25" i="70" s="1"/>
  <c r="I25" i="70" s="1"/>
  <c r="E29" i="71"/>
  <c r="H29" i="71" s="1"/>
  <c r="I29" i="71" s="1"/>
  <c r="E19" i="78"/>
  <c r="J19" i="78" s="1"/>
  <c r="E19" i="34"/>
  <c r="E17" i="34"/>
  <c r="E29" i="34"/>
  <c r="H29" i="34" s="1"/>
  <c r="I29" i="34" s="1"/>
  <c r="T121" i="37"/>
  <c r="H123" i="37"/>
  <c r="T123" i="37" s="1"/>
  <c r="I123" i="42"/>
  <c r="E38" i="47"/>
  <c r="I38" i="47" s="1"/>
  <c r="E40" i="47"/>
  <c r="I40" i="47" s="1"/>
  <c r="E39" i="47"/>
  <c r="I39" i="47" s="1"/>
  <c r="E43" i="66"/>
  <c r="I43" i="66" s="1"/>
  <c r="I122" i="18"/>
  <c r="E29" i="24"/>
  <c r="H29" i="24" s="1"/>
  <c r="I29" i="24" s="1"/>
  <c r="E41" i="28"/>
  <c r="I41" i="28" s="1"/>
  <c r="E18" i="32"/>
  <c r="H18" i="32" s="1"/>
  <c r="I18" i="32" s="1"/>
  <c r="E21" i="33"/>
  <c r="H21" i="33" s="1"/>
  <c r="I21" i="33" s="1"/>
  <c r="E26" i="33"/>
  <c r="H26" i="33" s="1"/>
  <c r="I26" i="33" s="1"/>
  <c r="E17" i="33"/>
  <c r="E18" i="33"/>
  <c r="H18" i="33" s="1"/>
  <c r="I18" i="33" s="1"/>
  <c r="E27" i="33"/>
  <c r="H27" i="33" s="1"/>
  <c r="I27" i="33" s="1"/>
  <c r="H123" i="35"/>
  <c r="I123" i="35" s="1"/>
  <c r="T121" i="35"/>
  <c r="E39" i="36"/>
  <c r="I39" i="36" s="1"/>
  <c r="E39" i="38"/>
  <c r="I39" i="38" s="1"/>
  <c r="E38" i="42"/>
  <c r="I38" i="42" s="1"/>
  <c r="E39" i="43"/>
  <c r="I39" i="43" s="1"/>
  <c r="E42" i="43"/>
  <c r="I42" i="43" s="1"/>
  <c r="E40" i="43"/>
  <c r="I40" i="43" s="1"/>
  <c r="E41" i="43"/>
  <c r="I41" i="43" s="1"/>
  <c r="E43" i="47"/>
  <c r="I43" i="47" s="1"/>
  <c r="E41" i="51"/>
  <c r="I41" i="51" s="1"/>
  <c r="E40" i="52"/>
  <c r="I40" i="52" s="1"/>
  <c r="E39" i="52"/>
  <c r="I39" i="52" s="1"/>
  <c r="E42" i="76"/>
  <c r="I42" i="76" s="1"/>
  <c r="I122" i="34"/>
  <c r="F470" i="64"/>
  <c r="E39" i="17"/>
  <c r="I39" i="17" s="1"/>
  <c r="E42" i="17"/>
  <c r="I42" i="17" s="1"/>
  <c r="E16" i="26"/>
  <c r="H16" i="26" s="1"/>
  <c r="I16" i="26" s="1"/>
  <c r="E40" i="28"/>
  <c r="I40" i="28" s="1"/>
  <c r="E28" i="32"/>
  <c r="H28" i="32" s="1"/>
  <c r="I28" i="32" s="1"/>
  <c r="E38" i="36"/>
  <c r="I38" i="36" s="1"/>
  <c r="E38" i="38"/>
  <c r="I38" i="38" s="1"/>
  <c r="E19" i="42"/>
  <c r="E17" i="42"/>
  <c r="E16" i="42"/>
  <c r="H16" i="42" s="1"/>
  <c r="I16" i="42" s="1"/>
  <c r="E26" i="42"/>
  <c r="H26" i="42" s="1"/>
  <c r="I26" i="42" s="1"/>
  <c r="E21" i="42"/>
  <c r="H21" i="42" s="1"/>
  <c r="I21" i="42" s="1"/>
  <c r="I122" i="43"/>
  <c r="E42" i="47"/>
  <c r="I42" i="47" s="1"/>
  <c r="E39" i="51"/>
  <c r="I39" i="51" s="1"/>
  <c r="E19" i="70"/>
  <c r="J19" i="70" s="1"/>
  <c r="I122" i="78"/>
  <c r="E104" i="23"/>
  <c r="E14" i="52"/>
  <c r="E17" i="55"/>
  <c r="E20" i="44"/>
  <c r="H20" i="44" s="1"/>
  <c r="I20" i="44" s="1"/>
  <c r="E41" i="16"/>
  <c r="I41" i="16" s="1"/>
  <c r="E42" i="26"/>
  <c r="I42" i="26" s="1"/>
  <c r="E42" i="35"/>
  <c r="I42" i="35" s="1"/>
  <c r="E41" i="23"/>
  <c r="I41" i="23" s="1"/>
  <c r="E43" i="40"/>
  <c r="I43" i="40" s="1"/>
  <c r="E42" i="45"/>
  <c r="I42" i="45" s="1"/>
  <c r="E38" i="16"/>
  <c r="I38" i="16" s="1"/>
  <c r="E18" i="21"/>
  <c r="H18" i="21" s="1"/>
  <c r="I18" i="21" s="1"/>
  <c r="E41" i="26"/>
  <c r="I41" i="26" s="1"/>
  <c r="E39" i="35"/>
  <c r="I39" i="35" s="1"/>
  <c r="E38" i="23"/>
  <c r="I38" i="23" s="1"/>
  <c r="E42" i="40"/>
  <c r="I42" i="40" s="1"/>
  <c r="E29" i="44"/>
  <c r="H29" i="44" s="1"/>
  <c r="I29" i="44" s="1"/>
  <c r="E39" i="45"/>
  <c r="I39" i="45" s="1"/>
  <c r="E21" i="52"/>
  <c r="H21" i="52" s="1"/>
  <c r="I21" i="52" s="1"/>
  <c r="E29" i="55"/>
  <c r="H29" i="55" s="1"/>
  <c r="I29" i="55" s="1"/>
  <c r="F474" i="64"/>
  <c r="F466" i="64"/>
  <c r="G466" i="64" s="1"/>
  <c r="E39" i="7"/>
  <c r="I39" i="7" s="1"/>
  <c r="E106" i="24"/>
  <c r="E106" i="26"/>
  <c r="E106" i="31"/>
  <c r="E105" i="20"/>
  <c r="E104" i="35"/>
  <c r="E105" i="26"/>
  <c r="E105" i="31"/>
  <c r="E104" i="24"/>
  <c r="T8" i="24"/>
  <c r="E104" i="31"/>
  <c r="E106" i="28"/>
  <c r="E105" i="28"/>
  <c r="E106" i="35"/>
  <c r="E106" i="68"/>
  <c r="E106" i="30"/>
  <c r="E106" i="66"/>
  <c r="T8" i="23"/>
  <c r="P106" i="23" s="1"/>
  <c r="E104" i="66"/>
  <c r="T8" i="66"/>
  <c r="P106" i="66" s="1"/>
  <c r="E26" i="7"/>
  <c r="H26" i="7" s="1"/>
  <c r="E106" i="17"/>
  <c r="E106" i="21"/>
  <c r="E106" i="52"/>
  <c r="E106" i="77"/>
  <c r="E23" i="7"/>
  <c r="H23" i="7" s="1"/>
  <c r="E20" i="7"/>
  <c r="H20" i="7" s="1"/>
  <c r="E106" i="45"/>
  <c r="E105" i="52"/>
  <c r="E104" i="17"/>
  <c r="T8" i="50"/>
  <c r="E106" i="22"/>
  <c r="E106" i="27"/>
  <c r="E104" i="43"/>
  <c r="E105" i="45"/>
  <c r="E104" i="26"/>
  <c r="E106" i="50"/>
  <c r="E105" i="58"/>
  <c r="E104" i="30"/>
  <c r="E105" i="27"/>
  <c r="E104" i="45"/>
  <c r="E29" i="7"/>
  <c r="H29" i="7" s="1"/>
  <c r="E105" i="40"/>
  <c r="P105" i="20"/>
  <c r="P104" i="20"/>
  <c r="P104" i="43"/>
  <c r="P106" i="43"/>
  <c r="E43" i="7"/>
  <c r="I43" i="7" s="1"/>
  <c r="E28" i="7"/>
  <c r="H28" i="7" s="1"/>
  <c r="E22" i="7"/>
  <c r="H22" i="7" s="1"/>
  <c r="T114" i="45"/>
  <c r="U114" i="45" s="1"/>
  <c r="E42" i="7"/>
  <c r="I42" i="7" s="1"/>
  <c r="E105" i="21"/>
  <c r="E41" i="7"/>
  <c r="I41" i="7" s="1"/>
  <c r="E104" i="20"/>
  <c r="T113" i="33"/>
  <c r="E105" i="50"/>
  <c r="E40" i="7"/>
  <c r="I40" i="7" s="1"/>
  <c r="E27" i="7"/>
  <c r="H27" i="7" s="1"/>
  <c r="E21" i="7"/>
  <c r="H21" i="7" s="1"/>
  <c r="T8" i="21"/>
  <c r="P106" i="21" s="1"/>
  <c r="T114" i="31"/>
  <c r="U114" i="31" s="1"/>
  <c r="E19" i="7"/>
  <c r="J19" i="7" s="1"/>
  <c r="T8" i="17"/>
  <c r="P104" i="17" s="1"/>
  <c r="I114" i="35"/>
  <c r="H18" i="7"/>
  <c r="E25" i="7"/>
  <c r="H25" i="7" s="1"/>
  <c r="E14" i="7"/>
  <c r="H14" i="7" s="1"/>
  <c r="E106" i="25"/>
  <c r="D45" i="60"/>
  <c r="E24" i="7"/>
  <c r="H24" i="7" s="1"/>
  <c r="T113" i="16"/>
  <c r="E106" i="20"/>
  <c r="E105" i="25"/>
  <c r="I114" i="71"/>
  <c r="P104" i="70"/>
  <c r="P105" i="70"/>
  <c r="P106" i="70"/>
  <c r="P104" i="26"/>
  <c r="P105" i="26"/>
  <c r="P106" i="26"/>
  <c r="T114" i="18"/>
  <c r="U114" i="18" s="1"/>
  <c r="E106" i="38"/>
  <c r="E104" i="58"/>
  <c r="P105" i="43"/>
  <c r="P106" i="51"/>
  <c r="E106" i="70"/>
  <c r="I114" i="17"/>
  <c r="E105" i="38"/>
  <c r="T8" i="38"/>
  <c r="P105" i="51"/>
  <c r="E105" i="70"/>
  <c r="D30" i="60"/>
  <c r="E31" i="60" s="1"/>
  <c r="E105" i="51"/>
  <c r="I114" i="34"/>
  <c r="T8" i="68"/>
  <c r="P105" i="68" s="1"/>
  <c r="T114" i="26"/>
  <c r="U114" i="26" s="1"/>
  <c r="E104" i="51"/>
  <c r="E104" i="70"/>
  <c r="E106" i="58"/>
  <c r="I113" i="47"/>
  <c r="I113" i="55"/>
  <c r="P105" i="31"/>
  <c r="P106" i="31"/>
  <c r="P104" i="31"/>
  <c r="P106" i="35"/>
  <c r="P104" i="35"/>
  <c r="P105" i="35"/>
  <c r="E105" i="37"/>
  <c r="T8" i="37"/>
  <c r="P106" i="37" s="1"/>
  <c r="E106" i="37"/>
  <c r="T8" i="69"/>
  <c r="E106" i="69"/>
  <c r="E104" i="69"/>
  <c r="E105" i="69"/>
  <c r="T8" i="75"/>
  <c r="E104" i="75"/>
  <c r="E105" i="75"/>
  <c r="E106" i="75"/>
  <c r="E106" i="71"/>
  <c r="E104" i="71"/>
  <c r="E105" i="71"/>
  <c r="T8" i="76"/>
  <c r="P106" i="76" s="1"/>
  <c r="E104" i="76"/>
  <c r="E105" i="76"/>
  <c r="E106" i="76"/>
  <c r="P106" i="58"/>
  <c r="P104" i="58"/>
  <c r="P105" i="58"/>
  <c r="P105" i="18"/>
  <c r="H18" i="26"/>
  <c r="I18" i="26" s="1"/>
  <c r="I114" i="58"/>
  <c r="T8" i="33"/>
  <c r="P106" i="33" s="1"/>
  <c r="E105" i="68"/>
  <c r="I113" i="25"/>
  <c r="P106" i="25"/>
  <c r="T8" i="36"/>
  <c r="I114" i="67"/>
  <c r="P104" i="18"/>
  <c r="E105" i="77"/>
  <c r="I113" i="31"/>
  <c r="T113" i="40"/>
  <c r="T114" i="52"/>
  <c r="U114" i="52" s="1"/>
  <c r="I113" i="17"/>
  <c r="T8" i="22"/>
  <c r="P104" i="22" s="1"/>
  <c r="E104" i="77"/>
  <c r="E106" i="78"/>
  <c r="I113" i="18"/>
  <c r="P105" i="25"/>
  <c r="I113" i="48"/>
  <c r="E105" i="22"/>
  <c r="H20" i="18"/>
  <c r="I20" i="18" s="1"/>
  <c r="E105" i="78"/>
  <c r="I114" i="66"/>
  <c r="T114" i="24"/>
  <c r="U114" i="24" s="1"/>
  <c r="T114" i="27"/>
  <c r="U114" i="27" s="1"/>
  <c r="I114" i="55"/>
  <c r="I114" i="30"/>
  <c r="T114" i="32"/>
  <c r="U114" i="32" s="1"/>
  <c r="T114" i="38"/>
  <c r="U114" i="38" s="1"/>
  <c r="T114" i="48"/>
  <c r="U114" i="48" s="1"/>
  <c r="I114" i="56"/>
  <c r="T114" i="77"/>
  <c r="U114" i="77" s="1"/>
  <c r="T114" i="40"/>
  <c r="U114" i="40" s="1"/>
  <c r="T114" i="78"/>
  <c r="U114" i="78" s="1"/>
  <c r="T114" i="22"/>
  <c r="U114" i="22" s="1"/>
  <c r="T114" i="42"/>
  <c r="U114" i="42" s="1"/>
  <c r="I114" i="75"/>
  <c r="T113" i="27"/>
  <c r="T113" i="30"/>
  <c r="I113" i="50"/>
  <c r="I113" i="57"/>
  <c r="I113" i="67"/>
  <c r="T113" i="32"/>
  <c r="T113" i="42"/>
  <c r="T113" i="51"/>
  <c r="T113" i="52"/>
  <c r="T113" i="69"/>
  <c r="T113" i="71"/>
  <c r="T113" i="56"/>
  <c r="I113" i="77"/>
  <c r="I113" i="23"/>
  <c r="T113" i="39"/>
  <c r="T113" i="75"/>
  <c r="T113" i="76"/>
  <c r="I113" i="66"/>
  <c r="I113" i="78"/>
  <c r="G479" i="64"/>
  <c r="T8" i="16"/>
  <c r="E104" i="16"/>
  <c r="E106" i="16"/>
  <c r="E17" i="22"/>
  <c r="J17" i="22" s="1"/>
  <c r="E27" i="22"/>
  <c r="H27" i="22" s="1"/>
  <c r="I27" i="22" s="1"/>
  <c r="E14" i="22"/>
  <c r="E29" i="22"/>
  <c r="H29" i="22" s="1"/>
  <c r="I29" i="22" s="1"/>
  <c r="J19" i="22"/>
  <c r="E24" i="22"/>
  <c r="H24" i="22" s="1"/>
  <c r="I24" i="22" s="1"/>
  <c r="E21" i="22"/>
  <c r="H21" i="22" s="1"/>
  <c r="I21" i="22" s="1"/>
  <c r="E15" i="22"/>
  <c r="J15" i="22" s="1"/>
  <c r="H22" i="22"/>
  <c r="I22" i="22" s="1"/>
  <c r="E28" i="22"/>
  <c r="H28" i="22" s="1"/>
  <c r="I28" i="22" s="1"/>
  <c r="E25" i="22"/>
  <c r="H25" i="22" s="1"/>
  <c r="I25" i="22" s="1"/>
  <c r="E20" i="22"/>
  <c r="H20" i="22" s="1"/>
  <c r="I20" i="22" s="1"/>
  <c r="E23" i="22"/>
  <c r="H23" i="22" s="1"/>
  <c r="I23" i="22" s="1"/>
  <c r="E26" i="22"/>
  <c r="H26" i="22" s="1"/>
  <c r="I26" i="22" s="1"/>
  <c r="E18" i="22"/>
  <c r="H18" i="22" s="1"/>
  <c r="I18" i="22" s="1"/>
  <c r="E16" i="22"/>
  <c r="H16" i="22" s="1"/>
  <c r="I16" i="22" s="1"/>
  <c r="F478" i="64"/>
  <c r="G478" i="64" s="1"/>
  <c r="F469" i="64"/>
  <c r="G469" i="64" s="1"/>
  <c r="F477" i="64"/>
  <c r="G477" i="64" s="1"/>
  <c r="T123" i="17"/>
  <c r="F468" i="64"/>
  <c r="G468" i="64" s="1"/>
  <c r="H123" i="7"/>
  <c r="T121" i="7"/>
  <c r="F476" i="64"/>
  <c r="G476" i="64" s="1"/>
  <c r="F467" i="64"/>
  <c r="G467" i="64" s="1"/>
  <c r="E105" i="16"/>
  <c r="F475" i="64"/>
  <c r="G475" i="64" s="1"/>
  <c r="I114" i="16"/>
  <c r="T114" i="16"/>
  <c r="U114" i="16" s="1"/>
  <c r="I122" i="17"/>
  <c r="I123" i="17"/>
  <c r="F463" i="64"/>
  <c r="G463" i="64" s="1"/>
  <c r="F464" i="64"/>
  <c r="G464" i="64" s="1"/>
  <c r="F465" i="64"/>
  <c r="G465" i="64" s="1"/>
  <c r="F461" i="64"/>
  <c r="G461" i="64" s="1"/>
  <c r="F473" i="64"/>
  <c r="G473" i="64" s="1"/>
  <c r="G472" i="64"/>
  <c r="F462" i="64"/>
  <c r="G462" i="64" s="1"/>
  <c r="C30" i="60"/>
  <c r="C32" i="60" s="1"/>
  <c r="R94" i="18"/>
  <c r="F471" i="64"/>
  <c r="G471" i="64" s="1"/>
  <c r="C45" i="60"/>
  <c r="E18" i="25"/>
  <c r="H18" i="25" s="1"/>
  <c r="I18" i="25" s="1"/>
  <c r="E23" i="25"/>
  <c r="H23" i="25" s="1"/>
  <c r="I23" i="25" s="1"/>
  <c r="E15" i="25"/>
  <c r="J15" i="25" s="1"/>
  <c r="E17" i="25"/>
  <c r="J17" i="25" s="1"/>
  <c r="E27" i="25"/>
  <c r="H27" i="25" s="1"/>
  <c r="I27" i="25" s="1"/>
  <c r="E20" i="25"/>
  <c r="H20" i="25" s="1"/>
  <c r="I20" i="25" s="1"/>
  <c r="E14" i="25"/>
  <c r="E16" i="25"/>
  <c r="H16" i="25" s="1"/>
  <c r="I16" i="25" s="1"/>
  <c r="E29" i="25"/>
  <c r="H29" i="25" s="1"/>
  <c r="I29" i="25" s="1"/>
  <c r="E25" i="25"/>
  <c r="H25" i="25" s="1"/>
  <c r="I25" i="25" s="1"/>
  <c r="E19" i="25"/>
  <c r="J19" i="25" s="1"/>
  <c r="E21" i="25"/>
  <c r="H21" i="25" s="1"/>
  <c r="I21" i="25" s="1"/>
  <c r="E28" i="25"/>
  <c r="H28" i="25" s="1"/>
  <c r="I28" i="25" s="1"/>
  <c r="E26" i="25"/>
  <c r="H26" i="25" s="1"/>
  <c r="I26" i="25" s="1"/>
  <c r="E24" i="25"/>
  <c r="H24" i="25" s="1"/>
  <c r="I24" i="25" s="1"/>
  <c r="E16" i="7"/>
  <c r="I122" i="21"/>
  <c r="T123" i="28"/>
  <c r="E43" i="16"/>
  <c r="I43" i="16" s="1"/>
  <c r="E40" i="16"/>
  <c r="I40" i="16" s="1"/>
  <c r="P106" i="7"/>
  <c r="E17" i="7"/>
  <c r="J17" i="7" s="1"/>
  <c r="T122" i="16"/>
  <c r="E14" i="16"/>
  <c r="E16" i="16"/>
  <c r="H16" i="16" s="1"/>
  <c r="I16" i="16" s="1"/>
  <c r="E18" i="16"/>
  <c r="H18" i="16" s="1"/>
  <c r="I18" i="16" s="1"/>
  <c r="E25" i="16"/>
  <c r="E40" i="17"/>
  <c r="I40" i="17" s="1"/>
  <c r="R90" i="16"/>
  <c r="R85" i="16"/>
  <c r="E42" i="16"/>
  <c r="I42" i="16" s="1"/>
  <c r="E23" i="16"/>
  <c r="E15" i="16"/>
  <c r="J15" i="16" s="1"/>
  <c r="T122" i="18"/>
  <c r="I114" i="20"/>
  <c r="H123" i="25"/>
  <c r="T121" i="25"/>
  <c r="T123" i="24"/>
  <c r="E38" i="17"/>
  <c r="I38" i="17" s="1"/>
  <c r="E41" i="17"/>
  <c r="I41" i="17" s="1"/>
  <c r="I113" i="20"/>
  <c r="T113" i="20"/>
  <c r="R92" i="21"/>
  <c r="E23" i="17"/>
  <c r="H23" i="17" s="1"/>
  <c r="I23" i="17" s="1"/>
  <c r="E18" i="17"/>
  <c r="H18" i="17" s="1"/>
  <c r="I18" i="17" s="1"/>
  <c r="E21" i="18"/>
  <c r="P106" i="20"/>
  <c r="E24" i="20"/>
  <c r="H24" i="20" s="1"/>
  <c r="I24" i="20" s="1"/>
  <c r="E19" i="20"/>
  <c r="J19" i="20" s="1"/>
  <c r="I113" i="21"/>
  <c r="E27" i="21"/>
  <c r="H27" i="21" s="1"/>
  <c r="I27" i="21" s="1"/>
  <c r="E17" i="21"/>
  <c r="J17" i="21" s="1"/>
  <c r="H123" i="31"/>
  <c r="T121" i="31"/>
  <c r="I113" i="22"/>
  <c r="T113" i="22"/>
  <c r="E25" i="21"/>
  <c r="H25" i="21" s="1"/>
  <c r="I25" i="21" s="1"/>
  <c r="T114" i="25"/>
  <c r="U114" i="25" s="1"/>
  <c r="E26" i="17"/>
  <c r="H26" i="17" s="1"/>
  <c r="I26" i="17" s="1"/>
  <c r="E16" i="17"/>
  <c r="H16" i="17" s="1"/>
  <c r="I16" i="17" s="1"/>
  <c r="T121" i="18"/>
  <c r="E24" i="18"/>
  <c r="H24" i="18" s="1"/>
  <c r="I24" i="18" s="1"/>
  <c r="E19" i="18"/>
  <c r="J19" i="18" s="1"/>
  <c r="I123" i="20"/>
  <c r="E27" i="20"/>
  <c r="H27" i="20" s="1"/>
  <c r="I27" i="20" s="1"/>
  <c r="E17" i="20"/>
  <c r="J17" i="20" s="1"/>
  <c r="E42" i="21"/>
  <c r="I42" i="21" s="1"/>
  <c r="E15" i="21"/>
  <c r="J15" i="21" s="1"/>
  <c r="I113" i="24"/>
  <c r="E19" i="24"/>
  <c r="J19" i="24" s="1"/>
  <c r="E24" i="24"/>
  <c r="H24" i="24" s="1"/>
  <c r="I24" i="24" s="1"/>
  <c r="E16" i="24"/>
  <c r="H16" i="24" s="1"/>
  <c r="I16" i="24" s="1"/>
  <c r="E26" i="24"/>
  <c r="H26" i="24" s="1"/>
  <c r="I26" i="24" s="1"/>
  <c r="E21" i="24"/>
  <c r="H21" i="24" s="1"/>
  <c r="I21" i="24" s="1"/>
  <c r="E28" i="24"/>
  <c r="H28" i="24" s="1"/>
  <c r="I28" i="24" s="1"/>
  <c r="E15" i="24"/>
  <c r="J15" i="24" s="1"/>
  <c r="E17" i="24"/>
  <c r="J17" i="24" s="1"/>
  <c r="E27" i="24"/>
  <c r="H27" i="24" s="1"/>
  <c r="I27" i="24" s="1"/>
  <c r="R96" i="17"/>
  <c r="R88" i="17"/>
  <c r="E24" i="17"/>
  <c r="H24" i="17" s="1"/>
  <c r="I24" i="17" s="1"/>
  <c r="E19" i="17"/>
  <c r="J19" i="17" s="1"/>
  <c r="E25" i="20"/>
  <c r="H25" i="20" s="1"/>
  <c r="I25" i="20" s="1"/>
  <c r="T114" i="21"/>
  <c r="U114" i="21" s="1"/>
  <c r="E28" i="21"/>
  <c r="H28" i="21" s="1"/>
  <c r="I28" i="21" s="1"/>
  <c r="I122" i="25"/>
  <c r="T121" i="24"/>
  <c r="E18" i="24"/>
  <c r="H18" i="24" s="1"/>
  <c r="I18" i="24" s="1"/>
  <c r="I122" i="22"/>
  <c r="I121" i="22"/>
  <c r="T121" i="17"/>
  <c r="E29" i="17"/>
  <c r="E14" i="17"/>
  <c r="E27" i="18"/>
  <c r="H27" i="18" s="1"/>
  <c r="I27" i="18" s="1"/>
  <c r="E17" i="18"/>
  <c r="J17" i="18" s="1"/>
  <c r="E15" i="20"/>
  <c r="J15" i="20" s="1"/>
  <c r="E21" i="21"/>
  <c r="H21" i="21" s="1"/>
  <c r="I21" i="21" s="1"/>
  <c r="E14" i="28"/>
  <c r="E29" i="28"/>
  <c r="H29" i="28" s="1"/>
  <c r="I29" i="28" s="1"/>
  <c r="E19" i="28"/>
  <c r="J19" i="28" s="1"/>
  <c r="E24" i="28"/>
  <c r="H24" i="28" s="1"/>
  <c r="I24" i="28" s="1"/>
  <c r="E16" i="28"/>
  <c r="H16" i="28" s="1"/>
  <c r="I16" i="28" s="1"/>
  <c r="E26" i="28"/>
  <c r="H26" i="28" s="1"/>
  <c r="I26" i="28" s="1"/>
  <c r="E21" i="28"/>
  <c r="H21" i="28" s="1"/>
  <c r="I21" i="28" s="1"/>
  <c r="E28" i="28"/>
  <c r="H28" i="28" s="1"/>
  <c r="I28" i="28" s="1"/>
  <c r="E18" i="28"/>
  <c r="H18" i="28" s="1"/>
  <c r="I18" i="28" s="1"/>
  <c r="E23" i="28"/>
  <c r="H23" i="28" s="1"/>
  <c r="I23" i="28" s="1"/>
  <c r="E15" i="28"/>
  <c r="J15" i="28" s="1"/>
  <c r="E20" i="28"/>
  <c r="H20" i="28" s="1"/>
  <c r="I20" i="28" s="1"/>
  <c r="E17" i="28"/>
  <c r="J17" i="28" s="1"/>
  <c r="E27" i="28"/>
  <c r="H27" i="28" s="1"/>
  <c r="I27" i="28" s="1"/>
  <c r="E17" i="31"/>
  <c r="J17" i="31" s="1"/>
  <c r="E27" i="31"/>
  <c r="H27" i="31" s="1"/>
  <c r="I27" i="31" s="1"/>
  <c r="E22" i="31"/>
  <c r="H22" i="31" s="1"/>
  <c r="I22" i="31" s="1"/>
  <c r="E19" i="31"/>
  <c r="J19" i="31" s="1"/>
  <c r="E24" i="31"/>
  <c r="H24" i="31" s="1"/>
  <c r="I24" i="31" s="1"/>
  <c r="E16" i="31"/>
  <c r="H16" i="31" s="1"/>
  <c r="I16" i="31" s="1"/>
  <c r="E26" i="31"/>
  <c r="H26" i="31" s="1"/>
  <c r="I26" i="31" s="1"/>
  <c r="E15" i="31"/>
  <c r="J15" i="31" s="1"/>
  <c r="E14" i="31"/>
  <c r="E23" i="31"/>
  <c r="H23" i="31" s="1"/>
  <c r="I23" i="31" s="1"/>
  <c r="E20" i="31"/>
  <c r="H20" i="31" s="1"/>
  <c r="I20" i="31" s="1"/>
  <c r="E29" i="31"/>
  <c r="H29" i="31" s="1"/>
  <c r="I29" i="31" s="1"/>
  <c r="E18" i="31"/>
  <c r="H18" i="31" s="1"/>
  <c r="I18" i="31" s="1"/>
  <c r="E21" i="31"/>
  <c r="H21" i="31" s="1"/>
  <c r="I21" i="31" s="1"/>
  <c r="E28" i="31"/>
  <c r="H28" i="31" s="1"/>
  <c r="I28" i="31" s="1"/>
  <c r="E16" i="21"/>
  <c r="H16" i="21" s="1"/>
  <c r="I16" i="21" s="1"/>
  <c r="I123" i="24"/>
  <c r="I122" i="28"/>
  <c r="I123" i="28"/>
  <c r="E25" i="18"/>
  <c r="H25" i="18" s="1"/>
  <c r="I25" i="18" s="1"/>
  <c r="T114" i="20"/>
  <c r="U114" i="20" s="1"/>
  <c r="E28" i="20"/>
  <c r="H28" i="20" s="1"/>
  <c r="I28" i="20" s="1"/>
  <c r="R92" i="17"/>
  <c r="E20" i="17"/>
  <c r="H20" i="17" s="1"/>
  <c r="I20" i="17" s="1"/>
  <c r="J15" i="18"/>
  <c r="E21" i="20"/>
  <c r="H21" i="20" s="1"/>
  <c r="I21" i="20" s="1"/>
  <c r="R96" i="21"/>
  <c r="R88" i="21"/>
  <c r="E24" i="21"/>
  <c r="H24" i="21" s="1"/>
  <c r="I24" i="21" s="1"/>
  <c r="E19" i="21"/>
  <c r="J19" i="21" s="1"/>
  <c r="E14" i="24"/>
  <c r="I123" i="27"/>
  <c r="T121" i="28"/>
  <c r="E23" i="18"/>
  <c r="H23" i="18" s="1"/>
  <c r="I23" i="18" s="1"/>
  <c r="E41" i="20"/>
  <c r="I41" i="20" s="1"/>
  <c r="E26" i="20"/>
  <c r="H26" i="20" s="1"/>
  <c r="I26" i="20" s="1"/>
  <c r="E29" i="21"/>
  <c r="H29" i="21" s="1"/>
  <c r="I29" i="21" s="1"/>
  <c r="H123" i="22"/>
  <c r="E21" i="26"/>
  <c r="H21" i="26" s="1"/>
  <c r="I21" i="26" s="1"/>
  <c r="I113" i="28"/>
  <c r="I114" i="33"/>
  <c r="T113" i="34"/>
  <c r="I113" i="34"/>
  <c r="R94" i="34"/>
  <c r="I113" i="35"/>
  <c r="T113" i="35"/>
  <c r="R92" i="23"/>
  <c r="E24" i="26"/>
  <c r="H24" i="26" s="1"/>
  <c r="I24" i="26" s="1"/>
  <c r="E19" i="26"/>
  <c r="J19" i="26" s="1"/>
  <c r="R92" i="32"/>
  <c r="T121" i="36"/>
  <c r="T113" i="26"/>
  <c r="E29" i="26"/>
  <c r="H29" i="26" s="1"/>
  <c r="I29" i="26" s="1"/>
  <c r="E14" i="26"/>
  <c r="R92" i="27"/>
  <c r="E20" i="27"/>
  <c r="H20" i="27" s="1"/>
  <c r="I20" i="27" s="1"/>
  <c r="E38" i="37"/>
  <c r="I38" i="37" s="1"/>
  <c r="E41" i="37"/>
  <c r="I41" i="37" s="1"/>
  <c r="E39" i="37"/>
  <c r="I39" i="37" s="1"/>
  <c r="E42" i="37"/>
  <c r="I42" i="37" s="1"/>
  <c r="E40" i="37"/>
  <c r="I40" i="37" s="1"/>
  <c r="E43" i="37"/>
  <c r="I43" i="37" s="1"/>
  <c r="E43" i="26"/>
  <c r="I43" i="26" s="1"/>
  <c r="E22" i="26"/>
  <c r="H22" i="26" s="1"/>
  <c r="I22" i="26" s="1"/>
  <c r="E25" i="27"/>
  <c r="H25" i="27" s="1"/>
  <c r="I25" i="27" s="1"/>
  <c r="T114" i="28"/>
  <c r="U114" i="28" s="1"/>
  <c r="E41" i="31"/>
  <c r="I41" i="31" s="1"/>
  <c r="E38" i="31"/>
  <c r="I38" i="31" s="1"/>
  <c r="E105" i="34"/>
  <c r="E104" i="34"/>
  <c r="T8" i="34"/>
  <c r="R96" i="22"/>
  <c r="R88" i="22"/>
  <c r="E27" i="26"/>
  <c r="H27" i="26" s="1"/>
  <c r="I27" i="26" s="1"/>
  <c r="E17" i="26"/>
  <c r="J17" i="26" s="1"/>
  <c r="E15" i="27"/>
  <c r="J15" i="27" s="1"/>
  <c r="R94" i="36"/>
  <c r="E25" i="26"/>
  <c r="H25" i="26" s="1"/>
  <c r="I25" i="26" s="1"/>
  <c r="E21" i="27"/>
  <c r="H21" i="27" s="1"/>
  <c r="I21" i="27" s="1"/>
  <c r="R96" i="28"/>
  <c r="R88" i="28"/>
  <c r="E43" i="31"/>
  <c r="I43" i="31" s="1"/>
  <c r="H123" i="36"/>
  <c r="E23" i="26"/>
  <c r="H23" i="26" s="1"/>
  <c r="I23" i="26" s="1"/>
  <c r="E41" i="27"/>
  <c r="I41" i="27" s="1"/>
  <c r="E26" i="27"/>
  <c r="H26" i="27" s="1"/>
  <c r="I26" i="27" s="1"/>
  <c r="E21" i="32"/>
  <c r="H21" i="32" s="1"/>
  <c r="I21" i="32" s="1"/>
  <c r="E105" i="33"/>
  <c r="E43" i="34"/>
  <c r="I43" i="34" s="1"/>
  <c r="E40" i="34"/>
  <c r="I40" i="34" s="1"/>
  <c r="E22" i="34"/>
  <c r="H22" i="34" s="1"/>
  <c r="I22" i="34" s="1"/>
  <c r="E25" i="35"/>
  <c r="H25" i="35" s="1"/>
  <c r="I25" i="35" s="1"/>
  <c r="T114" i="23"/>
  <c r="U114" i="23" s="1"/>
  <c r="I121" i="36"/>
  <c r="I113" i="38"/>
  <c r="I114" i="36"/>
  <c r="T114" i="36"/>
  <c r="U114" i="36" s="1"/>
  <c r="E15" i="38"/>
  <c r="J15" i="38" s="1"/>
  <c r="E20" i="38"/>
  <c r="H20" i="38" s="1"/>
  <c r="I20" i="38" s="1"/>
  <c r="E17" i="38"/>
  <c r="J17" i="38" s="1"/>
  <c r="E27" i="38"/>
  <c r="H27" i="38" s="1"/>
  <c r="I27" i="38" s="1"/>
  <c r="E22" i="38"/>
  <c r="H22" i="38" s="1"/>
  <c r="I22" i="38" s="1"/>
  <c r="E14" i="38"/>
  <c r="E29" i="38"/>
  <c r="H29" i="38" s="1"/>
  <c r="I29" i="38" s="1"/>
  <c r="E19" i="38"/>
  <c r="J19" i="38" s="1"/>
  <c r="E24" i="38"/>
  <c r="H24" i="38" s="1"/>
  <c r="I24" i="38" s="1"/>
  <c r="E16" i="38"/>
  <c r="H16" i="38" s="1"/>
  <c r="I16" i="38" s="1"/>
  <c r="E26" i="38"/>
  <c r="H26" i="38" s="1"/>
  <c r="I26" i="38" s="1"/>
  <c r="E21" i="38"/>
  <c r="H21" i="38" s="1"/>
  <c r="I21" i="38" s="1"/>
  <c r="E28" i="38"/>
  <c r="H28" i="38" s="1"/>
  <c r="I28" i="38" s="1"/>
  <c r="E25" i="34"/>
  <c r="H25" i="34" s="1"/>
  <c r="I25" i="34" s="1"/>
  <c r="I122" i="23"/>
  <c r="E19" i="36"/>
  <c r="J19" i="36" s="1"/>
  <c r="E14" i="36"/>
  <c r="I114" i="39"/>
  <c r="T114" i="39"/>
  <c r="U114" i="39" s="1"/>
  <c r="E14" i="32"/>
  <c r="E106" i="33"/>
  <c r="R92" i="33"/>
  <c r="E20" i="33"/>
  <c r="H20" i="33" s="1"/>
  <c r="I20" i="33" s="1"/>
  <c r="R90" i="34"/>
  <c r="R85" i="34"/>
  <c r="E42" i="34"/>
  <c r="I42" i="34" s="1"/>
  <c r="E39" i="34"/>
  <c r="I39" i="34" s="1"/>
  <c r="E15" i="34"/>
  <c r="J15" i="34" s="1"/>
  <c r="E21" i="35"/>
  <c r="H21" i="35" s="1"/>
  <c r="I21" i="35" s="1"/>
  <c r="R96" i="23"/>
  <c r="R88" i="23"/>
  <c r="E24" i="23"/>
  <c r="H24" i="23" s="1"/>
  <c r="I24" i="23" s="1"/>
  <c r="E19" i="23"/>
  <c r="J19" i="23" s="1"/>
  <c r="I113" i="37"/>
  <c r="T113" i="37"/>
  <c r="E22" i="32"/>
  <c r="H22" i="32" s="1"/>
  <c r="I22" i="32" s="1"/>
  <c r="E25" i="33"/>
  <c r="H25" i="33" s="1"/>
  <c r="I25" i="33" s="1"/>
  <c r="E23" i="34"/>
  <c r="H23" i="34" s="1"/>
  <c r="I23" i="34" s="1"/>
  <c r="E18" i="34"/>
  <c r="H18" i="34" s="1"/>
  <c r="I18" i="34" s="1"/>
  <c r="E41" i="35"/>
  <c r="I41" i="35" s="1"/>
  <c r="E38" i="35"/>
  <c r="I38" i="35" s="1"/>
  <c r="E26" i="35"/>
  <c r="H26" i="35" s="1"/>
  <c r="I26" i="35" s="1"/>
  <c r="E16" i="35"/>
  <c r="E29" i="23"/>
  <c r="H29" i="23" s="1"/>
  <c r="I29" i="23" s="1"/>
  <c r="E14" i="23"/>
  <c r="I122" i="37"/>
  <c r="E18" i="38"/>
  <c r="H18" i="38" s="1"/>
  <c r="I18" i="38" s="1"/>
  <c r="E17" i="32"/>
  <c r="J17" i="32" s="1"/>
  <c r="E28" i="34"/>
  <c r="H28" i="34" s="1"/>
  <c r="I28" i="34" s="1"/>
  <c r="E43" i="23"/>
  <c r="I43" i="23" s="1"/>
  <c r="E40" i="23"/>
  <c r="I40" i="23" s="1"/>
  <c r="I122" i="36"/>
  <c r="H123" i="38"/>
  <c r="T121" i="38"/>
  <c r="E23" i="38"/>
  <c r="H23" i="38" s="1"/>
  <c r="I23" i="38" s="1"/>
  <c r="R94" i="40"/>
  <c r="E20" i="32"/>
  <c r="H20" i="32" s="1"/>
  <c r="I20" i="32" s="1"/>
  <c r="E21" i="34"/>
  <c r="H21" i="34" s="1"/>
  <c r="I21" i="34" s="1"/>
  <c r="I113" i="36"/>
  <c r="E25" i="32"/>
  <c r="H25" i="32" s="1"/>
  <c r="I25" i="32" s="1"/>
  <c r="T114" i="33"/>
  <c r="U114" i="33" s="1"/>
  <c r="E26" i="34"/>
  <c r="H26" i="34" s="1"/>
  <c r="I26" i="34" s="1"/>
  <c r="E16" i="34"/>
  <c r="H16" i="34" s="1"/>
  <c r="I16" i="34" s="1"/>
  <c r="E16" i="36"/>
  <c r="H16" i="36" s="1"/>
  <c r="I16" i="36" s="1"/>
  <c r="E26" i="36"/>
  <c r="H26" i="36" s="1"/>
  <c r="I26" i="36" s="1"/>
  <c r="E21" i="36"/>
  <c r="H21" i="36" s="1"/>
  <c r="I21" i="36" s="1"/>
  <c r="E28" i="36"/>
  <c r="H28" i="36" s="1"/>
  <c r="I28" i="36" s="1"/>
  <c r="E17" i="36"/>
  <c r="J17" i="36" s="1"/>
  <c r="E27" i="36"/>
  <c r="H27" i="36" s="1"/>
  <c r="I27" i="36" s="1"/>
  <c r="E42" i="32"/>
  <c r="I42" i="32" s="1"/>
  <c r="R96" i="34"/>
  <c r="E43" i="35"/>
  <c r="I43" i="35" s="1"/>
  <c r="E22" i="35"/>
  <c r="H22" i="35" s="1"/>
  <c r="I22" i="35" s="1"/>
  <c r="E25" i="23"/>
  <c r="H25" i="23" s="1"/>
  <c r="I25" i="23" s="1"/>
  <c r="E25" i="36"/>
  <c r="H25" i="36" s="1"/>
  <c r="I25" i="36" s="1"/>
  <c r="E18" i="36"/>
  <c r="H18" i="36" s="1"/>
  <c r="I18" i="36" s="1"/>
  <c r="E17" i="37"/>
  <c r="J17" i="37" s="1"/>
  <c r="E27" i="37"/>
  <c r="H27" i="37" s="1"/>
  <c r="I27" i="37" s="1"/>
  <c r="E14" i="37"/>
  <c r="E29" i="37"/>
  <c r="H29" i="37" s="1"/>
  <c r="I29" i="37" s="1"/>
  <c r="E19" i="37"/>
  <c r="J19" i="37" s="1"/>
  <c r="E24" i="37"/>
  <c r="H24" i="37" s="1"/>
  <c r="I24" i="37" s="1"/>
  <c r="E16" i="37"/>
  <c r="H16" i="37" s="1"/>
  <c r="I16" i="37" s="1"/>
  <c r="E26" i="37"/>
  <c r="H26" i="37" s="1"/>
  <c r="I26" i="37" s="1"/>
  <c r="E21" i="37"/>
  <c r="H21" i="37" s="1"/>
  <c r="I21" i="37" s="1"/>
  <c r="E28" i="37"/>
  <c r="H28" i="37" s="1"/>
  <c r="I28" i="37" s="1"/>
  <c r="E18" i="37"/>
  <c r="H18" i="37" s="1"/>
  <c r="I18" i="37" s="1"/>
  <c r="E23" i="37"/>
  <c r="H23" i="37" s="1"/>
  <c r="I23" i="37" s="1"/>
  <c r="E15" i="37"/>
  <c r="J15" i="37" s="1"/>
  <c r="E24" i="34"/>
  <c r="H24" i="34" s="1"/>
  <c r="I24" i="34" s="1"/>
  <c r="E27" i="35"/>
  <c r="H27" i="35" s="1"/>
  <c r="I27" i="35" s="1"/>
  <c r="E42" i="23"/>
  <c r="I42" i="23" s="1"/>
  <c r="E20" i="36"/>
  <c r="H20" i="36" s="1"/>
  <c r="I20" i="36" s="1"/>
  <c r="E25" i="37"/>
  <c r="H25" i="37" s="1"/>
  <c r="I25" i="37" s="1"/>
  <c r="R88" i="44"/>
  <c r="E105" i="39"/>
  <c r="I123" i="40"/>
  <c r="R94" i="42"/>
  <c r="I114" i="44"/>
  <c r="I122" i="48"/>
  <c r="I113" i="43"/>
  <c r="T113" i="43"/>
  <c r="E104" i="37"/>
  <c r="H123" i="39"/>
  <c r="E43" i="39"/>
  <c r="I43" i="39" s="1"/>
  <c r="E40" i="39"/>
  <c r="I40" i="39" s="1"/>
  <c r="E22" i="39"/>
  <c r="H22" i="39" s="1"/>
  <c r="I22" i="39" s="1"/>
  <c r="T8" i="39"/>
  <c r="T122" i="40"/>
  <c r="E21" i="40"/>
  <c r="H21" i="40" s="1"/>
  <c r="I21" i="40" s="1"/>
  <c r="E20" i="40"/>
  <c r="H20" i="40" s="1"/>
  <c r="I20" i="40" s="1"/>
  <c r="E17" i="40"/>
  <c r="J17" i="40" s="1"/>
  <c r="E22" i="40"/>
  <c r="H22" i="40" s="1"/>
  <c r="I22" i="40" s="1"/>
  <c r="I121" i="40"/>
  <c r="E105" i="42"/>
  <c r="T8" i="42"/>
  <c r="R96" i="48"/>
  <c r="R94" i="37"/>
  <c r="T113" i="38"/>
  <c r="E106" i="39"/>
  <c r="E20" i="39"/>
  <c r="H20" i="39" s="1"/>
  <c r="I20" i="39" s="1"/>
  <c r="E19" i="40"/>
  <c r="J19" i="40" s="1"/>
  <c r="T122" i="44"/>
  <c r="E104" i="44"/>
  <c r="T8" i="44"/>
  <c r="E106" i="44"/>
  <c r="E105" i="44"/>
  <c r="H123" i="45"/>
  <c r="T121" i="45"/>
  <c r="E43" i="38"/>
  <c r="I43" i="38" s="1"/>
  <c r="T122" i="39"/>
  <c r="E25" i="39"/>
  <c r="H25" i="39" s="1"/>
  <c r="I25" i="39" s="1"/>
  <c r="E28" i="40"/>
  <c r="H28" i="40" s="1"/>
  <c r="I28" i="40" s="1"/>
  <c r="E16" i="40"/>
  <c r="H16" i="40" s="1"/>
  <c r="I16" i="40" s="1"/>
  <c r="E38" i="44"/>
  <c r="I38" i="44" s="1"/>
  <c r="E41" i="44"/>
  <c r="I41" i="44" s="1"/>
  <c r="E40" i="44"/>
  <c r="I40" i="44" s="1"/>
  <c r="E42" i="44"/>
  <c r="I42" i="44" s="1"/>
  <c r="E39" i="44"/>
  <c r="I39" i="44" s="1"/>
  <c r="R96" i="37"/>
  <c r="R88" i="37"/>
  <c r="R90" i="39"/>
  <c r="R85" i="39"/>
  <c r="E42" i="39"/>
  <c r="I42" i="39" s="1"/>
  <c r="E15" i="39"/>
  <c r="J15" i="39" s="1"/>
  <c r="E24" i="40"/>
  <c r="H24" i="40" s="1"/>
  <c r="I24" i="40" s="1"/>
  <c r="E104" i="42"/>
  <c r="E17" i="45"/>
  <c r="J17" i="45" s="1"/>
  <c r="E27" i="45"/>
  <c r="H27" i="45" s="1"/>
  <c r="I27" i="45" s="1"/>
  <c r="E22" i="45"/>
  <c r="H22" i="45" s="1"/>
  <c r="I22" i="45" s="1"/>
  <c r="E14" i="45"/>
  <c r="E29" i="45"/>
  <c r="H29" i="45" s="1"/>
  <c r="I29" i="45" s="1"/>
  <c r="E19" i="45"/>
  <c r="J19" i="45" s="1"/>
  <c r="E24" i="45"/>
  <c r="H24" i="45" s="1"/>
  <c r="I24" i="45" s="1"/>
  <c r="E16" i="45"/>
  <c r="H16" i="45" s="1"/>
  <c r="I16" i="45" s="1"/>
  <c r="E26" i="45"/>
  <c r="H26" i="45" s="1"/>
  <c r="I26" i="45" s="1"/>
  <c r="E21" i="45"/>
  <c r="H21" i="45" s="1"/>
  <c r="I21" i="45" s="1"/>
  <c r="E28" i="45"/>
  <c r="H28" i="45" s="1"/>
  <c r="I28" i="45" s="1"/>
  <c r="E15" i="45"/>
  <c r="J15" i="45" s="1"/>
  <c r="E18" i="45"/>
  <c r="H18" i="45" s="1"/>
  <c r="I18" i="45" s="1"/>
  <c r="E23" i="45"/>
  <c r="H23" i="45" s="1"/>
  <c r="I23" i="45" s="1"/>
  <c r="E20" i="45"/>
  <c r="H20" i="45" s="1"/>
  <c r="I20" i="45" s="1"/>
  <c r="T8" i="47"/>
  <c r="E106" i="47"/>
  <c r="E105" i="47"/>
  <c r="E104" i="47"/>
  <c r="E23" i="39"/>
  <c r="H23" i="39" s="1"/>
  <c r="I23" i="39" s="1"/>
  <c r="E18" i="39"/>
  <c r="H18" i="39" s="1"/>
  <c r="I18" i="39" s="1"/>
  <c r="E41" i="40"/>
  <c r="I41" i="40" s="1"/>
  <c r="E26" i="40"/>
  <c r="H26" i="40" s="1"/>
  <c r="I26" i="40" s="1"/>
  <c r="I122" i="40"/>
  <c r="E18" i="40"/>
  <c r="H18" i="40" s="1"/>
  <c r="I18" i="40" s="1"/>
  <c r="T123" i="43"/>
  <c r="E43" i="44"/>
  <c r="I43" i="44" s="1"/>
  <c r="E43" i="42"/>
  <c r="I43" i="42" s="1"/>
  <c r="E40" i="42"/>
  <c r="I40" i="42" s="1"/>
  <c r="E25" i="43"/>
  <c r="H25" i="43" s="1"/>
  <c r="I25" i="43" s="1"/>
  <c r="E25" i="42"/>
  <c r="H25" i="42" s="1"/>
  <c r="I25" i="42" s="1"/>
  <c r="T114" i="43"/>
  <c r="U114" i="43" s="1"/>
  <c r="E28" i="43"/>
  <c r="H28" i="43" s="1"/>
  <c r="I28" i="43" s="1"/>
  <c r="T123" i="44"/>
  <c r="I122" i="44"/>
  <c r="R92" i="45"/>
  <c r="R90" i="42"/>
  <c r="R85" i="42"/>
  <c r="E42" i="42"/>
  <c r="I42" i="42" s="1"/>
  <c r="E15" i="42"/>
  <c r="J15" i="42" s="1"/>
  <c r="E21" i="43"/>
  <c r="H21" i="43" s="1"/>
  <c r="I21" i="43" s="1"/>
  <c r="T114" i="47"/>
  <c r="U114" i="47" s="1"/>
  <c r="R92" i="47"/>
  <c r="E105" i="48"/>
  <c r="E104" i="48"/>
  <c r="E106" i="48"/>
  <c r="T8" i="48"/>
  <c r="E26" i="43"/>
  <c r="H26" i="43" s="1"/>
  <c r="I26" i="43" s="1"/>
  <c r="E16" i="43"/>
  <c r="H16" i="43" s="1"/>
  <c r="I16" i="43" s="1"/>
  <c r="T113" i="44"/>
  <c r="P106" i="45"/>
  <c r="P105" i="45"/>
  <c r="T122" i="75"/>
  <c r="E22" i="43"/>
  <c r="H22" i="43" s="1"/>
  <c r="I22" i="43" s="1"/>
  <c r="I113" i="45"/>
  <c r="T113" i="45"/>
  <c r="E24" i="42"/>
  <c r="H24" i="42" s="1"/>
  <c r="I24" i="42" s="1"/>
  <c r="E27" i="43"/>
  <c r="H27" i="43" s="1"/>
  <c r="I27" i="43" s="1"/>
  <c r="R85" i="75"/>
  <c r="R88" i="48"/>
  <c r="E25" i="44"/>
  <c r="H25" i="44" s="1"/>
  <c r="I25" i="44" s="1"/>
  <c r="E38" i="48"/>
  <c r="I38" i="48" s="1"/>
  <c r="E41" i="48"/>
  <c r="I41" i="48" s="1"/>
  <c r="E39" i="48"/>
  <c r="I39" i="48" s="1"/>
  <c r="E42" i="48"/>
  <c r="I42" i="48" s="1"/>
  <c r="E20" i="50"/>
  <c r="H20" i="50" s="1"/>
  <c r="I20" i="50" s="1"/>
  <c r="E17" i="50"/>
  <c r="J17" i="50" s="1"/>
  <c r="E27" i="50"/>
  <c r="H27" i="50" s="1"/>
  <c r="I27" i="50" s="1"/>
  <c r="E22" i="50"/>
  <c r="H22" i="50" s="1"/>
  <c r="I22" i="50" s="1"/>
  <c r="E14" i="50"/>
  <c r="E29" i="50"/>
  <c r="H29" i="50" s="1"/>
  <c r="I29" i="50" s="1"/>
  <c r="E19" i="50"/>
  <c r="J19" i="50" s="1"/>
  <c r="E24" i="50"/>
  <c r="H24" i="50" s="1"/>
  <c r="I24" i="50" s="1"/>
  <c r="E16" i="50"/>
  <c r="H16" i="50" s="1"/>
  <c r="I16" i="50" s="1"/>
  <c r="E26" i="50"/>
  <c r="H26" i="50" s="1"/>
  <c r="I26" i="50" s="1"/>
  <c r="E21" i="50"/>
  <c r="H21" i="50" s="1"/>
  <c r="I21" i="50" s="1"/>
  <c r="E28" i="50"/>
  <c r="H28" i="50" s="1"/>
  <c r="I28" i="50" s="1"/>
  <c r="E18" i="50"/>
  <c r="H18" i="50" s="1"/>
  <c r="I18" i="50" s="1"/>
  <c r="E23" i="50"/>
  <c r="H23" i="50" s="1"/>
  <c r="I23" i="50" s="1"/>
  <c r="E23" i="44"/>
  <c r="H23" i="44" s="1"/>
  <c r="I23" i="44" s="1"/>
  <c r="E18" i="44"/>
  <c r="H18" i="44" s="1"/>
  <c r="I18" i="44" s="1"/>
  <c r="R94" i="45"/>
  <c r="E41" i="45"/>
  <c r="I41" i="45" s="1"/>
  <c r="E38" i="45"/>
  <c r="I38" i="45" s="1"/>
  <c r="E43" i="48"/>
  <c r="I43" i="48" s="1"/>
  <c r="E28" i="44"/>
  <c r="H28" i="44" s="1"/>
  <c r="I28" i="44" s="1"/>
  <c r="E16" i="47"/>
  <c r="H16" i="47" s="1"/>
  <c r="I16" i="47" s="1"/>
  <c r="E26" i="47"/>
  <c r="H26" i="47" s="1"/>
  <c r="I26" i="47" s="1"/>
  <c r="E21" i="47"/>
  <c r="H21" i="47" s="1"/>
  <c r="I21" i="47" s="1"/>
  <c r="E28" i="47"/>
  <c r="H28" i="47" s="1"/>
  <c r="I28" i="47" s="1"/>
  <c r="E18" i="47"/>
  <c r="H18" i="47" s="1"/>
  <c r="I18" i="47" s="1"/>
  <c r="E23" i="47"/>
  <c r="H23" i="47" s="1"/>
  <c r="I23" i="47" s="1"/>
  <c r="E14" i="47"/>
  <c r="R92" i="48"/>
  <c r="E26" i="44"/>
  <c r="H26" i="44" s="1"/>
  <c r="I26" i="44" s="1"/>
  <c r="E16" i="44"/>
  <c r="H123" i="50"/>
  <c r="T121" i="50"/>
  <c r="E43" i="45"/>
  <c r="I43" i="45" s="1"/>
  <c r="T122" i="48"/>
  <c r="E40" i="48"/>
  <c r="I40" i="48" s="1"/>
  <c r="I122" i="51"/>
  <c r="E24" i="44"/>
  <c r="H24" i="44" s="1"/>
  <c r="I24" i="44" s="1"/>
  <c r="E20" i="48"/>
  <c r="H20" i="48" s="1"/>
  <c r="I20" i="48" s="1"/>
  <c r="R94" i="51"/>
  <c r="I123" i="76"/>
  <c r="I122" i="76"/>
  <c r="E25" i="48"/>
  <c r="H25" i="48" s="1"/>
  <c r="I25" i="48" s="1"/>
  <c r="T114" i="50"/>
  <c r="U114" i="50" s="1"/>
  <c r="E39" i="75"/>
  <c r="I39" i="75" s="1"/>
  <c r="E42" i="75"/>
  <c r="I42" i="75" s="1"/>
  <c r="E40" i="75"/>
  <c r="I40" i="75" s="1"/>
  <c r="E43" i="75"/>
  <c r="I43" i="75" s="1"/>
  <c r="E15" i="48"/>
  <c r="J15" i="48" s="1"/>
  <c r="R96" i="51"/>
  <c r="P104" i="52"/>
  <c r="P106" i="52"/>
  <c r="P105" i="52"/>
  <c r="E41" i="75"/>
  <c r="I41" i="75" s="1"/>
  <c r="R90" i="58"/>
  <c r="R92" i="52"/>
  <c r="E26" i="48"/>
  <c r="H26" i="48" s="1"/>
  <c r="I26" i="48" s="1"/>
  <c r="E16" i="48"/>
  <c r="H16" i="48" s="1"/>
  <c r="I16" i="48" s="1"/>
  <c r="E106" i="51"/>
  <c r="E23" i="51"/>
  <c r="H23" i="51" s="1"/>
  <c r="I23" i="51" s="1"/>
  <c r="R90" i="75"/>
  <c r="E38" i="75"/>
  <c r="I38" i="75" s="1"/>
  <c r="E43" i="50"/>
  <c r="I43" i="50" s="1"/>
  <c r="E24" i="48"/>
  <c r="H24" i="48" s="1"/>
  <c r="I24" i="48" s="1"/>
  <c r="E19" i="48"/>
  <c r="J19" i="48" s="1"/>
  <c r="I114" i="76"/>
  <c r="T114" i="76"/>
  <c r="U114" i="76" s="1"/>
  <c r="E41" i="47"/>
  <c r="I41" i="47" s="1"/>
  <c r="E29" i="48"/>
  <c r="H29" i="48" s="1"/>
  <c r="I29" i="48" s="1"/>
  <c r="E22" i="51"/>
  <c r="H22" i="51" s="1"/>
  <c r="I22" i="51" s="1"/>
  <c r="E14" i="51"/>
  <c r="E29" i="51"/>
  <c r="H29" i="51" s="1"/>
  <c r="I29" i="51" s="1"/>
  <c r="E21" i="51"/>
  <c r="H21" i="51" s="1"/>
  <c r="I21" i="51" s="1"/>
  <c r="E28" i="51"/>
  <c r="H28" i="51" s="1"/>
  <c r="I28" i="51" s="1"/>
  <c r="E15" i="51"/>
  <c r="J15" i="51" s="1"/>
  <c r="R94" i="55"/>
  <c r="E38" i="56"/>
  <c r="I38" i="56" s="1"/>
  <c r="E41" i="56"/>
  <c r="I41" i="56" s="1"/>
  <c r="E39" i="56"/>
  <c r="I39" i="56" s="1"/>
  <c r="E40" i="56"/>
  <c r="I40" i="56" s="1"/>
  <c r="E42" i="56"/>
  <c r="I42" i="56" s="1"/>
  <c r="E43" i="56"/>
  <c r="I43" i="56" s="1"/>
  <c r="T123" i="76"/>
  <c r="P105" i="56"/>
  <c r="P104" i="56"/>
  <c r="R94" i="52"/>
  <c r="E41" i="52"/>
  <c r="I41" i="52" s="1"/>
  <c r="E38" i="52"/>
  <c r="I38" i="52" s="1"/>
  <c r="E29" i="75"/>
  <c r="H29" i="75" s="1"/>
  <c r="I29" i="75" s="1"/>
  <c r="E105" i="55"/>
  <c r="E104" i="55"/>
  <c r="E106" i="55"/>
  <c r="T8" i="55"/>
  <c r="E17" i="75"/>
  <c r="J17" i="75" s="1"/>
  <c r="P106" i="56"/>
  <c r="E43" i="52"/>
  <c r="I43" i="52" s="1"/>
  <c r="E22" i="52"/>
  <c r="H22" i="52" s="1"/>
  <c r="I22" i="52" s="1"/>
  <c r="E15" i="75"/>
  <c r="J15" i="75" s="1"/>
  <c r="E20" i="75"/>
  <c r="H20" i="75" s="1"/>
  <c r="I20" i="75" s="1"/>
  <c r="E14" i="75"/>
  <c r="E25" i="75"/>
  <c r="H25" i="75" s="1"/>
  <c r="I25" i="75" s="1"/>
  <c r="E21" i="75"/>
  <c r="H21" i="75" s="1"/>
  <c r="I21" i="75" s="1"/>
  <c r="E16" i="75"/>
  <c r="H16" i="75" s="1"/>
  <c r="I16" i="75" s="1"/>
  <c r="E23" i="75"/>
  <c r="H23" i="75" s="1"/>
  <c r="I23" i="75" s="1"/>
  <c r="E43" i="51"/>
  <c r="I43" i="51" s="1"/>
  <c r="H123" i="55"/>
  <c r="E43" i="55"/>
  <c r="I43" i="55" s="1"/>
  <c r="E40" i="55"/>
  <c r="I40" i="55" s="1"/>
  <c r="E22" i="55"/>
  <c r="H22" i="55" s="1"/>
  <c r="I22" i="55" s="1"/>
  <c r="E20" i="55"/>
  <c r="H20" i="55" s="1"/>
  <c r="I20" i="55" s="1"/>
  <c r="I122" i="56"/>
  <c r="I122" i="57"/>
  <c r="E15" i="57"/>
  <c r="J15" i="57" s="1"/>
  <c r="E25" i="55"/>
  <c r="H25" i="55" s="1"/>
  <c r="I25" i="55" s="1"/>
  <c r="T122" i="56"/>
  <c r="R92" i="56"/>
  <c r="E104" i="56"/>
  <c r="E106" i="56"/>
  <c r="H123" i="66"/>
  <c r="T121" i="66"/>
  <c r="R90" i="55"/>
  <c r="R85" i="55"/>
  <c r="E42" i="55"/>
  <c r="I42" i="55" s="1"/>
  <c r="E39" i="55"/>
  <c r="I39" i="55" s="1"/>
  <c r="E15" i="55"/>
  <c r="J15" i="55" s="1"/>
  <c r="R92" i="76"/>
  <c r="E20" i="76"/>
  <c r="H20" i="76" s="1"/>
  <c r="I20" i="76" s="1"/>
  <c r="E23" i="55"/>
  <c r="H23" i="55" s="1"/>
  <c r="I23" i="55" s="1"/>
  <c r="E18" i="55"/>
  <c r="H18" i="55" s="1"/>
  <c r="I18" i="55" s="1"/>
  <c r="E27" i="57"/>
  <c r="H27" i="57" s="1"/>
  <c r="I27" i="57" s="1"/>
  <c r="E106" i="57"/>
  <c r="T8" i="57"/>
  <c r="E104" i="57"/>
  <c r="E25" i="76"/>
  <c r="H25" i="76" s="1"/>
  <c r="I25" i="76" s="1"/>
  <c r="E28" i="55"/>
  <c r="H28" i="55" s="1"/>
  <c r="I28" i="55" s="1"/>
  <c r="E105" i="56"/>
  <c r="E20" i="57"/>
  <c r="H20" i="57" s="1"/>
  <c r="I20" i="57" s="1"/>
  <c r="E22" i="57"/>
  <c r="H22" i="57" s="1"/>
  <c r="I22" i="57" s="1"/>
  <c r="E14" i="57"/>
  <c r="E29" i="57"/>
  <c r="H29" i="57" s="1"/>
  <c r="I29" i="57" s="1"/>
  <c r="E21" i="57"/>
  <c r="H21" i="57" s="1"/>
  <c r="I21" i="57" s="1"/>
  <c r="E28" i="57"/>
  <c r="H28" i="57" s="1"/>
  <c r="I28" i="57" s="1"/>
  <c r="E18" i="57"/>
  <c r="H18" i="57" s="1"/>
  <c r="I18" i="57" s="1"/>
  <c r="E23" i="57"/>
  <c r="H23" i="57" s="1"/>
  <c r="I23" i="57" s="1"/>
  <c r="E17" i="57"/>
  <c r="J17" i="57" s="1"/>
  <c r="E21" i="55"/>
  <c r="H21" i="55" s="1"/>
  <c r="I21" i="55" s="1"/>
  <c r="E41" i="55"/>
  <c r="I41" i="55" s="1"/>
  <c r="E26" i="55"/>
  <c r="H26" i="55" s="1"/>
  <c r="I26" i="55" s="1"/>
  <c r="E16" i="55"/>
  <c r="H16" i="55" s="1"/>
  <c r="I16" i="55" s="1"/>
  <c r="I121" i="57"/>
  <c r="H123" i="57"/>
  <c r="T121" i="57"/>
  <c r="I122" i="55"/>
  <c r="E26" i="57"/>
  <c r="H26" i="57" s="1"/>
  <c r="I26" i="57" s="1"/>
  <c r="E24" i="55"/>
  <c r="H24" i="55" s="1"/>
  <c r="I24" i="55" s="1"/>
  <c r="I114" i="57"/>
  <c r="T114" i="57"/>
  <c r="U114" i="57" s="1"/>
  <c r="E16" i="57"/>
  <c r="H16" i="57" s="1"/>
  <c r="I16" i="57" s="1"/>
  <c r="E20" i="56"/>
  <c r="H20" i="56" s="1"/>
  <c r="I20" i="56" s="1"/>
  <c r="E15" i="66"/>
  <c r="J15" i="66" s="1"/>
  <c r="E20" i="66"/>
  <c r="H20" i="66" s="1"/>
  <c r="I20" i="66" s="1"/>
  <c r="E17" i="66"/>
  <c r="J17" i="66" s="1"/>
  <c r="E27" i="66"/>
  <c r="H27" i="66" s="1"/>
  <c r="I27" i="66" s="1"/>
  <c r="E22" i="66"/>
  <c r="H22" i="66" s="1"/>
  <c r="I22" i="66" s="1"/>
  <c r="E14" i="66"/>
  <c r="E29" i="66"/>
  <c r="H29" i="66" s="1"/>
  <c r="I29" i="66" s="1"/>
  <c r="E16" i="66"/>
  <c r="H16" i="66" s="1"/>
  <c r="I16" i="66" s="1"/>
  <c r="E26" i="66"/>
  <c r="H26" i="66" s="1"/>
  <c r="I26" i="66" s="1"/>
  <c r="E21" i="66"/>
  <c r="H21" i="66" s="1"/>
  <c r="I21" i="66" s="1"/>
  <c r="E19" i="66"/>
  <c r="J19" i="66" s="1"/>
  <c r="E25" i="56"/>
  <c r="H25" i="56" s="1"/>
  <c r="I25" i="56" s="1"/>
  <c r="H123" i="58"/>
  <c r="R85" i="58"/>
  <c r="E38" i="58"/>
  <c r="I38" i="58" s="1"/>
  <c r="E39" i="58"/>
  <c r="I39" i="58" s="1"/>
  <c r="E42" i="58"/>
  <c r="I42" i="58" s="1"/>
  <c r="E28" i="56"/>
  <c r="H28" i="56" s="1"/>
  <c r="I28" i="56" s="1"/>
  <c r="E25" i="66"/>
  <c r="H25" i="66" s="1"/>
  <c r="I25" i="66" s="1"/>
  <c r="E26" i="56"/>
  <c r="H26" i="56" s="1"/>
  <c r="I26" i="56" s="1"/>
  <c r="E16" i="56"/>
  <c r="H16" i="56" s="1"/>
  <c r="I16" i="56" s="1"/>
  <c r="T113" i="58"/>
  <c r="E17" i="58"/>
  <c r="J17" i="58" s="1"/>
  <c r="E27" i="58"/>
  <c r="H27" i="58" s="1"/>
  <c r="I27" i="58" s="1"/>
  <c r="E14" i="58"/>
  <c r="E29" i="58"/>
  <c r="H29" i="58" s="1"/>
  <c r="I29" i="58" s="1"/>
  <c r="E19" i="58"/>
  <c r="J19" i="58" s="1"/>
  <c r="E24" i="58"/>
  <c r="H24" i="58" s="1"/>
  <c r="I24" i="58" s="1"/>
  <c r="E16" i="58"/>
  <c r="H16" i="58" s="1"/>
  <c r="I16" i="58" s="1"/>
  <c r="E26" i="58"/>
  <c r="H26" i="58" s="1"/>
  <c r="I26" i="58" s="1"/>
  <c r="E18" i="58"/>
  <c r="H18" i="58" s="1"/>
  <c r="I18" i="58" s="1"/>
  <c r="E23" i="58"/>
  <c r="H23" i="58" s="1"/>
  <c r="I23" i="58" s="1"/>
  <c r="E15" i="58"/>
  <c r="J15" i="58" s="1"/>
  <c r="E20" i="58"/>
  <c r="H20" i="58" s="1"/>
  <c r="I20" i="58" s="1"/>
  <c r="E40" i="67"/>
  <c r="I40" i="67" s="1"/>
  <c r="E43" i="67"/>
  <c r="I43" i="67" s="1"/>
  <c r="E41" i="67"/>
  <c r="I41" i="67" s="1"/>
  <c r="E38" i="67"/>
  <c r="I38" i="67" s="1"/>
  <c r="E43" i="57"/>
  <c r="I43" i="57" s="1"/>
  <c r="E28" i="66"/>
  <c r="H28" i="66" s="1"/>
  <c r="I28" i="66" s="1"/>
  <c r="E29" i="56"/>
  <c r="H29" i="56" s="1"/>
  <c r="I29" i="56" s="1"/>
  <c r="E42" i="67"/>
  <c r="I42" i="67" s="1"/>
  <c r="E23" i="67"/>
  <c r="H23" i="67" s="1"/>
  <c r="I23" i="67" s="1"/>
  <c r="E21" i="67"/>
  <c r="H21" i="67" s="1"/>
  <c r="I21" i="67" s="1"/>
  <c r="E41" i="66"/>
  <c r="I41" i="66" s="1"/>
  <c r="E38" i="66"/>
  <c r="I38" i="66" s="1"/>
  <c r="I121" i="67"/>
  <c r="E29" i="67"/>
  <c r="H29" i="67" s="1"/>
  <c r="I29" i="67" s="1"/>
  <c r="E27" i="67"/>
  <c r="H27" i="67" s="1"/>
  <c r="I27" i="67" s="1"/>
  <c r="E25" i="67"/>
  <c r="H25" i="67" s="1"/>
  <c r="I25" i="67" s="1"/>
  <c r="T8" i="67"/>
  <c r="E105" i="67"/>
  <c r="E20" i="67"/>
  <c r="H20" i="67" s="1"/>
  <c r="I20" i="67" s="1"/>
  <c r="E18" i="67"/>
  <c r="H18" i="67" s="1"/>
  <c r="I18" i="67" s="1"/>
  <c r="E22" i="67"/>
  <c r="H22" i="67" s="1"/>
  <c r="I22" i="67" s="1"/>
  <c r="E14" i="67"/>
  <c r="E19" i="67"/>
  <c r="J19" i="67" s="1"/>
  <c r="E24" i="67"/>
  <c r="H24" i="67" s="1"/>
  <c r="I24" i="67" s="1"/>
  <c r="E28" i="67"/>
  <c r="H28" i="67" s="1"/>
  <c r="I28" i="67" s="1"/>
  <c r="R92" i="69"/>
  <c r="E42" i="66"/>
  <c r="I42" i="66" s="1"/>
  <c r="E106" i="67"/>
  <c r="E17" i="67"/>
  <c r="J17" i="67" s="1"/>
  <c r="E40" i="70"/>
  <c r="I40" i="70" s="1"/>
  <c r="E43" i="70"/>
  <c r="I43" i="70" s="1"/>
  <c r="E41" i="70"/>
  <c r="I41" i="70" s="1"/>
  <c r="E42" i="70"/>
  <c r="I42" i="70" s="1"/>
  <c r="E38" i="70"/>
  <c r="I38" i="70" s="1"/>
  <c r="E39" i="70"/>
  <c r="I39" i="70" s="1"/>
  <c r="I122" i="68"/>
  <c r="H123" i="77"/>
  <c r="T121" i="77"/>
  <c r="I113" i="70"/>
  <c r="I114" i="68"/>
  <c r="T114" i="68"/>
  <c r="U114" i="68" s="1"/>
  <c r="R92" i="71"/>
  <c r="I113" i="68"/>
  <c r="T113" i="68"/>
  <c r="E43" i="69"/>
  <c r="I43" i="69" s="1"/>
  <c r="T114" i="70"/>
  <c r="U114" i="70" s="1"/>
  <c r="T122" i="78"/>
  <c r="E27" i="69"/>
  <c r="H27" i="69" s="1"/>
  <c r="I27" i="69" s="1"/>
  <c r="E17" i="69"/>
  <c r="J17" i="69" s="1"/>
  <c r="E17" i="70"/>
  <c r="J17" i="70" s="1"/>
  <c r="E27" i="70"/>
  <c r="H27" i="70" s="1"/>
  <c r="I27" i="70" s="1"/>
  <c r="E22" i="70"/>
  <c r="H22" i="70" s="1"/>
  <c r="I22" i="70" s="1"/>
  <c r="E14" i="70"/>
  <c r="E29" i="70"/>
  <c r="H29" i="70" s="1"/>
  <c r="I29" i="70" s="1"/>
  <c r="E18" i="70"/>
  <c r="H18" i="70" s="1"/>
  <c r="I18" i="70" s="1"/>
  <c r="E23" i="70"/>
  <c r="H23" i="70" s="1"/>
  <c r="I23" i="70" s="1"/>
  <c r="E39" i="71"/>
  <c r="I39" i="71" s="1"/>
  <c r="E42" i="71"/>
  <c r="I42" i="71" s="1"/>
  <c r="E40" i="71"/>
  <c r="I40" i="71" s="1"/>
  <c r="E43" i="71"/>
  <c r="I43" i="71" s="1"/>
  <c r="E38" i="71"/>
  <c r="I38" i="71" s="1"/>
  <c r="E41" i="71"/>
  <c r="I41" i="71" s="1"/>
  <c r="E26" i="71"/>
  <c r="H26" i="71" s="1"/>
  <c r="I26" i="71" s="1"/>
  <c r="E16" i="71"/>
  <c r="H16" i="71" s="1"/>
  <c r="I16" i="71" s="1"/>
  <c r="E29" i="68"/>
  <c r="H29" i="68" s="1"/>
  <c r="I29" i="68" s="1"/>
  <c r="E27" i="68"/>
  <c r="H27" i="68" s="1"/>
  <c r="I27" i="68" s="1"/>
  <c r="R85" i="78"/>
  <c r="P104" i="77"/>
  <c r="P106" i="77"/>
  <c r="P105" i="77"/>
  <c r="T8" i="71"/>
  <c r="E14" i="68"/>
  <c r="E16" i="68"/>
  <c r="H16" i="68" s="1"/>
  <c r="I16" i="68" s="1"/>
  <c r="E28" i="68"/>
  <c r="H28" i="68" s="1"/>
  <c r="I28" i="68" s="1"/>
  <c r="E15" i="68"/>
  <c r="J15" i="68" s="1"/>
  <c r="E20" i="68"/>
  <c r="H20" i="68" s="1"/>
  <c r="I20" i="68" s="1"/>
  <c r="E22" i="68"/>
  <c r="H22" i="68" s="1"/>
  <c r="I22" i="68" s="1"/>
  <c r="E20" i="71"/>
  <c r="H20" i="71" s="1"/>
  <c r="I20" i="71" s="1"/>
  <c r="E26" i="68"/>
  <c r="H26" i="68" s="1"/>
  <c r="I26" i="68" s="1"/>
  <c r="E20" i="77"/>
  <c r="H20" i="77" s="1"/>
  <c r="I20" i="77" s="1"/>
  <c r="E17" i="77"/>
  <c r="J17" i="77" s="1"/>
  <c r="E27" i="77"/>
  <c r="H27" i="77" s="1"/>
  <c r="I27" i="77" s="1"/>
  <c r="E22" i="77"/>
  <c r="H22" i="77" s="1"/>
  <c r="I22" i="77" s="1"/>
  <c r="E14" i="77"/>
  <c r="E29" i="77"/>
  <c r="H29" i="77" s="1"/>
  <c r="I29" i="77" s="1"/>
  <c r="E19" i="77"/>
  <c r="J19" i="77" s="1"/>
  <c r="E24" i="77"/>
  <c r="H24" i="77" s="1"/>
  <c r="I24" i="77" s="1"/>
  <c r="E16" i="77"/>
  <c r="H16" i="77" s="1"/>
  <c r="I16" i="77" s="1"/>
  <c r="E26" i="77"/>
  <c r="H26" i="77" s="1"/>
  <c r="I26" i="77" s="1"/>
  <c r="E21" i="77"/>
  <c r="H21" i="77" s="1"/>
  <c r="I21" i="77" s="1"/>
  <c r="E28" i="77"/>
  <c r="H28" i="77" s="1"/>
  <c r="I28" i="77" s="1"/>
  <c r="E18" i="77"/>
  <c r="H18" i="77" s="1"/>
  <c r="I18" i="77" s="1"/>
  <c r="E23" i="77"/>
  <c r="H23" i="77" s="1"/>
  <c r="I23" i="77" s="1"/>
  <c r="E25" i="71"/>
  <c r="H25" i="71" s="1"/>
  <c r="I25" i="71" s="1"/>
  <c r="P104" i="78"/>
  <c r="P106" i="78"/>
  <c r="R90" i="78"/>
  <c r="E19" i="62"/>
  <c r="E20" i="62" s="1"/>
  <c r="E26" i="62" s="1"/>
  <c r="E28" i="62" s="1"/>
  <c r="E39" i="78"/>
  <c r="I39" i="78" s="1"/>
  <c r="E42" i="78"/>
  <c r="I42" i="78" s="1"/>
  <c r="E40" i="78"/>
  <c r="I40" i="78" s="1"/>
  <c r="E43" i="78"/>
  <c r="I43" i="78" s="1"/>
  <c r="E38" i="78"/>
  <c r="I38" i="78" s="1"/>
  <c r="E41" i="78"/>
  <c r="I41" i="78" s="1"/>
  <c r="E26" i="78"/>
  <c r="H26" i="78" s="1"/>
  <c r="I26" i="78" s="1"/>
  <c r="E16" i="78"/>
  <c r="H16" i="78" s="1"/>
  <c r="I16" i="78" s="1"/>
  <c r="T121" i="30"/>
  <c r="E29" i="30"/>
  <c r="H29" i="30" s="1"/>
  <c r="I29" i="30" s="1"/>
  <c r="E14" i="30"/>
  <c r="E43" i="30"/>
  <c r="I43" i="30" s="1"/>
  <c r="E40" i="30"/>
  <c r="I40" i="30" s="1"/>
  <c r="R96" i="78"/>
  <c r="R88" i="78"/>
  <c r="I123" i="30"/>
  <c r="E27" i="30"/>
  <c r="H27" i="30" s="1"/>
  <c r="I27" i="30" s="1"/>
  <c r="E17" i="30"/>
  <c r="J17" i="30" s="1"/>
  <c r="R94" i="77"/>
  <c r="E41" i="77"/>
  <c r="I41" i="77" s="1"/>
  <c r="E38" i="77"/>
  <c r="I38" i="77" s="1"/>
  <c r="T121" i="78"/>
  <c r="E29" i="78"/>
  <c r="H29" i="78" s="1"/>
  <c r="I29" i="78" s="1"/>
  <c r="E14" i="78"/>
  <c r="E20" i="30"/>
  <c r="H20" i="30" s="1"/>
  <c r="I20" i="30" s="1"/>
  <c r="H123" i="78"/>
  <c r="E22" i="78"/>
  <c r="H22" i="78" s="1"/>
  <c r="I22" i="78" s="1"/>
  <c r="T122" i="30"/>
  <c r="E25" i="30"/>
  <c r="H25" i="30" s="1"/>
  <c r="I25" i="30" s="1"/>
  <c r="R96" i="77"/>
  <c r="R88" i="77"/>
  <c r="E17" i="78"/>
  <c r="J17" i="78" s="1"/>
  <c r="R90" i="30"/>
  <c r="R85" i="30"/>
  <c r="E42" i="30"/>
  <c r="I42" i="30" s="1"/>
  <c r="E39" i="30"/>
  <c r="I39" i="30" s="1"/>
  <c r="E15" i="30"/>
  <c r="J15" i="30" s="1"/>
  <c r="R92" i="78"/>
  <c r="E20" i="78"/>
  <c r="H20" i="78" s="1"/>
  <c r="I20" i="78" s="1"/>
  <c r="E23" i="30"/>
  <c r="H23" i="30" s="1"/>
  <c r="I23" i="30" s="1"/>
  <c r="E18" i="30"/>
  <c r="H18" i="30" s="1"/>
  <c r="I18" i="30" s="1"/>
  <c r="E43" i="77"/>
  <c r="I43" i="77" s="1"/>
  <c r="E25" i="78"/>
  <c r="H25" i="78" s="1"/>
  <c r="I25" i="78" s="1"/>
  <c r="E28" i="30"/>
  <c r="H28" i="30" s="1"/>
  <c r="I28" i="30" s="1"/>
  <c r="E41" i="30"/>
  <c r="I41" i="30" s="1"/>
  <c r="E26" i="30"/>
  <c r="H26" i="30" s="1"/>
  <c r="I26" i="30" s="1"/>
  <c r="G474" i="64" l="1"/>
  <c r="F482" i="64"/>
  <c r="I112" i="60"/>
  <c r="I111" i="60"/>
  <c r="H19" i="35"/>
  <c r="I19" i="35" s="1"/>
  <c r="G470" i="64"/>
  <c r="I123" i="69"/>
  <c r="H19" i="75"/>
  <c r="I19" i="75" s="1"/>
  <c r="J19" i="75"/>
  <c r="H19" i="76"/>
  <c r="I19" i="76" s="1"/>
  <c r="J19" i="76"/>
  <c r="H17" i="56"/>
  <c r="I17" i="56" s="1"/>
  <c r="J17" i="56"/>
  <c r="H19" i="55"/>
  <c r="I19" i="55" s="1"/>
  <c r="J19" i="55"/>
  <c r="H19" i="33"/>
  <c r="I19" i="33" s="1"/>
  <c r="J19" i="33"/>
  <c r="H17" i="23"/>
  <c r="I17" i="23" s="1"/>
  <c r="J17" i="23"/>
  <c r="H19" i="7"/>
  <c r="I19" i="7" s="1"/>
  <c r="H17" i="55"/>
  <c r="I17" i="55" s="1"/>
  <c r="J17" i="55"/>
  <c r="H17" i="42"/>
  <c r="I17" i="42" s="1"/>
  <c r="J17" i="42"/>
  <c r="H15" i="47"/>
  <c r="I15" i="47" s="1"/>
  <c r="J15" i="47"/>
  <c r="H19" i="42"/>
  <c r="I19" i="42" s="1"/>
  <c r="J19" i="42"/>
  <c r="H19" i="71"/>
  <c r="I19" i="71" s="1"/>
  <c r="J19" i="71"/>
  <c r="H19" i="57"/>
  <c r="I19" i="57" s="1"/>
  <c r="J19" i="57"/>
  <c r="H17" i="47"/>
  <c r="I17" i="47" s="1"/>
  <c r="J17" i="47"/>
  <c r="H19" i="44"/>
  <c r="I19" i="44" s="1"/>
  <c r="J19" i="44"/>
  <c r="H19" i="69"/>
  <c r="I19" i="69" s="1"/>
  <c r="J19" i="69"/>
  <c r="H19" i="56"/>
  <c r="I19" i="56" s="1"/>
  <c r="J19" i="56"/>
  <c r="H15" i="52"/>
  <c r="I15" i="52" s="1"/>
  <c r="J15" i="52"/>
  <c r="H17" i="48"/>
  <c r="I17" i="48" s="1"/>
  <c r="J17" i="48"/>
  <c r="H15" i="69"/>
  <c r="I15" i="69" s="1"/>
  <c r="J15" i="69"/>
  <c r="H19" i="39"/>
  <c r="I19" i="39" s="1"/>
  <c r="J19" i="39"/>
  <c r="H17" i="35"/>
  <c r="I17" i="35" s="1"/>
  <c r="J17" i="35"/>
  <c r="H19" i="16"/>
  <c r="I19" i="16" s="1"/>
  <c r="J19" i="16"/>
  <c r="H15" i="26"/>
  <c r="I15" i="26" s="1"/>
  <c r="J15" i="26"/>
  <c r="H17" i="39"/>
  <c r="I17" i="39" s="1"/>
  <c r="J17" i="39"/>
  <c r="H19" i="47"/>
  <c r="I19" i="47" s="1"/>
  <c r="J19" i="47"/>
  <c r="H19" i="68"/>
  <c r="I19" i="68" s="1"/>
  <c r="J19" i="68"/>
  <c r="H19" i="51"/>
  <c r="I19" i="51" s="1"/>
  <c r="J19" i="51"/>
  <c r="H19" i="43"/>
  <c r="I19" i="43" s="1"/>
  <c r="J19" i="43"/>
  <c r="H15" i="7"/>
  <c r="I15" i="7" s="1"/>
  <c r="J15" i="7"/>
  <c r="H17" i="51"/>
  <c r="I17" i="51" s="1"/>
  <c r="J17" i="51"/>
  <c r="H17" i="33"/>
  <c r="I17" i="33" s="1"/>
  <c r="J17" i="33"/>
  <c r="H15" i="40"/>
  <c r="I15" i="40" s="1"/>
  <c r="J15" i="40"/>
  <c r="H17" i="16"/>
  <c r="I17" i="16" s="1"/>
  <c r="J17" i="16"/>
  <c r="H17" i="52"/>
  <c r="I17" i="52" s="1"/>
  <c r="J17" i="52"/>
  <c r="H17" i="43"/>
  <c r="I17" i="43" s="1"/>
  <c r="J17" i="43"/>
  <c r="H19" i="27"/>
  <c r="I19" i="27" s="1"/>
  <c r="J19" i="27"/>
  <c r="H17" i="34"/>
  <c r="I17" i="34" s="1"/>
  <c r="J17" i="34"/>
  <c r="H17" i="17"/>
  <c r="I17" i="17" s="1"/>
  <c r="J17" i="17"/>
  <c r="H17" i="44"/>
  <c r="I17" i="44" s="1"/>
  <c r="J17" i="44"/>
  <c r="H19" i="30"/>
  <c r="I19" i="30" s="1"/>
  <c r="J19" i="30"/>
  <c r="H19" i="34"/>
  <c r="I19" i="34" s="1"/>
  <c r="J19" i="34"/>
  <c r="H15" i="33"/>
  <c r="I15" i="33" s="1"/>
  <c r="J15" i="33"/>
  <c r="H17" i="27"/>
  <c r="I17" i="27" s="1"/>
  <c r="J17" i="27"/>
  <c r="T123" i="68"/>
  <c r="E44" i="68"/>
  <c r="I123" i="56"/>
  <c r="I124" i="56" s="1"/>
  <c r="I123" i="23"/>
  <c r="I124" i="23" s="1"/>
  <c r="I123" i="21"/>
  <c r="I124" i="21" s="1"/>
  <c r="I21" i="7"/>
  <c r="I22" i="7"/>
  <c r="I14" i="7"/>
  <c r="I27" i="7"/>
  <c r="I28" i="7"/>
  <c r="I25" i="7"/>
  <c r="I20" i="7"/>
  <c r="I18" i="7"/>
  <c r="H18" i="60"/>
  <c r="I23" i="7"/>
  <c r="I24" i="7"/>
  <c r="I24" i="60" s="1"/>
  <c r="H24" i="60"/>
  <c r="I29" i="7"/>
  <c r="I26" i="7"/>
  <c r="I26" i="60" s="1"/>
  <c r="H26" i="60"/>
  <c r="H31" i="60"/>
  <c r="I123" i="48"/>
  <c r="I124" i="48" s="1"/>
  <c r="I123" i="52"/>
  <c r="I124" i="52" s="1"/>
  <c r="T123" i="35"/>
  <c r="T123" i="47"/>
  <c r="E44" i="33"/>
  <c r="H15" i="78"/>
  <c r="I15" i="78" s="1"/>
  <c r="H15" i="67"/>
  <c r="I15" i="67" s="1"/>
  <c r="H15" i="77"/>
  <c r="I15" i="77" s="1"/>
  <c r="H15" i="56"/>
  <c r="I15" i="56" s="1"/>
  <c r="H15" i="17"/>
  <c r="I15" i="17" s="1"/>
  <c r="H15" i="70"/>
  <c r="I15" i="70" s="1"/>
  <c r="H15" i="43"/>
  <c r="I15" i="43" s="1"/>
  <c r="H15" i="71"/>
  <c r="I15" i="71" s="1"/>
  <c r="H15" i="36"/>
  <c r="I15" i="36" s="1"/>
  <c r="H15" i="50"/>
  <c r="I15" i="50" s="1"/>
  <c r="H15" i="76"/>
  <c r="I15" i="76" s="1"/>
  <c r="H15" i="35"/>
  <c r="I15" i="35" s="1"/>
  <c r="H15" i="32"/>
  <c r="I15" i="32" s="1"/>
  <c r="H15" i="23"/>
  <c r="I15" i="23" s="1"/>
  <c r="H15" i="44"/>
  <c r="I15" i="44" s="1"/>
  <c r="P104" i="76"/>
  <c r="I123" i="75"/>
  <c r="I124" i="75" s="1"/>
  <c r="P106" i="68"/>
  <c r="I123" i="18"/>
  <c r="I124" i="18" s="1"/>
  <c r="E44" i="22"/>
  <c r="P104" i="21"/>
  <c r="I123" i="37"/>
  <c r="I124" i="37" s="1"/>
  <c r="I123" i="34"/>
  <c r="I124" i="34" s="1"/>
  <c r="E44" i="24"/>
  <c r="I123" i="51"/>
  <c r="I124" i="51" s="1"/>
  <c r="I44" i="22"/>
  <c r="E44" i="25"/>
  <c r="P105" i="23"/>
  <c r="I124" i="42"/>
  <c r="H19" i="70"/>
  <c r="I19" i="70" s="1"/>
  <c r="E44" i="38"/>
  <c r="P105" i="76"/>
  <c r="E44" i="32"/>
  <c r="E44" i="18"/>
  <c r="E44" i="43"/>
  <c r="E44" i="76"/>
  <c r="I44" i="69"/>
  <c r="P106" i="30"/>
  <c r="P105" i="30"/>
  <c r="P104" i="33"/>
  <c r="I44" i="68"/>
  <c r="P104" i="68"/>
  <c r="P104" i="40"/>
  <c r="P105" i="40"/>
  <c r="I124" i="71"/>
  <c r="I123" i="70"/>
  <c r="I124" i="70" s="1"/>
  <c r="H19" i="52"/>
  <c r="I19" i="52" s="1"/>
  <c r="E30" i="52"/>
  <c r="I124" i="44"/>
  <c r="I124" i="35"/>
  <c r="I124" i="32"/>
  <c r="I44" i="28"/>
  <c r="E44" i="28"/>
  <c r="P106" i="27"/>
  <c r="P104" i="27"/>
  <c r="E44" i="36"/>
  <c r="I124" i="30"/>
  <c r="P104" i="24"/>
  <c r="P106" i="24"/>
  <c r="P105" i="24"/>
  <c r="I124" i="27"/>
  <c r="I123" i="26"/>
  <c r="I124" i="26" s="1"/>
  <c r="T123" i="26"/>
  <c r="P104" i="50"/>
  <c r="P105" i="50"/>
  <c r="H17" i="68"/>
  <c r="I17" i="68" s="1"/>
  <c r="E15" i="60"/>
  <c r="I44" i="38"/>
  <c r="E44" i="39"/>
  <c r="I44" i="25"/>
  <c r="E30" i="34"/>
  <c r="H17" i="71"/>
  <c r="I17" i="71" s="1"/>
  <c r="E44" i="69"/>
  <c r="P105" i="28"/>
  <c r="P104" i="28"/>
  <c r="E44" i="21"/>
  <c r="I44" i="21"/>
  <c r="H19" i="32"/>
  <c r="I19" i="32" s="1"/>
  <c r="H14" i="52"/>
  <c r="E14" i="60"/>
  <c r="H17" i="76"/>
  <c r="I17" i="76" s="1"/>
  <c r="E44" i="50"/>
  <c r="I124" i="43"/>
  <c r="T123" i="16"/>
  <c r="I124" i="69"/>
  <c r="I124" i="67"/>
  <c r="I124" i="47"/>
  <c r="I44" i="32"/>
  <c r="I44" i="18"/>
  <c r="H19" i="78"/>
  <c r="I19" i="78" s="1"/>
  <c r="I124" i="24"/>
  <c r="I123" i="33"/>
  <c r="I124" i="33" s="1"/>
  <c r="I124" i="28"/>
  <c r="P105" i="33"/>
  <c r="P106" i="50"/>
  <c r="P104" i="23"/>
  <c r="P105" i="17"/>
  <c r="P106" i="17"/>
  <c r="P104" i="66"/>
  <c r="P105" i="66"/>
  <c r="P105" i="37"/>
  <c r="P104" i="37"/>
  <c r="I44" i="50"/>
  <c r="D32" i="60"/>
  <c r="E120" i="60" s="1"/>
  <c r="I120" i="60" s="1"/>
  <c r="I122" i="60" s="1"/>
  <c r="E44" i="7"/>
  <c r="P105" i="21"/>
  <c r="I44" i="76"/>
  <c r="I44" i="36"/>
  <c r="P106" i="38"/>
  <c r="P104" i="38"/>
  <c r="P105" i="38"/>
  <c r="I44" i="33"/>
  <c r="I44" i="34"/>
  <c r="I44" i="20"/>
  <c r="P105" i="69"/>
  <c r="P106" i="69"/>
  <c r="P104" i="69"/>
  <c r="P105" i="36"/>
  <c r="P104" i="36"/>
  <c r="P106" i="36"/>
  <c r="P104" i="75"/>
  <c r="P105" i="75"/>
  <c r="P106" i="75"/>
  <c r="I44" i="47"/>
  <c r="I44" i="23"/>
  <c r="I44" i="39"/>
  <c r="P106" i="22"/>
  <c r="P105" i="22"/>
  <c r="I44" i="43"/>
  <c r="I44" i="27"/>
  <c r="E30" i="36"/>
  <c r="H14" i="36"/>
  <c r="I14" i="36" s="1"/>
  <c r="E41" i="60"/>
  <c r="P104" i="71"/>
  <c r="P105" i="71"/>
  <c r="P106" i="71"/>
  <c r="H17" i="57"/>
  <c r="I17" i="57" s="1"/>
  <c r="E30" i="75"/>
  <c r="H14" i="75"/>
  <c r="I14" i="75" s="1"/>
  <c r="E30" i="55"/>
  <c r="E44" i="75"/>
  <c r="I44" i="75"/>
  <c r="H14" i="47"/>
  <c r="I14" i="47" s="1"/>
  <c r="E30" i="47"/>
  <c r="E30" i="42"/>
  <c r="H15" i="42"/>
  <c r="I15" i="42" s="1"/>
  <c r="H15" i="45"/>
  <c r="I15" i="45" s="1"/>
  <c r="P104" i="44"/>
  <c r="P106" i="44"/>
  <c r="P105" i="44"/>
  <c r="H19" i="36"/>
  <c r="I19" i="36" s="1"/>
  <c r="H14" i="31"/>
  <c r="I14" i="31" s="1"/>
  <c r="E30" i="31"/>
  <c r="H21" i="18"/>
  <c r="I21" i="18" s="1"/>
  <c r="E21" i="60"/>
  <c r="E27" i="60"/>
  <c r="H28" i="60"/>
  <c r="E28" i="60"/>
  <c r="E18" i="60"/>
  <c r="I44" i="16"/>
  <c r="H15" i="22"/>
  <c r="I15" i="22" s="1"/>
  <c r="I43" i="60"/>
  <c r="E43" i="60"/>
  <c r="H17" i="18"/>
  <c r="I17" i="18" s="1"/>
  <c r="H23" i="16"/>
  <c r="H23" i="60" s="1"/>
  <c r="E23" i="60"/>
  <c r="E42" i="60"/>
  <c r="E44" i="16"/>
  <c r="I123" i="78"/>
  <c r="I124" i="78" s="1"/>
  <c r="T123" i="78"/>
  <c r="P106" i="67"/>
  <c r="P104" i="67"/>
  <c r="P105" i="67"/>
  <c r="H17" i="58"/>
  <c r="I17" i="58" s="1"/>
  <c r="H19" i="66"/>
  <c r="I19" i="66" s="1"/>
  <c r="C105" i="55"/>
  <c r="H105" i="55" s="1"/>
  <c r="E30" i="56"/>
  <c r="H15" i="48"/>
  <c r="I15" i="48" s="1"/>
  <c r="E30" i="50"/>
  <c r="H14" i="50"/>
  <c r="I14" i="50" s="1"/>
  <c r="P106" i="42"/>
  <c r="P104" i="42"/>
  <c r="P105" i="42"/>
  <c r="E44" i="27"/>
  <c r="H15" i="31"/>
  <c r="I15" i="31" s="1"/>
  <c r="H17" i="28"/>
  <c r="I17" i="28" s="1"/>
  <c r="H14" i="28"/>
  <c r="I14" i="28" s="1"/>
  <c r="E30" i="28"/>
  <c r="E30" i="17"/>
  <c r="H14" i="17"/>
  <c r="I14" i="17" s="1"/>
  <c r="E44" i="20"/>
  <c r="H20" i="60"/>
  <c r="E20" i="60"/>
  <c r="E30" i="16"/>
  <c r="H14" i="16"/>
  <c r="I14" i="16" s="1"/>
  <c r="E30" i="25"/>
  <c r="H14" i="25"/>
  <c r="I14" i="25" s="1"/>
  <c r="E40" i="60"/>
  <c r="E30" i="77"/>
  <c r="H14" i="77"/>
  <c r="I14" i="77" s="1"/>
  <c r="H17" i="45"/>
  <c r="I17" i="45" s="1"/>
  <c r="I123" i="38"/>
  <c r="I124" i="38" s="1"/>
  <c r="T123" i="38"/>
  <c r="H17" i="30"/>
  <c r="I17" i="30" s="1"/>
  <c r="H17" i="77"/>
  <c r="I17" i="77" s="1"/>
  <c r="E30" i="70"/>
  <c r="H14" i="70"/>
  <c r="I14" i="70" s="1"/>
  <c r="I123" i="77"/>
  <c r="I124" i="77" s="1"/>
  <c r="T123" i="77"/>
  <c r="H15" i="75"/>
  <c r="I15" i="75" s="1"/>
  <c r="P106" i="55"/>
  <c r="P105" i="55"/>
  <c r="P104" i="55"/>
  <c r="H14" i="51"/>
  <c r="I14" i="51" s="1"/>
  <c r="E30" i="51"/>
  <c r="C106" i="47"/>
  <c r="H106" i="47" s="1"/>
  <c r="H19" i="38"/>
  <c r="I19" i="38" s="1"/>
  <c r="I44" i="37"/>
  <c r="E44" i="37"/>
  <c r="H19" i="26"/>
  <c r="I19" i="26" s="1"/>
  <c r="I123" i="22"/>
  <c r="I124" i="22" s="1"/>
  <c r="T123" i="22"/>
  <c r="H29" i="17"/>
  <c r="H29" i="60" s="1"/>
  <c r="E29" i="60"/>
  <c r="H17" i="24"/>
  <c r="I17" i="24" s="1"/>
  <c r="H15" i="21"/>
  <c r="I15" i="21" s="1"/>
  <c r="I123" i="25"/>
  <c r="I124" i="25" s="1"/>
  <c r="T123" i="25"/>
  <c r="E16" i="60"/>
  <c r="H16" i="7"/>
  <c r="H19" i="28"/>
  <c r="I19" i="28" s="1"/>
  <c r="E44" i="71"/>
  <c r="I44" i="71"/>
  <c r="H15" i="58"/>
  <c r="I15" i="58" s="1"/>
  <c r="C105" i="56"/>
  <c r="H105" i="56" s="1"/>
  <c r="I124" i="76"/>
  <c r="I123" i="50"/>
  <c r="I124" i="50" s="1"/>
  <c r="T123" i="50"/>
  <c r="P105" i="39"/>
  <c r="P104" i="39"/>
  <c r="P106" i="39"/>
  <c r="E44" i="34"/>
  <c r="H15" i="18"/>
  <c r="I15" i="18" s="1"/>
  <c r="H15" i="28"/>
  <c r="I15" i="28" s="1"/>
  <c r="H15" i="24"/>
  <c r="I15" i="24" s="1"/>
  <c r="I44" i="7"/>
  <c r="G460" i="64"/>
  <c r="E24" i="60"/>
  <c r="H19" i="22"/>
  <c r="I19" i="22" s="1"/>
  <c r="H14" i="68"/>
  <c r="I14" i="68" s="1"/>
  <c r="E30" i="68"/>
  <c r="E44" i="56"/>
  <c r="I44" i="56"/>
  <c r="H17" i="50"/>
  <c r="I17" i="50" s="1"/>
  <c r="E30" i="32"/>
  <c r="H14" i="32"/>
  <c r="I14" i="32" s="1"/>
  <c r="E30" i="38"/>
  <c r="H14" i="38"/>
  <c r="I14" i="38" s="1"/>
  <c r="I44" i="17"/>
  <c r="E44" i="17"/>
  <c r="E22" i="60"/>
  <c r="H17" i="78"/>
  <c r="I17" i="78" s="1"/>
  <c r="H17" i="70"/>
  <c r="I17" i="70" s="1"/>
  <c r="I44" i="45"/>
  <c r="E44" i="45"/>
  <c r="H15" i="39"/>
  <c r="I15" i="39" s="1"/>
  <c r="H17" i="36"/>
  <c r="I17" i="36" s="1"/>
  <c r="I44" i="26"/>
  <c r="E44" i="26"/>
  <c r="I44" i="24"/>
  <c r="H19" i="31"/>
  <c r="I19" i="31" s="1"/>
  <c r="H17" i="21"/>
  <c r="I17" i="21" s="1"/>
  <c r="H15" i="25"/>
  <c r="I15" i="25" s="1"/>
  <c r="E30" i="7"/>
  <c r="H14" i="22"/>
  <c r="I14" i="22" s="1"/>
  <c r="E30" i="22"/>
  <c r="P105" i="16"/>
  <c r="P104" i="16"/>
  <c r="P106" i="16"/>
  <c r="E30" i="78"/>
  <c r="H14" i="78"/>
  <c r="I14" i="78" s="1"/>
  <c r="E29" i="62"/>
  <c r="E30" i="62" s="1"/>
  <c r="I31" i="60"/>
  <c r="H17" i="69"/>
  <c r="I17" i="69" s="1"/>
  <c r="I124" i="68"/>
  <c r="E44" i="67"/>
  <c r="I44" i="67"/>
  <c r="E30" i="66"/>
  <c r="H14" i="66"/>
  <c r="I14" i="66" s="1"/>
  <c r="E30" i="57"/>
  <c r="H14" i="57"/>
  <c r="I14" i="57" s="1"/>
  <c r="P104" i="57"/>
  <c r="P105" i="57"/>
  <c r="P106" i="57"/>
  <c r="E44" i="57"/>
  <c r="C105" i="47"/>
  <c r="H105" i="47" s="1"/>
  <c r="P104" i="47"/>
  <c r="P106" i="47"/>
  <c r="P105" i="47"/>
  <c r="H19" i="45"/>
  <c r="I19" i="45" s="1"/>
  <c r="I44" i="42"/>
  <c r="E30" i="40"/>
  <c r="H19" i="37"/>
  <c r="I19" i="37" s="1"/>
  <c r="E44" i="23"/>
  <c r="H15" i="27"/>
  <c r="I15" i="27" s="1"/>
  <c r="P106" i="34"/>
  <c r="P105" i="34"/>
  <c r="P104" i="34"/>
  <c r="H19" i="17"/>
  <c r="I19" i="17" s="1"/>
  <c r="E19" i="60"/>
  <c r="I123" i="31"/>
  <c r="I124" i="31" s="1"/>
  <c r="T123" i="31"/>
  <c r="I122" i="7"/>
  <c r="H14" i="58"/>
  <c r="I14" i="58" s="1"/>
  <c r="E30" i="58"/>
  <c r="H17" i="40"/>
  <c r="I17" i="40" s="1"/>
  <c r="E44" i="30"/>
  <c r="H17" i="67"/>
  <c r="I17" i="67" s="1"/>
  <c r="I44" i="57"/>
  <c r="E44" i="55"/>
  <c r="E44" i="51"/>
  <c r="H16" i="44"/>
  <c r="I16" i="44" s="1"/>
  <c r="E30" i="44"/>
  <c r="E44" i="47"/>
  <c r="E30" i="43"/>
  <c r="I124" i="40"/>
  <c r="E44" i="42"/>
  <c r="H19" i="23"/>
  <c r="I19" i="23" s="1"/>
  <c r="H17" i="38"/>
  <c r="I17" i="38" s="1"/>
  <c r="H17" i="26"/>
  <c r="I17" i="26" s="1"/>
  <c r="E30" i="26"/>
  <c r="H14" i="26"/>
  <c r="I14" i="26" s="1"/>
  <c r="E30" i="27"/>
  <c r="H19" i="18"/>
  <c r="I19" i="18" s="1"/>
  <c r="H17" i="7"/>
  <c r="E17" i="60"/>
  <c r="E30" i="18"/>
  <c r="H17" i="22"/>
  <c r="I17" i="22" s="1"/>
  <c r="E44" i="44"/>
  <c r="I44" i="44"/>
  <c r="E30" i="23"/>
  <c r="H14" i="23"/>
  <c r="I14" i="23" s="1"/>
  <c r="H17" i="25"/>
  <c r="I17" i="25" s="1"/>
  <c r="I44" i="30"/>
  <c r="E30" i="71"/>
  <c r="I123" i="57"/>
  <c r="I124" i="57" s="1"/>
  <c r="T123" i="57"/>
  <c r="H15" i="55"/>
  <c r="I15" i="55" s="1"/>
  <c r="I44" i="55"/>
  <c r="E30" i="76"/>
  <c r="I44" i="51"/>
  <c r="H14" i="45"/>
  <c r="I14" i="45" s="1"/>
  <c r="E30" i="45"/>
  <c r="I123" i="39"/>
  <c r="I124" i="39" s="1"/>
  <c r="T123" i="39"/>
  <c r="H14" i="37"/>
  <c r="I14" i="37" s="1"/>
  <c r="E30" i="37"/>
  <c r="H17" i="32"/>
  <c r="I17" i="32" s="1"/>
  <c r="H16" i="35"/>
  <c r="I16" i="35" s="1"/>
  <c r="E30" i="35"/>
  <c r="I44" i="31"/>
  <c r="E44" i="31"/>
  <c r="H14" i="24"/>
  <c r="I14" i="24" s="1"/>
  <c r="E30" i="24"/>
  <c r="H17" i="31"/>
  <c r="I17" i="31" s="1"/>
  <c r="E30" i="20"/>
  <c r="H15" i="20"/>
  <c r="I15" i="20" s="1"/>
  <c r="H19" i="20"/>
  <c r="I19" i="20" s="1"/>
  <c r="E26" i="60"/>
  <c r="I123" i="7"/>
  <c r="T123" i="7"/>
  <c r="E30" i="21"/>
  <c r="H14" i="67"/>
  <c r="I14" i="67" s="1"/>
  <c r="E30" i="67"/>
  <c r="H15" i="57"/>
  <c r="I15" i="57" s="1"/>
  <c r="I44" i="58"/>
  <c r="E44" i="58"/>
  <c r="H15" i="34"/>
  <c r="I15" i="34" s="1"/>
  <c r="H17" i="20"/>
  <c r="I17" i="20" s="1"/>
  <c r="E39" i="60"/>
  <c r="H15" i="68"/>
  <c r="I15" i="68" s="1"/>
  <c r="I44" i="77"/>
  <c r="E44" i="77"/>
  <c r="H19" i="77"/>
  <c r="I19" i="77" s="1"/>
  <c r="E44" i="70"/>
  <c r="I44" i="70"/>
  <c r="H19" i="58"/>
  <c r="I19" i="58" s="1"/>
  <c r="E30" i="69"/>
  <c r="H17" i="66"/>
  <c r="I17" i="66" s="1"/>
  <c r="T123" i="55"/>
  <c r="I123" i="55"/>
  <c r="I124" i="55" s="1"/>
  <c r="C106" i="76"/>
  <c r="H106" i="76" s="1"/>
  <c r="E30" i="48"/>
  <c r="I123" i="45"/>
  <c r="I124" i="45" s="1"/>
  <c r="T123" i="45"/>
  <c r="H19" i="40"/>
  <c r="I19" i="40" s="1"/>
  <c r="H15" i="38"/>
  <c r="I15" i="38" s="1"/>
  <c r="E44" i="40"/>
  <c r="H19" i="21"/>
  <c r="I19" i="21" s="1"/>
  <c r="H19" i="24"/>
  <c r="I19" i="24" s="1"/>
  <c r="I124" i="17"/>
  <c r="H19" i="25"/>
  <c r="I19" i="25" s="1"/>
  <c r="I121" i="7"/>
  <c r="E30" i="30"/>
  <c r="H14" i="30"/>
  <c r="I14" i="30" s="1"/>
  <c r="H15" i="66"/>
  <c r="I15" i="66" s="1"/>
  <c r="H19" i="50"/>
  <c r="I19" i="50" s="1"/>
  <c r="P106" i="48"/>
  <c r="P105" i="48"/>
  <c r="P104" i="48"/>
  <c r="I123" i="58"/>
  <c r="I124" i="58" s="1"/>
  <c r="T123" i="58"/>
  <c r="I123" i="66"/>
  <c r="I124" i="66" s="1"/>
  <c r="T123" i="66"/>
  <c r="I44" i="52"/>
  <c r="E44" i="52"/>
  <c r="H15" i="30"/>
  <c r="I15" i="30" s="1"/>
  <c r="E44" i="78"/>
  <c r="I44" i="78"/>
  <c r="H19" i="67"/>
  <c r="I19" i="67" s="1"/>
  <c r="I44" i="66"/>
  <c r="E44" i="66"/>
  <c r="H17" i="75"/>
  <c r="I17" i="75" s="1"/>
  <c r="H15" i="51"/>
  <c r="I15" i="51" s="1"/>
  <c r="H19" i="48"/>
  <c r="I19" i="48" s="1"/>
  <c r="E44" i="48"/>
  <c r="I44" i="48"/>
  <c r="H15" i="37"/>
  <c r="I15" i="37" s="1"/>
  <c r="H17" i="37"/>
  <c r="I17" i="37" s="1"/>
  <c r="I44" i="35"/>
  <c r="E44" i="35"/>
  <c r="E30" i="39"/>
  <c r="I44" i="40"/>
  <c r="I123" i="36"/>
  <c r="I124" i="36" s="1"/>
  <c r="T123" i="36"/>
  <c r="E30" i="33"/>
  <c r="I124" i="20"/>
  <c r="H15" i="16"/>
  <c r="I15" i="16" s="1"/>
  <c r="H25" i="16"/>
  <c r="H25" i="60" s="1"/>
  <c r="E25" i="60"/>
  <c r="E44" i="60"/>
  <c r="C105" i="7" l="1"/>
  <c r="C104" i="40"/>
  <c r="H106" i="7"/>
  <c r="C106" i="69"/>
  <c r="H106" i="69" s="1"/>
  <c r="C106" i="44"/>
  <c r="H106" i="44" s="1"/>
  <c r="C105" i="42"/>
  <c r="H105" i="42" s="1"/>
  <c r="C106" i="35"/>
  <c r="H106" i="35" s="1"/>
  <c r="C105" i="17"/>
  <c r="H105" i="17" s="1"/>
  <c r="C106" i="56"/>
  <c r="H106" i="56" s="1"/>
  <c r="C106" i="43"/>
  <c r="H106" i="43" s="1"/>
  <c r="C105" i="52"/>
  <c r="H105" i="52" s="1"/>
  <c r="C106" i="42"/>
  <c r="H106" i="42" s="1"/>
  <c r="C106" i="33"/>
  <c r="H106" i="33" s="1"/>
  <c r="C106" i="51"/>
  <c r="H106" i="51" s="1"/>
  <c r="C105" i="16"/>
  <c r="H105" i="16" s="1"/>
  <c r="C106" i="55"/>
  <c r="H106" i="55" s="1"/>
  <c r="C104" i="33"/>
  <c r="H104" i="33" s="1"/>
  <c r="H30" i="33"/>
  <c r="E46" i="33" s="1"/>
  <c r="C105" i="34"/>
  <c r="H105" i="34" s="1"/>
  <c r="C106" i="68"/>
  <c r="H106" i="68" s="1"/>
  <c r="I30" i="33"/>
  <c r="I46" i="33" s="1"/>
  <c r="C105" i="33"/>
  <c r="H105" i="33" s="1"/>
  <c r="C104" i="69"/>
  <c r="H104" i="69" s="1"/>
  <c r="H133" i="7"/>
  <c r="C105" i="27"/>
  <c r="H105" i="27" s="1"/>
  <c r="C106" i="75"/>
  <c r="H106" i="75" s="1"/>
  <c r="C105" i="48"/>
  <c r="H105" i="48" s="1"/>
  <c r="C106" i="27"/>
  <c r="H106" i="27" s="1"/>
  <c r="C105" i="39"/>
  <c r="H105" i="39" s="1"/>
  <c r="C106" i="34"/>
  <c r="H106" i="34" s="1"/>
  <c r="C105" i="51"/>
  <c r="H105" i="51" s="1"/>
  <c r="C106" i="57"/>
  <c r="H106" i="57" s="1"/>
  <c r="C106" i="39"/>
  <c r="H106" i="39" s="1"/>
  <c r="C105" i="23"/>
  <c r="H105" i="23" s="1"/>
  <c r="C106" i="30"/>
  <c r="H106" i="30" s="1"/>
  <c r="C104" i="7"/>
  <c r="H104" i="7" s="1"/>
  <c r="C105" i="43"/>
  <c r="H105" i="43" s="1"/>
  <c r="C106" i="71"/>
  <c r="H106" i="71" s="1"/>
  <c r="I30" i="43"/>
  <c r="H30" i="43"/>
  <c r="C72" i="43" s="1"/>
  <c r="C104" i="71"/>
  <c r="H104" i="71" s="1"/>
  <c r="C104" i="76"/>
  <c r="H104" i="76" s="1"/>
  <c r="H30" i="56"/>
  <c r="C72" i="56" s="1"/>
  <c r="H22" i="60"/>
  <c r="H19" i="60"/>
  <c r="I17" i="7"/>
  <c r="H17" i="60"/>
  <c r="I16" i="7"/>
  <c r="H16" i="60"/>
  <c r="H27" i="60"/>
  <c r="H14" i="60"/>
  <c r="H15" i="60"/>
  <c r="H21" i="60"/>
  <c r="C104" i="43"/>
  <c r="H104" i="43" s="1"/>
  <c r="C104" i="35"/>
  <c r="H104" i="35" s="1"/>
  <c r="C104" i="44"/>
  <c r="H104" i="44" s="1"/>
  <c r="C104" i="56"/>
  <c r="C107" i="56" s="1"/>
  <c r="H133" i="45"/>
  <c r="U126" i="45" s="1"/>
  <c r="C75" i="45"/>
  <c r="H76" i="45" s="1"/>
  <c r="H92" i="45" s="1"/>
  <c r="C78" i="45"/>
  <c r="H79" i="45" s="1"/>
  <c r="H85" i="45" s="1"/>
  <c r="C81" i="45"/>
  <c r="H82" i="45" s="1"/>
  <c r="H90" i="45" s="1"/>
  <c r="H133" i="78"/>
  <c r="U126" i="78" s="1"/>
  <c r="C78" i="78"/>
  <c r="H79" i="78" s="1"/>
  <c r="H85" i="78" s="1"/>
  <c r="C81" i="78"/>
  <c r="H82" i="78" s="1"/>
  <c r="H90" i="78" s="1"/>
  <c r="C75" i="78"/>
  <c r="H76" i="78" s="1"/>
  <c r="H92" i="78" s="1"/>
  <c r="H133" i="50"/>
  <c r="U126" i="50" s="1"/>
  <c r="C75" i="50"/>
  <c r="H76" i="50" s="1"/>
  <c r="H92" i="50" s="1"/>
  <c r="C78" i="50"/>
  <c r="H79" i="50" s="1"/>
  <c r="H85" i="50" s="1"/>
  <c r="C81" i="50"/>
  <c r="H82" i="50" s="1"/>
  <c r="H90" i="50" s="1"/>
  <c r="H133" i="55"/>
  <c r="U126" i="55" s="1"/>
  <c r="C75" i="55"/>
  <c r="H76" i="55" s="1"/>
  <c r="H92" i="55" s="1"/>
  <c r="C78" i="55"/>
  <c r="H79" i="55" s="1"/>
  <c r="H85" i="55" s="1"/>
  <c r="C81" i="55"/>
  <c r="H82" i="55" s="1"/>
  <c r="H90" i="55" s="1"/>
  <c r="H133" i="40"/>
  <c r="U126" i="40" s="1"/>
  <c r="C75" i="40"/>
  <c r="H76" i="40" s="1"/>
  <c r="H92" i="40" s="1"/>
  <c r="C78" i="40"/>
  <c r="H79" i="40" s="1"/>
  <c r="H85" i="40" s="1"/>
  <c r="C81" i="40"/>
  <c r="H82" i="40" s="1"/>
  <c r="H90" i="40" s="1"/>
  <c r="H133" i="77"/>
  <c r="U126" i="77" s="1"/>
  <c r="C81" i="77"/>
  <c r="H82" i="77" s="1"/>
  <c r="H90" i="77" s="1"/>
  <c r="C78" i="77"/>
  <c r="H79" i="77" s="1"/>
  <c r="H85" i="77" s="1"/>
  <c r="C75" i="77"/>
  <c r="H76" i="77" s="1"/>
  <c r="H92" i="77" s="1"/>
  <c r="H133" i="17"/>
  <c r="U126" i="17" s="1"/>
  <c r="C75" i="17"/>
  <c r="H76" i="17" s="1"/>
  <c r="H92" i="17" s="1"/>
  <c r="C81" i="17"/>
  <c r="H82" i="17" s="1"/>
  <c r="H90" i="17" s="1"/>
  <c r="C78" i="17"/>
  <c r="H79" i="17" s="1"/>
  <c r="H85" i="17" s="1"/>
  <c r="H133" i="26"/>
  <c r="U126" i="26" s="1"/>
  <c r="C78" i="26"/>
  <c r="H79" i="26" s="1"/>
  <c r="H85" i="26" s="1"/>
  <c r="C81" i="26"/>
  <c r="H82" i="26" s="1"/>
  <c r="H90" i="26" s="1"/>
  <c r="C75" i="26"/>
  <c r="H76" i="26" s="1"/>
  <c r="H92" i="26" s="1"/>
  <c r="H133" i="57"/>
  <c r="U126" i="57" s="1"/>
  <c r="C81" i="57"/>
  <c r="H82" i="57" s="1"/>
  <c r="H90" i="57" s="1"/>
  <c r="C75" i="57"/>
  <c r="H76" i="57" s="1"/>
  <c r="H92" i="57" s="1"/>
  <c r="C78" i="57"/>
  <c r="H79" i="57" s="1"/>
  <c r="H85" i="57" s="1"/>
  <c r="H133" i="38"/>
  <c r="U126" i="38" s="1"/>
  <c r="C81" i="38"/>
  <c r="H82" i="38" s="1"/>
  <c r="H90" i="38" s="1"/>
  <c r="C78" i="38"/>
  <c r="H79" i="38" s="1"/>
  <c r="H85" i="38" s="1"/>
  <c r="C75" i="38"/>
  <c r="H76" i="38" s="1"/>
  <c r="H92" i="38" s="1"/>
  <c r="H133" i="28"/>
  <c r="U126" i="28" s="1"/>
  <c r="C81" i="28"/>
  <c r="H82" i="28" s="1"/>
  <c r="H90" i="28" s="1"/>
  <c r="C78" i="28"/>
  <c r="H79" i="28" s="1"/>
  <c r="H85" i="28" s="1"/>
  <c r="C75" i="28"/>
  <c r="H76" i="28" s="1"/>
  <c r="H92" i="28" s="1"/>
  <c r="H133" i="75"/>
  <c r="U126" i="75" s="1"/>
  <c r="C81" i="75"/>
  <c r="H82" i="75" s="1"/>
  <c r="H90" i="75" s="1"/>
  <c r="C75" i="75"/>
  <c r="H76" i="75" s="1"/>
  <c r="H92" i="75" s="1"/>
  <c r="C78" i="75"/>
  <c r="H79" i="75" s="1"/>
  <c r="H85" i="75" s="1"/>
  <c r="H133" i="23"/>
  <c r="U126" i="23" s="1"/>
  <c r="C78" i="23"/>
  <c r="H79" i="23" s="1"/>
  <c r="H85" i="23" s="1"/>
  <c r="C75" i="23"/>
  <c r="H76" i="23" s="1"/>
  <c r="H92" i="23" s="1"/>
  <c r="C81" i="23"/>
  <c r="H82" i="23" s="1"/>
  <c r="H90" i="23" s="1"/>
  <c r="C75" i="30"/>
  <c r="H76" i="30" s="1"/>
  <c r="H92" i="30" s="1"/>
  <c r="C78" i="30"/>
  <c r="H79" i="30" s="1"/>
  <c r="H85" i="30" s="1"/>
  <c r="C81" i="30"/>
  <c r="H82" i="30" s="1"/>
  <c r="H90" i="30" s="1"/>
  <c r="H133" i="67"/>
  <c r="U126" i="67" s="1"/>
  <c r="C81" i="67"/>
  <c r="H82" i="67" s="1"/>
  <c r="H90" i="67" s="1"/>
  <c r="C75" i="67"/>
  <c r="H76" i="67" s="1"/>
  <c r="H92" i="67" s="1"/>
  <c r="C78" i="67"/>
  <c r="H79" i="67" s="1"/>
  <c r="H85" i="67" s="1"/>
  <c r="H133" i="76"/>
  <c r="U126" i="76" s="1"/>
  <c r="C78" i="76"/>
  <c r="H79" i="76" s="1"/>
  <c r="H85" i="76" s="1"/>
  <c r="C81" i="76"/>
  <c r="H82" i="76" s="1"/>
  <c r="H90" i="76" s="1"/>
  <c r="C75" i="76"/>
  <c r="H76" i="76" s="1"/>
  <c r="H92" i="76" s="1"/>
  <c r="H133" i="24"/>
  <c r="U126" i="24" s="1"/>
  <c r="C78" i="24"/>
  <c r="H79" i="24" s="1"/>
  <c r="H85" i="24" s="1"/>
  <c r="C81" i="24"/>
  <c r="H82" i="24" s="1"/>
  <c r="H90" i="24" s="1"/>
  <c r="C75" i="24"/>
  <c r="H76" i="24" s="1"/>
  <c r="H92" i="24" s="1"/>
  <c r="H133" i="66"/>
  <c r="U126" i="66" s="1"/>
  <c r="C75" i="66"/>
  <c r="H76" i="66" s="1"/>
  <c r="H92" i="66" s="1"/>
  <c r="C78" i="66"/>
  <c r="H79" i="66" s="1"/>
  <c r="H85" i="66" s="1"/>
  <c r="C81" i="66"/>
  <c r="H82" i="66" s="1"/>
  <c r="H90" i="66" s="1"/>
  <c r="H133" i="22"/>
  <c r="U126" i="22" s="1"/>
  <c r="C81" i="22"/>
  <c r="H82" i="22" s="1"/>
  <c r="H90" i="22" s="1"/>
  <c r="C75" i="22"/>
  <c r="H76" i="22" s="1"/>
  <c r="H92" i="22" s="1"/>
  <c r="C78" i="22"/>
  <c r="H79" i="22" s="1"/>
  <c r="H85" i="22" s="1"/>
  <c r="C78" i="32"/>
  <c r="H79" i="32" s="1"/>
  <c r="H85" i="32" s="1"/>
  <c r="C81" i="32"/>
  <c r="H82" i="32" s="1"/>
  <c r="H90" i="32" s="1"/>
  <c r="C75" i="32"/>
  <c r="H76" i="32" s="1"/>
  <c r="H92" i="32" s="1"/>
  <c r="H133" i="56"/>
  <c r="U126" i="56" s="1"/>
  <c r="C78" i="56"/>
  <c r="H79" i="56" s="1"/>
  <c r="H85" i="56" s="1"/>
  <c r="C81" i="56"/>
  <c r="H82" i="56" s="1"/>
  <c r="H90" i="56" s="1"/>
  <c r="C75" i="56"/>
  <c r="H76" i="56" s="1"/>
  <c r="H92" i="56" s="1"/>
  <c r="H133" i="33"/>
  <c r="U126" i="33" s="1"/>
  <c r="C75" i="33"/>
  <c r="H76" i="33" s="1"/>
  <c r="H92" i="33" s="1"/>
  <c r="C78" i="33"/>
  <c r="H79" i="33" s="1"/>
  <c r="H85" i="33" s="1"/>
  <c r="C81" i="33"/>
  <c r="H82" i="33" s="1"/>
  <c r="H90" i="33" s="1"/>
  <c r="H133" i="21"/>
  <c r="U126" i="21" s="1"/>
  <c r="C81" i="21"/>
  <c r="H82" i="21" s="1"/>
  <c r="H90" i="21" s="1"/>
  <c r="C78" i="21"/>
  <c r="H79" i="21" s="1"/>
  <c r="H85" i="21" s="1"/>
  <c r="C75" i="21"/>
  <c r="H76" i="21" s="1"/>
  <c r="H92" i="21" s="1"/>
  <c r="H133" i="35"/>
  <c r="U126" i="35" s="1"/>
  <c r="C75" i="35"/>
  <c r="H76" i="35" s="1"/>
  <c r="H92" i="35" s="1"/>
  <c r="C81" i="35"/>
  <c r="H82" i="35" s="1"/>
  <c r="H90" i="35" s="1"/>
  <c r="C78" i="35"/>
  <c r="H79" i="35" s="1"/>
  <c r="H85" i="35" s="1"/>
  <c r="H133" i="51"/>
  <c r="U126" i="51" s="1"/>
  <c r="C81" i="51"/>
  <c r="H82" i="51" s="1"/>
  <c r="H90" i="51" s="1"/>
  <c r="C78" i="51"/>
  <c r="H79" i="51" s="1"/>
  <c r="H85" i="51" s="1"/>
  <c r="C75" i="51"/>
  <c r="H76" i="51" s="1"/>
  <c r="H92" i="51" s="1"/>
  <c r="H133" i="70"/>
  <c r="U126" i="70" s="1"/>
  <c r="C81" i="70"/>
  <c r="H82" i="70" s="1"/>
  <c r="H90" i="70" s="1"/>
  <c r="C78" i="70"/>
  <c r="H79" i="70" s="1"/>
  <c r="H85" i="70" s="1"/>
  <c r="C75" i="70"/>
  <c r="H76" i="70" s="1"/>
  <c r="H92" i="70" s="1"/>
  <c r="H133" i="25"/>
  <c r="U126" i="25" s="1"/>
  <c r="C81" i="25"/>
  <c r="H82" i="25" s="1"/>
  <c r="H90" i="25" s="1"/>
  <c r="C75" i="25"/>
  <c r="H76" i="25" s="1"/>
  <c r="H92" i="25" s="1"/>
  <c r="C78" i="25"/>
  <c r="H79" i="25" s="1"/>
  <c r="H85" i="25" s="1"/>
  <c r="H133" i="48"/>
  <c r="U126" i="48" s="1"/>
  <c r="C75" i="48"/>
  <c r="H76" i="48" s="1"/>
  <c r="H92" i="48" s="1"/>
  <c r="C78" i="48"/>
  <c r="H79" i="48" s="1"/>
  <c r="H85" i="48" s="1"/>
  <c r="C81" i="48"/>
  <c r="H82" i="48" s="1"/>
  <c r="H90" i="48" s="1"/>
  <c r="H133" i="18"/>
  <c r="U126" i="18" s="1"/>
  <c r="C81" i="18"/>
  <c r="H82" i="18" s="1"/>
  <c r="H90" i="18" s="1"/>
  <c r="C78" i="18"/>
  <c r="H79" i="18" s="1"/>
  <c r="H85" i="18" s="1"/>
  <c r="C75" i="18"/>
  <c r="H76" i="18" s="1"/>
  <c r="H92" i="18" s="1"/>
  <c r="C75" i="7"/>
  <c r="C81" i="7"/>
  <c r="C78" i="7"/>
  <c r="H133" i="43"/>
  <c r="U126" i="43" s="1"/>
  <c r="C81" i="43"/>
  <c r="H82" i="43" s="1"/>
  <c r="H90" i="43" s="1"/>
  <c r="C75" i="43"/>
  <c r="H76" i="43" s="1"/>
  <c r="H92" i="43" s="1"/>
  <c r="C78" i="43"/>
  <c r="H79" i="43" s="1"/>
  <c r="H85" i="43" s="1"/>
  <c r="H133" i="16"/>
  <c r="U126" i="16" s="1"/>
  <c r="C78" i="16"/>
  <c r="H79" i="16" s="1"/>
  <c r="H85" i="16" s="1"/>
  <c r="C81" i="16"/>
  <c r="H82" i="16" s="1"/>
  <c r="H90" i="16" s="1"/>
  <c r="C75" i="16"/>
  <c r="H76" i="16" s="1"/>
  <c r="H92" i="16" s="1"/>
  <c r="H133" i="42"/>
  <c r="U126" i="42" s="1"/>
  <c r="C81" i="42"/>
  <c r="H82" i="42" s="1"/>
  <c r="H90" i="42" s="1"/>
  <c r="C78" i="42"/>
  <c r="H79" i="42" s="1"/>
  <c r="H85" i="42" s="1"/>
  <c r="C75" i="42"/>
  <c r="H76" i="42" s="1"/>
  <c r="H92" i="42" s="1"/>
  <c r="H133" i="37"/>
  <c r="U126" i="37" s="1"/>
  <c r="C78" i="37"/>
  <c r="H79" i="37" s="1"/>
  <c r="H85" i="37" s="1"/>
  <c r="C81" i="37"/>
  <c r="H82" i="37" s="1"/>
  <c r="H90" i="37" s="1"/>
  <c r="C75" i="37"/>
  <c r="H76" i="37" s="1"/>
  <c r="H92" i="37" s="1"/>
  <c r="H133" i="58"/>
  <c r="U126" i="58" s="1"/>
  <c r="C78" i="58"/>
  <c r="H79" i="58" s="1"/>
  <c r="H85" i="58" s="1"/>
  <c r="C81" i="58"/>
  <c r="H82" i="58" s="1"/>
  <c r="H90" i="58" s="1"/>
  <c r="C75" i="58"/>
  <c r="H76" i="58" s="1"/>
  <c r="H92" i="58" s="1"/>
  <c r="H133" i="68"/>
  <c r="U126" i="68" s="1"/>
  <c r="C78" i="68"/>
  <c r="H79" i="68" s="1"/>
  <c r="H85" i="68" s="1"/>
  <c r="C81" i="68"/>
  <c r="H82" i="68" s="1"/>
  <c r="H90" i="68" s="1"/>
  <c r="C75" i="68"/>
  <c r="H76" i="68" s="1"/>
  <c r="H92" i="68" s="1"/>
  <c r="C81" i="31"/>
  <c r="H82" i="31" s="1"/>
  <c r="H90" i="31" s="1"/>
  <c r="C75" i="31"/>
  <c r="H76" i="31" s="1"/>
  <c r="H92" i="31" s="1"/>
  <c r="C78" i="31"/>
  <c r="H79" i="31" s="1"/>
  <c r="H85" i="31" s="1"/>
  <c r="H133" i="47"/>
  <c r="U126" i="47" s="1"/>
  <c r="C81" i="47"/>
  <c r="H82" i="47" s="1"/>
  <c r="H90" i="47" s="1"/>
  <c r="C78" i="47"/>
  <c r="H79" i="47" s="1"/>
  <c r="H85" i="47" s="1"/>
  <c r="C75" i="47"/>
  <c r="H76" i="47" s="1"/>
  <c r="H92" i="47" s="1"/>
  <c r="H133" i="39"/>
  <c r="U126" i="39" s="1"/>
  <c r="C78" i="39"/>
  <c r="H79" i="39" s="1"/>
  <c r="H85" i="39" s="1"/>
  <c r="C81" i="39"/>
  <c r="H82" i="39" s="1"/>
  <c r="H90" i="39" s="1"/>
  <c r="C75" i="39"/>
  <c r="H76" i="39" s="1"/>
  <c r="H92" i="39" s="1"/>
  <c r="H133" i="71"/>
  <c r="U126" i="71" s="1"/>
  <c r="C81" i="71"/>
  <c r="H82" i="71" s="1"/>
  <c r="H90" i="71" s="1"/>
  <c r="C78" i="71"/>
  <c r="H79" i="71" s="1"/>
  <c r="H85" i="71" s="1"/>
  <c r="C75" i="71"/>
  <c r="H76" i="71" s="1"/>
  <c r="H92" i="71" s="1"/>
  <c r="C81" i="36"/>
  <c r="H82" i="36" s="1"/>
  <c r="H90" i="36" s="1"/>
  <c r="C78" i="36"/>
  <c r="H79" i="36" s="1"/>
  <c r="H85" i="36" s="1"/>
  <c r="C75" i="36"/>
  <c r="H76" i="36" s="1"/>
  <c r="H92" i="36" s="1"/>
  <c r="H133" i="34"/>
  <c r="C81" i="34"/>
  <c r="H82" i="34" s="1"/>
  <c r="H90" i="34" s="1"/>
  <c r="C75" i="34"/>
  <c r="H76" i="34" s="1"/>
  <c r="H92" i="34" s="1"/>
  <c r="C78" i="34"/>
  <c r="H79" i="34" s="1"/>
  <c r="H85" i="34" s="1"/>
  <c r="H133" i="69"/>
  <c r="U126" i="69" s="1"/>
  <c r="C75" i="69"/>
  <c r="H76" i="69" s="1"/>
  <c r="H92" i="69" s="1"/>
  <c r="C78" i="69"/>
  <c r="H79" i="69" s="1"/>
  <c r="H85" i="69" s="1"/>
  <c r="C81" i="69"/>
  <c r="H82" i="69" s="1"/>
  <c r="H90" i="69" s="1"/>
  <c r="H133" i="20"/>
  <c r="U126" i="20" s="1"/>
  <c r="C75" i="20"/>
  <c r="H76" i="20" s="1"/>
  <c r="H92" i="20" s="1"/>
  <c r="C81" i="20"/>
  <c r="H82" i="20" s="1"/>
  <c r="H90" i="20" s="1"/>
  <c r="C78" i="20"/>
  <c r="H79" i="20" s="1"/>
  <c r="H85" i="20" s="1"/>
  <c r="H133" i="27"/>
  <c r="U126" i="27" s="1"/>
  <c r="C75" i="27"/>
  <c r="H76" i="27" s="1"/>
  <c r="H92" i="27" s="1"/>
  <c r="C78" i="27"/>
  <c r="H79" i="27" s="1"/>
  <c r="H85" i="27" s="1"/>
  <c r="C81" i="27"/>
  <c r="H82" i="27" s="1"/>
  <c r="H90" i="27" s="1"/>
  <c r="H133" i="44"/>
  <c r="U126" i="44" s="1"/>
  <c r="C78" i="44"/>
  <c r="H79" i="44" s="1"/>
  <c r="H85" i="44" s="1"/>
  <c r="C81" i="44"/>
  <c r="H82" i="44" s="1"/>
  <c r="H90" i="44" s="1"/>
  <c r="C75" i="44"/>
  <c r="H76" i="44" s="1"/>
  <c r="H92" i="44" s="1"/>
  <c r="H133" i="52"/>
  <c r="C78" i="52"/>
  <c r="H79" i="52" s="1"/>
  <c r="H85" i="52" s="1"/>
  <c r="C81" i="52"/>
  <c r="H82" i="52" s="1"/>
  <c r="H90" i="52" s="1"/>
  <c r="C75" i="52"/>
  <c r="H76" i="52" s="1"/>
  <c r="H92" i="52" s="1"/>
  <c r="I29" i="17"/>
  <c r="I29" i="60" s="1"/>
  <c r="I20" i="60"/>
  <c r="C104" i="52"/>
  <c r="H104" i="52" s="1"/>
  <c r="I14" i="52"/>
  <c r="I30" i="52" s="1"/>
  <c r="I28" i="60"/>
  <c r="I23" i="16"/>
  <c r="I25" i="16"/>
  <c r="I25" i="60" s="1"/>
  <c r="I40" i="60"/>
  <c r="C106" i="70"/>
  <c r="H106" i="70" s="1"/>
  <c r="C69" i="34"/>
  <c r="H70" i="34" s="1"/>
  <c r="I30" i="76"/>
  <c r="I30" i="71"/>
  <c r="I27" i="60"/>
  <c r="I42" i="60"/>
  <c r="I46" i="43"/>
  <c r="C106" i="78"/>
  <c r="H106" i="78" s="1"/>
  <c r="C105" i="57"/>
  <c r="H105" i="57" s="1"/>
  <c r="H30" i="76"/>
  <c r="C105" i="76"/>
  <c r="H105" i="76" s="1"/>
  <c r="C106" i="52"/>
  <c r="H106" i="52" s="1"/>
  <c r="H30" i="52"/>
  <c r="C69" i="52"/>
  <c r="H70" i="52" s="1"/>
  <c r="H98" i="52" s="1"/>
  <c r="I98" i="52" s="1"/>
  <c r="H133" i="32"/>
  <c r="U126" i="32" s="1"/>
  <c r="C69" i="32"/>
  <c r="H70" i="32" s="1"/>
  <c r="H98" i="32" s="1"/>
  <c r="I98" i="32" s="1"/>
  <c r="C105" i="68"/>
  <c r="H105" i="68" s="1"/>
  <c r="C106" i="32"/>
  <c r="H106" i="32" s="1"/>
  <c r="C105" i="71"/>
  <c r="H105" i="71" s="1"/>
  <c r="H30" i="71"/>
  <c r="H133" i="30"/>
  <c r="U126" i="30" s="1"/>
  <c r="C104" i="21"/>
  <c r="H104" i="21" s="1"/>
  <c r="I41" i="60"/>
  <c r="C105" i="36"/>
  <c r="H105" i="36" s="1"/>
  <c r="C105" i="58"/>
  <c r="H105" i="58" s="1"/>
  <c r="C104" i="48"/>
  <c r="H104" i="48" s="1"/>
  <c r="C105" i="50"/>
  <c r="H105" i="50" s="1"/>
  <c r="C105" i="75"/>
  <c r="H105" i="75" s="1"/>
  <c r="I44" i="60"/>
  <c r="C106" i="36"/>
  <c r="H106" i="36" s="1"/>
  <c r="H30" i="21"/>
  <c r="C105" i="77"/>
  <c r="H105" i="77" s="1"/>
  <c r="C106" i="22"/>
  <c r="H106" i="22" s="1"/>
  <c r="C106" i="28"/>
  <c r="H106" i="28" s="1"/>
  <c r="C104" i="34"/>
  <c r="H104" i="34" s="1"/>
  <c r="C105" i="24"/>
  <c r="H105" i="24" s="1"/>
  <c r="I30" i="40"/>
  <c r="C106" i="24"/>
  <c r="H106" i="24" s="1"/>
  <c r="C106" i="31"/>
  <c r="H106" i="31" s="1"/>
  <c r="C105" i="22"/>
  <c r="H105" i="22" s="1"/>
  <c r="C105" i="28"/>
  <c r="H105" i="28" s="1"/>
  <c r="I21" i="60"/>
  <c r="C105" i="45"/>
  <c r="H105" i="45" s="1"/>
  <c r="C69" i="35"/>
  <c r="H70" i="35" s="1"/>
  <c r="H98" i="35" s="1"/>
  <c r="I98" i="35" s="1"/>
  <c r="H30" i="58"/>
  <c r="I30" i="58"/>
  <c r="C104" i="58"/>
  <c r="C69" i="40"/>
  <c r="H70" i="40" s="1"/>
  <c r="H98" i="40" s="1"/>
  <c r="I98" i="40" s="1"/>
  <c r="I30" i="68"/>
  <c r="C104" i="68"/>
  <c r="H30" i="68"/>
  <c r="I39" i="60"/>
  <c r="I18" i="60"/>
  <c r="I30" i="55"/>
  <c r="C106" i="16"/>
  <c r="H106" i="16" s="1"/>
  <c r="C69" i="33"/>
  <c r="H70" i="33" s="1"/>
  <c r="H98" i="33" s="1"/>
  <c r="I98" i="33" s="1"/>
  <c r="I30" i="34"/>
  <c r="C105" i="35"/>
  <c r="I30" i="35"/>
  <c r="H30" i="35"/>
  <c r="C106" i="25"/>
  <c r="H106" i="25" s="1"/>
  <c r="C106" i="23"/>
  <c r="H106" i="23" s="1"/>
  <c r="H30" i="66"/>
  <c r="C104" i="66"/>
  <c r="H30" i="70"/>
  <c r="C104" i="70"/>
  <c r="H30" i="25"/>
  <c r="I30" i="25"/>
  <c r="C104" i="25"/>
  <c r="H30" i="50"/>
  <c r="I30" i="50"/>
  <c r="C104" i="50"/>
  <c r="C106" i="37"/>
  <c r="H106" i="37" s="1"/>
  <c r="C69" i="55"/>
  <c r="H70" i="55" s="1"/>
  <c r="H98" i="55" s="1"/>
  <c r="I98" i="55" s="1"/>
  <c r="C105" i="20"/>
  <c r="H105" i="20" s="1"/>
  <c r="C69" i="66"/>
  <c r="H70" i="66" s="1"/>
  <c r="H98" i="66" s="1"/>
  <c r="I98" i="66" s="1"/>
  <c r="E34" i="62"/>
  <c r="E38" i="62" s="1"/>
  <c r="C69" i="7"/>
  <c r="C106" i="50"/>
  <c r="H106" i="50" s="1"/>
  <c r="C105" i="70"/>
  <c r="H105" i="70" s="1"/>
  <c r="C69" i="70"/>
  <c r="H70" i="70" s="1"/>
  <c r="H98" i="70" s="1"/>
  <c r="I98" i="70" s="1"/>
  <c r="C69" i="25"/>
  <c r="H70" i="25" s="1"/>
  <c r="H98" i="25" s="1"/>
  <c r="I98" i="25" s="1"/>
  <c r="H30" i="17"/>
  <c r="C104" i="17"/>
  <c r="C69" i="50"/>
  <c r="H70" i="50" s="1"/>
  <c r="H98" i="50" s="1"/>
  <c r="I98" i="50" s="1"/>
  <c r="C69" i="31"/>
  <c r="H70" i="31" s="1"/>
  <c r="H98" i="31" s="1"/>
  <c r="I98" i="31" s="1"/>
  <c r="C69" i="45"/>
  <c r="H70" i="45" s="1"/>
  <c r="H98" i="45" s="1"/>
  <c r="I98" i="45" s="1"/>
  <c r="H30" i="23"/>
  <c r="C104" i="23"/>
  <c r="C69" i="18"/>
  <c r="H70" i="18" s="1"/>
  <c r="H98" i="18" s="1"/>
  <c r="I98" i="18" s="1"/>
  <c r="I30" i="27"/>
  <c r="C104" i="27"/>
  <c r="H30" i="27"/>
  <c r="I30" i="56"/>
  <c r="C69" i="17"/>
  <c r="H70" i="17" s="1"/>
  <c r="H98" i="17" s="1"/>
  <c r="I98" i="17" s="1"/>
  <c r="C106" i="45"/>
  <c r="H106" i="45" s="1"/>
  <c r="C105" i="25"/>
  <c r="H105" i="25" s="1"/>
  <c r="H30" i="31"/>
  <c r="I30" i="31"/>
  <c r="C104" i="31"/>
  <c r="I30" i="42"/>
  <c r="H30" i="42"/>
  <c r="C104" i="42"/>
  <c r="H30" i="75"/>
  <c r="I30" i="75"/>
  <c r="C104" i="75"/>
  <c r="C104" i="30"/>
  <c r="H30" i="30"/>
  <c r="C69" i="69"/>
  <c r="H70" i="69" s="1"/>
  <c r="H98" i="69" s="1"/>
  <c r="I98" i="69" s="1"/>
  <c r="H30" i="45"/>
  <c r="I30" i="45"/>
  <c r="C104" i="45"/>
  <c r="C69" i="23"/>
  <c r="H70" i="23" s="1"/>
  <c r="H98" i="23" s="1"/>
  <c r="I98" i="23" s="1"/>
  <c r="H30" i="78"/>
  <c r="I30" i="78"/>
  <c r="C104" i="78"/>
  <c r="C69" i="51"/>
  <c r="H70" i="51" s="1"/>
  <c r="H98" i="51" s="1"/>
  <c r="I98" i="51" s="1"/>
  <c r="C69" i="28"/>
  <c r="H70" i="28" s="1"/>
  <c r="H98" i="28" s="1"/>
  <c r="I98" i="28" s="1"/>
  <c r="C69" i="56"/>
  <c r="H70" i="56" s="1"/>
  <c r="H98" i="56" s="1"/>
  <c r="I98" i="56" s="1"/>
  <c r="C105" i="38"/>
  <c r="H105" i="38" s="1"/>
  <c r="C69" i="42"/>
  <c r="H70" i="42" s="1"/>
  <c r="H98" i="42" s="1"/>
  <c r="I98" i="42" s="1"/>
  <c r="C69" i="75"/>
  <c r="H70" i="75" s="1"/>
  <c r="H98" i="75" s="1"/>
  <c r="I98" i="75" s="1"/>
  <c r="C69" i="30"/>
  <c r="H70" i="30" s="1"/>
  <c r="H98" i="30" s="1"/>
  <c r="I98" i="30" s="1"/>
  <c r="C69" i="24"/>
  <c r="H70" i="24" s="1"/>
  <c r="H98" i="24" s="1"/>
  <c r="I98" i="24" s="1"/>
  <c r="C105" i="32"/>
  <c r="H105" i="32" s="1"/>
  <c r="C69" i="27"/>
  <c r="H70" i="27" s="1"/>
  <c r="H98" i="27" s="1"/>
  <c r="I98" i="27" s="1"/>
  <c r="C69" i="44"/>
  <c r="H70" i="44" s="1"/>
  <c r="H98" i="44" s="1"/>
  <c r="I98" i="44" s="1"/>
  <c r="C105" i="67"/>
  <c r="H105" i="67" s="1"/>
  <c r="C69" i="78"/>
  <c r="H70" i="78" s="1"/>
  <c r="H98" i="78" s="1"/>
  <c r="I98" i="78" s="1"/>
  <c r="C105" i="66"/>
  <c r="H105" i="66" s="1"/>
  <c r="C105" i="31"/>
  <c r="H105" i="31" s="1"/>
  <c r="C106" i="77"/>
  <c r="H106" i="77" s="1"/>
  <c r="H30" i="51"/>
  <c r="I30" i="51"/>
  <c r="C104" i="51"/>
  <c r="C104" i="16"/>
  <c r="H30" i="16"/>
  <c r="I30" i="28"/>
  <c r="C104" i="28"/>
  <c r="H30" i="28"/>
  <c r="E30" i="60"/>
  <c r="C69" i="39"/>
  <c r="H70" i="39" s="1"/>
  <c r="H98" i="39" s="1"/>
  <c r="I98" i="39" s="1"/>
  <c r="I30" i="24"/>
  <c r="C104" i="24"/>
  <c r="H30" i="24"/>
  <c r="C106" i="67"/>
  <c r="H106" i="67" s="1"/>
  <c r="H30" i="26"/>
  <c r="C104" i="26"/>
  <c r="I30" i="44"/>
  <c r="C105" i="44"/>
  <c r="H105" i="44" s="1"/>
  <c r="H30" i="44"/>
  <c r="H30" i="77"/>
  <c r="I30" i="77"/>
  <c r="C104" i="77"/>
  <c r="C69" i="16"/>
  <c r="H98" i="16" s="1"/>
  <c r="I98" i="16" s="1"/>
  <c r="C69" i="47"/>
  <c r="H70" i="47" s="1"/>
  <c r="H98" i="47" s="1"/>
  <c r="I98" i="47" s="1"/>
  <c r="I30" i="21"/>
  <c r="C106" i="21"/>
  <c r="H106" i="21" s="1"/>
  <c r="H104" i="40"/>
  <c r="C106" i="20"/>
  <c r="H106" i="20" s="1"/>
  <c r="C69" i="37"/>
  <c r="H70" i="37" s="1"/>
  <c r="H98" i="37" s="1"/>
  <c r="I98" i="37" s="1"/>
  <c r="C69" i="26"/>
  <c r="H70" i="26" s="1"/>
  <c r="H98" i="26" s="1"/>
  <c r="I98" i="26" s="1"/>
  <c r="C69" i="43"/>
  <c r="H70" i="43" s="1"/>
  <c r="H98" i="43" s="1"/>
  <c r="I98" i="43" s="1"/>
  <c r="H30" i="38"/>
  <c r="I30" i="38"/>
  <c r="C104" i="38"/>
  <c r="C105" i="21"/>
  <c r="H105" i="21" s="1"/>
  <c r="C105" i="78"/>
  <c r="H105" i="78" s="1"/>
  <c r="C105" i="30"/>
  <c r="H105" i="30" s="1"/>
  <c r="C69" i="77"/>
  <c r="H70" i="77" s="1"/>
  <c r="H98" i="77" s="1"/>
  <c r="I98" i="77" s="1"/>
  <c r="H30" i="40"/>
  <c r="I30" i="47"/>
  <c r="H30" i="47"/>
  <c r="C104" i="47"/>
  <c r="C105" i="37"/>
  <c r="H105" i="37" s="1"/>
  <c r="C69" i="67"/>
  <c r="H70" i="67" s="1"/>
  <c r="H98" i="67" s="1"/>
  <c r="I98" i="67" s="1"/>
  <c r="H30" i="37"/>
  <c r="I30" i="37"/>
  <c r="C104" i="37"/>
  <c r="I22" i="60"/>
  <c r="C69" i="38"/>
  <c r="H70" i="38" s="1"/>
  <c r="H98" i="38" s="1"/>
  <c r="I98" i="38" s="1"/>
  <c r="H30" i="7"/>
  <c r="C106" i="17"/>
  <c r="H106" i="17" s="1"/>
  <c r="C106" i="66"/>
  <c r="H106" i="66" s="1"/>
  <c r="C105" i="40"/>
  <c r="H105" i="40" s="1"/>
  <c r="C104" i="67"/>
  <c r="H30" i="67"/>
  <c r="H30" i="32"/>
  <c r="C104" i="32"/>
  <c r="C105" i="18"/>
  <c r="H105" i="18" s="1"/>
  <c r="I30" i="36"/>
  <c r="C104" i="36"/>
  <c r="H30" i="36"/>
  <c r="C69" i="48"/>
  <c r="H70" i="48" s="1"/>
  <c r="H98" i="48" s="1"/>
  <c r="I98" i="48" s="1"/>
  <c r="C104" i="20"/>
  <c r="H30" i="20"/>
  <c r="C69" i="76"/>
  <c r="H70" i="76" s="1"/>
  <c r="H98" i="76" s="1"/>
  <c r="I98" i="76" s="1"/>
  <c r="C69" i="71"/>
  <c r="H70" i="71" s="1"/>
  <c r="H98" i="71" s="1"/>
  <c r="I98" i="71" s="1"/>
  <c r="C106" i="18"/>
  <c r="H106" i="18" s="1"/>
  <c r="C104" i="57"/>
  <c r="H30" i="57"/>
  <c r="I30" i="57"/>
  <c r="I30" i="69"/>
  <c r="C105" i="69"/>
  <c r="H30" i="69"/>
  <c r="C69" i="22"/>
  <c r="H70" i="22" s="1"/>
  <c r="H98" i="22" s="1"/>
  <c r="I98" i="22" s="1"/>
  <c r="I30" i="39"/>
  <c r="C104" i="39"/>
  <c r="H30" i="39"/>
  <c r="C106" i="58"/>
  <c r="H106" i="58" s="1"/>
  <c r="H30" i="18"/>
  <c r="C104" i="18"/>
  <c r="H30" i="55"/>
  <c r="C106" i="38"/>
  <c r="H106" i="38" s="1"/>
  <c r="C69" i="36"/>
  <c r="H70" i="36" s="1"/>
  <c r="H98" i="36" s="1"/>
  <c r="I98" i="36" s="1"/>
  <c r="I30" i="48"/>
  <c r="C106" i="48"/>
  <c r="H106" i="48" s="1"/>
  <c r="C105" i="26"/>
  <c r="H105" i="26" s="1"/>
  <c r="H30" i="48"/>
  <c r="I124" i="7"/>
  <c r="H30" i="34"/>
  <c r="E45" i="60"/>
  <c r="C69" i="21"/>
  <c r="H70" i="21" s="1"/>
  <c r="H98" i="21" s="1"/>
  <c r="I98" i="21" s="1"/>
  <c r="C69" i="20"/>
  <c r="H70" i="20" s="1"/>
  <c r="H98" i="20" s="1"/>
  <c r="I98" i="20" s="1"/>
  <c r="C69" i="58"/>
  <c r="H70" i="58" s="1"/>
  <c r="H98" i="58" s="1"/>
  <c r="I98" i="58" s="1"/>
  <c r="C69" i="57"/>
  <c r="H70" i="57" s="1"/>
  <c r="H98" i="57" s="1"/>
  <c r="I98" i="57" s="1"/>
  <c r="H30" i="22"/>
  <c r="C104" i="22"/>
  <c r="I30" i="22"/>
  <c r="C69" i="68"/>
  <c r="H70" i="68" s="1"/>
  <c r="H98" i="68" s="1"/>
  <c r="I98" i="68" s="1"/>
  <c r="C106" i="40"/>
  <c r="H106" i="40" s="1"/>
  <c r="C106" i="26"/>
  <c r="H106" i="26" s="1"/>
  <c r="C104" i="55"/>
  <c r="C102" i="60" l="1"/>
  <c r="H88" i="34"/>
  <c r="I88" i="34" s="1"/>
  <c r="H98" i="34"/>
  <c r="I98" i="34" s="1"/>
  <c r="C103" i="60"/>
  <c r="H104" i="60"/>
  <c r="C104" i="60"/>
  <c r="E46" i="43"/>
  <c r="C107" i="33"/>
  <c r="I107" i="33"/>
  <c r="C72" i="33"/>
  <c r="H73" i="33" s="1"/>
  <c r="I107" i="34"/>
  <c r="U126" i="7"/>
  <c r="C80" i="60"/>
  <c r="H81" i="60" s="1"/>
  <c r="H86" i="60" s="1"/>
  <c r="C83" i="60"/>
  <c r="H84" i="60" s="1"/>
  <c r="H91" i="60" s="1"/>
  <c r="C77" i="60"/>
  <c r="H78" i="60" s="1"/>
  <c r="H93" i="60" s="1"/>
  <c r="C71" i="60"/>
  <c r="H72" i="60" s="1"/>
  <c r="H89" i="60" s="1"/>
  <c r="P42" i="52"/>
  <c r="U42" i="52" s="1"/>
  <c r="U126" i="52"/>
  <c r="P16" i="34"/>
  <c r="T16" i="34" s="1"/>
  <c r="U16" i="34" s="1"/>
  <c r="U126" i="34"/>
  <c r="I107" i="43"/>
  <c r="E46" i="56"/>
  <c r="H73" i="56" s="1"/>
  <c r="H94" i="56" s="1"/>
  <c r="I94" i="56" s="1"/>
  <c r="P38" i="34"/>
  <c r="U38" i="34" s="1"/>
  <c r="P41" i="52"/>
  <c r="U41" i="52" s="1"/>
  <c r="P14" i="34"/>
  <c r="T14" i="34" s="1"/>
  <c r="U14" i="34" s="1"/>
  <c r="P29" i="52"/>
  <c r="T29" i="52" s="1"/>
  <c r="U29" i="52" s="1"/>
  <c r="P40" i="34"/>
  <c r="U40" i="34" s="1"/>
  <c r="P113" i="34"/>
  <c r="U113" i="34" s="1"/>
  <c r="P43" i="34"/>
  <c r="U43" i="34" s="1"/>
  <c r="P23" i="34"/>
  <c r="T23" i="34" s="1"/>
  <c r="U23" i="34" s="1"/>
  <c r="P43" i="52"/>
  <c r="U43" i="52" s="1"/>
  <c r="P39" i="34"/>
  <c r="U39" i="34" s="1"/>
  <c r="P20" i="52"/>
  <c r="T20" i="52" s="1"/>
  <c r="U20" i="52" s="1"/>
  <c r="P21" i="34"/>
  <c r="T21" i="34" s="1"/>
  <c r="U21" i="34" s="1"/>
  <c r="P25" i="52"/>
  <c r="T25" i="52" s="1"/>
  <c r="U25" i="52" s="1"/>
  <c r="H104" i="56"/>
  <c r="I107" i="56" s="1"/>
  <c r="P123" i="34"/>
  <c r="U123" i="34" s="1"/>
  <c r="P17" i="52"/>
  <c r="T17" i="52" s="1"/>
  <c r="U17" i="52" s="1"/>
  <c r="P26" i="34"/>
  <c r="T26" i="34" s="1"/>
  <c r="U26" i="34" s="1"/>
  <c r="P121" i="52"/>
  <c r="U121" i="52" s="1"/>
  <c r="P113" i="52"/>
  <c r="U113" i="52" s="1"/>
  <c r="H30" i="60"/>
  <c r="E47" i="60" s="1"/>
  <c r="P41" i="34"/>
  <c r="U41" i="34" s="1"/>
  <c r="P21" i="52"/>
  <c r="T21" i="52" s="1"/>
  <c r="U21" i="52" s="1"/>
  <c r="P15" i="34"/>
  <c r="T15" i="34" s="1"/>
  <c r="U15" i="34" s="1"/>
  <c r="P19" i="52"/>
  <c r="T19" i="52" s="1"/>
  <c r="U19" i="52" s="1"/>
  <c r="H79" i="7"/>
  <c r="H85" i="7" s="1"/>
  <c r="I85" i="7" s="1"/>
  <c r="H76" i="7"/>
  <c r="H92" i="7" s="1"/>
  <c r="I92" i="7" s="1"/>
  <c r="H70" i="7"/>
  <c r="H105" i="7"/>
  <c r="H82" i="7"/>
  <c r="H90" i="7" s="1"/>
  <c r="I90" i="7" s="1"/>
  <c r="I46" i="76"/>
  <c r="I46" i="39"/>
  <c r="P121" i="34"/>
  <c r="U121" i="34" s="1"/>
  <c r="P24" i="34"/>
  <c r="T24" i="34" s="1"/>
  <c r="U24" i="34" s="1"/>
  <c r="I46" i="47"/>
  <c r="C107" i="43"/>
  <c r="I46" i="51"/>
  <c r="P14" i="52"/>
  <c r="P23" i="52"/>
  <c r="T23" i="52" s="1"/>
  <c r="U23" i="52" s="1"/>
  <c r="K30" i="75"/>
  <c r="I46" i="56"/>
  <c r="I46" i="48"/>
  <c r="I46" i="37"/>
  <c r="P42" i="34"/>
  <c r="U42" i="34" s="1"/>
  <c r="P29" i="34"/>
  <c r="T29" i="34" s="1"/>
  <c r="U29" i="34" s="1"/>
  <c r="P22" i="52"/>
  <c r="T22" i="52" s="1"/>
  <c r="U22" i="52" s="1"/>
  <c r="P18" i="52"/>
  <c r="T18" i="52" s="1"/>
  <c r="U18" i="52" s="1"/>
  <c r="I46" i="50"/>
  <c r="I46" i="24"/>
  <c r="I46" i="27"/>
  <c r="P28" i="34"/>
  <c r="T28" i="34" s="1"/>
  <c r="U28" i="34" s="1"/>
  <c r="P22" i="34"/>
  <c r="T22" i="34" s="1"/>
  <c r="U22" i="34" s="1"/>
  <c r="P122" i="52"/>
  <c r="U122" i="52" s="1"/>
  <c r="P27" i="52"/>
  <c r="T27" i="52" s="1"/>
  <c r="U27" i="52" s="1"/>
  <c r="P39" i="52"/>
  <c r="U39" i="52" s="1"/>
  <c r="I46" i="35"/>
  <c r="P17" i="34"/>
  <c r="T17" i="34" s="1"/>
  <c r="U17" i="34" s="1"/>
  <c r="I46" i="77"/>
  <c r="P26" i="52"/>
  <c r="T26" i="52" s="1"/>
  <c r="U26" i="52" s="1"/>
  <c r="P123" i="52"/>
  <c r="U123" i="52" s="1"/>
  <c r="P28" i="52"/>
  <c r="T28" i="52" s="1"/>
  <c r="U28" i="52" s="1"/>
  <c r="I46" i="45"/>
  <c r="I46" i="42"/>
  <c r="I46" i="25"/>
  <c r="I46" i="68"/>
  <c r="I46" i="69"/>
  <c r="I46" i="34"/>
  <c r="I46" i="57"/>
  <c r="P122" i="34"/>
  <c r="U122" i="34" s="1"/>
  <c r="P27" i="34"/>
  <c r="T27" i="34" s="1"/>
  <c r="U27" i="34" s="1"/>
  <c r="P16" i="52"/>
  <c r="T16" i="52" s="1"/>
  <c r="U16" i="52" s="1"/>
  <c r="P40" i="52"/>
  <c r="U40" i="52" s="1"/>
  <c r="I46" i="31"/>
  <c r="I46" i="52"/>
  <c r="I46" i="40"/>
  <c r="I46" i="36"/>
  <c r="I46" i="22"/>
  <c r="I46" i="44"/>
  <c r="I46" i="28"/>
  <c r="P19" i="34"/>
  <c r="T19" i="34" s="1"/>
  <c r="U19" i="34" s="1"/>
  <c r="P15" i="52"/>
  <c r="T15" i="52" s="1"/>
  <c r="U15" i="52" s="1"/>
  <c r="I46" i="55"/>
  <c r="P25" i="34"/>
  <c r="T25" i="34" s="1"/>
  <c r="U25" i="34" s="1"/>
  <c r="P20" i="34"/>
  <c r="T20" i="34" s="1"/>
  <c r="U20" i="34" s="1"/>
  <c r="I46" i="21"/>
  <c r="P38" i="52"/>
  <c r="U38" i="52" s="1"/>
  <c r="I46" i="58"/>
  <c r="P18" i="34"/>
  <c r="T18" i="34" s="1"/>
  <c r="U18" i="34" s="1"/>
  <c r="I46" i="38"/>
  <c r="P24" i="52"/>
  <c r="T24" i="52" s="1"/>
  <c r="U24" i="52" s="1"/>
  <c r="I46" i="78"/>
  <c r="I46" i="71"/>
  <c r="E46" i="7"/>
  <c r="C72" i="7"/>
  <c r="E46" i="34"/>
  <c r="C72" i="34"/>
  <c r="E46" i="24"/>
  <c r="C72" i="24"/>
  <c r="E46" i="42"/>
  <c r="C72" i="42"/>
  <c r="E46" i="71"/>
  <c r="C72" i="71"/>
  <c r="E46" i="76"/>
  <c r="C72" i="76"/>
  <c r="E46" i="22"/>
  <c r="C72" i="22"/>
  <c r="E46" i="48"/>
  <c r="C72" i="48"/>
  <c r="E46" i="39"/>
  <c r="C72" i="39"/>
  <c r="E46" i="40"/>
  <c r="C72" i="40"/>
  <c r="E46" i="51"/>
  <c r="C72" i="51"/>
  <c r="E46" i="45"/>
  <c r="C72" i="45"/>
  <c r="E46" i="17"/>
  <c r="C72" i="17"/>
  <c r="E46" i="25"/>
  <c r="C72" i="25"/>
  <c r="E46" i="38"/>
  <c r="C72" i="38"/>
  <c r="E46" i="31"/>
  <c r="C72" i="31"/>
  <c r="E46" i="23"/>
  <c r="C72" i="23"/>
  <c r="E46" i="70"/>
  <c r="C72" i="70"/>
  <c r="E46" i="21"/>
  <c r="C72" i="21"/>
  <c r="E46" i="20"/>
  <c r="C72" i="20"/>
  <c r="E46" i="77"/>
  <c r="C72" i="77"/>
  <c r="E46" i="30"/>
  <c r="C72" i="30"/>
  <c r="E46" i="69"/>
  <c r="C72" i="69"/>
  <c r="E46" i="44"/>
  <c r="C72" i="44"/>
  <c r="E46" i="28"/>
  <c r="C72" i="28"/>
  <c r="E46" i="68"/>
  <c r="C72" i="68"/>
  <c r="E46" i="58"/>
  <c r="C72" i="58"/>
  <c r="E46" i="37"/>
  <c r="C72" i="37"/>
  <c r="E46" i="35"/>
  <c r="C72" i="35"/>
  <c r="E46" i="78"/>
  <c r="C72" i="78"/>
  <c r="E46" i="66"/>
  <c r="C72" i="66"/>
  <c r="H73" i="43"/>
  <c r="E46" i="47"/>
  <c r="C72" i="47"/>
  <c r="E46" i="50"/>
  <c r="C72" i="50"/>
  <c r="E46" i="36"/>
  <c r="C72" i="36"/>
  <c r="E46" i="32"/>
  <c r="C72" i="32"/>
  <c r="H73" i="32" s="1"/>
  <c r="E46" i="16"/>
  <c r="C72" i="16"/>
  <c r="E46" i="52"/>
  <c r="C72" i="52"/>
  <c r="E46" i="55"/>
  <c r="C72" i="55"/>
  <c r="E46" i="18"/>
  <c r="C72" i="18"/>
  <c r="E46" i="57"/>
  <c r="C72" i="57"/>
  <c r="E46" i="67"/>
  <c r="C72" i="67"/>
  <c r="E46" i="26"/>
  <c r="C72" i="26"/>
  <c r="E46" i="75"/>
  <c r="C72" i="75"/>
  <c r="E46" i="27"/>
  <c r="C72" i="27"/>
  <c r="I30" i="16"/>
  <c r="F51" i="33"/>
  <c r="I51" i="33" s="1"/>
  <c r="F52" i="33"/>
  <c r="I52" i="33" s="1"/>
  <c r="F52" i="43"/>
  <c r="I52" i="43" s="1"/>
  <c r="F51" i="43"/>
  <c r="I51" i="43" s="1"/>
  <c r="I30" i="17"/>
  <c r="I23" i="60"/>
  <c r="I85" i="34"/>
  <c r="I92" i="34"/>
  <c r="I90" i="34"/>
  <c r="I90" i="52"/>
  <c r="I107" i="71"/>
  <c r="I30" i="32"/>
  <c r="C107" i="71"/>
  <c r="I107" i="52"/>
  <c r="C107" i="52"/>
  <c r="C107" i="76"/>
  <c r="I92" i="52"/>
  <c r="I85" i="52"/>
  <c r="H88" i="52"/>
  <c r="I88" i="52" s="1"/>
  <c r="I107" i="76"/>
  <c r="I45" i="60"/>
  <c r="I16" i="60"/>
  <c r="C107" i="7"/>
  <c r="I30" i="7"/>
  <c r="C107" i="34"/>
  <c r="I46" i="75"/>
  <c r="I30" i="67"/>
  <c r="C107" i="21"/>
  <c r="I107" i="44"/>
  <c r="I19" i="60"/>
  <c r="I17" i="60"/>
  <c r="I30" i="70"/>
  <c r="I30" i="20"/>
  <c r="I107" i="40"/>
  <c r="I107" i="48"/>
  <c r="C107" i="22"/>
  <c r="H104" i="22"/>
  <c r="I107" i="22" s="1"/>
  <c r="P14" i="76"/>
  <c r="P29" i="76"/>
  <c r="T29" i="76" s="1"/>
  <c r="U29" i="76" s="1"/>
  <c r="P24" i="76"/>
  <c r="T24" i="76" s="1"/>
  <c r="U24" i="76" s="1"/>
  <c r="P38" i="76"/>
  <c r="U38" i="76" s="1"/>
  <c r="P41" i="76"/>
  <c r="U41" i="76" s="1"/>
  <c r="P19" i="76"/>
  <c r="T19" i="76" s="1"/>
  <c r="U19" i="76" s="1"/>
  <c r="P122" i="76"/>
  <c r="U122" i="76" s="1"/>
  <c r="P16" i="76"/>
  <c r="T16" i="76" s="1"/>
  <c r="U16" i="76" s="1"/>
  <c r="P26" i="76"/>
  <c r="T26" i="76" s="1"/>
  <c r="U26" i="76" s="1"/>
  <c r="P21" i="76"/>
  <c r="T21" i="76" s="1"/>
  <c r="U21" i="76" s="1"/>
  <c r="P28" i="76"/>
  <c r="T28" i="76" s="1"/>
  <c r="U28" i="76" s="1"/>
  <c r="P39" i="76"/>
  <c r="U39" i="76" s="1"/>
  <c r="P42" i="76"/>
  <c r="U42" i="76" s="1"/>
  <c r="P18" i="76"/>
  <c r="T18" i="76" s="1"/>
  <c r="U18" i="76" s="1"/>
  <c r="P23" i="76"/>
  <c r="T23" i="76" s="1"/>
  <c r="U23" i="76" s="1"/>
  <c r="P121" i="76"/>
  <c r="U121" i="76" s="1"/>
  <c r="P15" i="76"/>
  <c r="T15" i="76" s="1"/>
  <c r="U15" i="76" s="1"/>
  <c r="P25" i="76"/>
  <c r="T25" i="76" s="1"/>
  <c r="U25" i="76" s="1"/>
  <c r="P27" i="76"/>
  <c r="T27" i="76" s="1"/>
  <c r="U27" i="76" s="1"/>
  <c r="P20" i="76"/>
  <c r="T20" i="76" s="1"/>
  <c r="U20" i="76" s="1"/>
  <c r="P40" i="76"/>
  <c r="U40" i="76" s="1"/>
  <c r="P17" i="76"/>
  <c r="T17" i="76" s="1"/>
  <c r="U17" i="76" s="1"/>
  <c r="P43" i="76"/>
  <c r="U43" i="76" s="1"/>
  <c r="P113" i="76"/>
  <c r="U113" i="76" s="1"/>
  <c r="P22" i="76"/>
  <c r="T22" i="76" s="1"/>
  <c r="U22" i="76" s="1"/>
  <c r="P123" i="76"/>
  <c r="U123" i="76" s="1"/>
  <c r="C107" i="44"/>
  <c r="I85" i="24"/>
  <c r="I90" i="24"/>
  <c r="I92" i="24"/>
  <c r="H88" i="24"/>
  <c r="I88" i="24" s="1"/>
  <c r="P18" i="70"/>
  <c r="T18" i="70" s="1"/>
  <c r="U18" i="70" s="1"/>
  <c r="P23" i="70"/>
  <c r="T23" i="70" s="1"/>
  <c r="U23" i="70" s="1"/>
  <c r="P121" i="70"/>
  <c r="U121" i="70" s="1"/>
  <c r="P15" i="70"/>
  <c r="T15" i="70" s="1"/>
  <c r="U15" i="70" s="1"/>
  <c r="P25" i="70"/>
  <c r="T25" i="70" s="1"/>
  <c r="U25" i="70" s="1"/>
  <c r="P19" i="70"/>
  <c r="T19" i="70" s="1"/>
  <c r="U19" i="70" s="1"/>
  <c r="P122" i="70"/>
  <c r="U122" i="70" s="1"/>
  <c r="P22" i="70"/>
  <c r="T22" i="70" s="1"/>
  <c r="U22" i="70" s="1"/>
  <c r="P27" i="70"/>
  <c r="T27" i="70" s="1"/>
  <c r="U27" i="70" s="1"/>
  <c r="P40" i="70"/>
  <c r="U40" i="70" s="1"/>
  <c r="P20" i="70"/>
  <c r="T20" i="70" s="1"/>
  <c r="U20" i="70" s="1"/>
  <c r="P16" i="70"/>
  <c r="T16" i="70" s="1"/>
  <c r="U16" i="70" s="1"/>
  <c r="P41" i="70"/>
  <c r="U41" i="70" s="1"/>
  <c r="P14" i="70"/>
  <c r="P21" i="70"/>
  <c r="T21" i="70" s="1"/>
  <c r="U21" i="70" s="1"/>
  <c r="P26" i="70"/>
  <c r="T26" i="70" s="1"/>
  <c r="U26" i="70" s="1"/>
  <c r="P28" i="70"/>
  <c r="T28" i="70" s="1"/>
  <c r="U28" i="70" s="1"/>
  <c r="P42" i="70"/>
  <c r="U42" i="70" s="1"/>
  <c r="P38" i="70"/>
  <c r="U38" i="70" s="1"/>
  <c r="P43" i="70"/>
  <c r="U43" i="70" s="1"/>
  <c r="P123" i="70"/>
  <c r="U123" i="70" s="1"/>
  <c r="P113" i="70"/>
  <c r="U113" i="70" s="1"/>
  <c r="P24" i="70"/>
  <c r="T24" i="70" s="1"/>
  <c r="U24" i="70" s="1"/>
  <c r="P29" i="70"/>
  <c r="T29" i="70" s="1"/>
  <c r="U29" i="70" s="1"/>
  <c r="P17" i="70"/>
  <c r="T17" i="70" s="1"/>
  <c r="U17" i="70" s="1"/>
  <c r="P39" i="70"/>
  <c r="U39" i="70" s="1"/>
  <c r="C107" i="50"/>
  <c r="H104" i="50"/>
  <c r="I107" i="50" s="1"/>
  <c r="H105" i="35"/>
  <c r="I107" i="35" s="1"/>
  <c r="C107" i="35"/>
  <c r="P18" i="35"/>
  <c r="T18" i="35" s="1"/>
  <c r="U18" i="35" s="1"/>
  <c r="P23" i="35"/>
  <c r="T23" i="35" s="1"/>
  <c r="U23" i="35" s="1"/>
  <c r="P121" i="35"/>
  <c r="U121" i="35" s="1"/>
  <c r="P113" i="35"/>
  <c r="U113" i="35" s="1"/>
  <c r="P15" i="35"/>
  <c r="T15" i="35" s="1"/>
  <c r="U15" i="35" s="1"/>
  <c r="P25" i="35"/>
  <c r="T25" i="35" s="1"/>
  <c r="U25" i="35" s="1"/>
  <c r="P20" i="35"/>
  <c r="T20" i="35" s="1"/>
  <c r="U20" i="35" s="1"/>
  <c r="P40" i="35"/>
  <c r="U40" i="35" s="1"/>
  <c r="P43" i="35"/>
  <c r="U43" i="35" s="1"/>
  <c r="P123" i="35"/>
  <c r="U123" i="35" s="1"/>
  <c r="P27" i="35"/>
  <c r="T27" i="35" s="1"/>
  <c r="U27" i="35" s="1"/>
  <c r="P17" i="35"/>
  <c r="T17" i="35" s="1"/>
  <c r="U17" i="35" s="1"/>
  <c r="P22" i="35"/>
  <c r="T22" i="35" s="1"/>
  <c r="U22" i="35" s="1"/>
  <c r="P14" i="35"/>
  <c r="P29" i="35"/>
  <c r="T29" i="35" s="1"/>
  <c r="U29" i="35" s="1"/>
  <c r="P24" i="35"/>
  <c r="T24" i="35" s="1"/>
  <c r="U24" i="35" s="1"/>
  <c r="P38" i="35"/>
  <c r="U38" i="35" s="1"/>
  <c r="P41" i="35"/>
  <c r="U41" i="35" s="1"/>
  <c r="P19" i="35"/>
  <c r="T19" i="35" s="1"/>
  <c r="U19" i="35" s="1"/>
  <c r="P122" i="35"/>
  <c r="U122" i="35" s="1"/>
  <c r="P16" i="35"/>
  <c r="T16" i="35" s="1"/>
  <c r="U16" i="35" s="1"/>
  <c r="P26" i="35"/>
  <c r="T26" i="35" s="1"/>
  <c r="U26" i="35" s="1"/>
  <c r="P21" i="35"/>
  <c r="T21" i="35" s="1"/>
  <c r="U21" i="35" s="1"/>
  <c r="P39" i="35"/>
  <c r="U39" i="35" s="1"/>
  <c r="P42" i="35"/>
  <c r="U42" i="35" s="1"/>
  <c r="P28" i="35"/>
  <c r="T28" i="35" s="1"/>
  <c r="U28" i="35" s="1"/>
  <c r="I85" i="76"/>
  <c r="I90" i="76"/>
  <c r="I92" i="76"/>
  <c r="H88" i="76"/>
  <c r="I88" i="76" s="1"/>
  <c r="H104" i="37"/>
  <c r="I107" i="37" s="1"/>
  <c r="C107" i="37"/>
  <c r="I85" i="37"/>
  <c r="I90" i="37"/>
  <c r="I92" i="37"/>
  <c r="H88" i="37"/>
  <c r="I88" i="37" s="1"/>
  <c r="I92" i="47"/>
  <c r="H88" i="47"/>
  <c r="I88" i="47" s="1"/>
  <c r="I90" i="47"/>
  <c r="I85" i="47"/>
  <c r="H104" i="51"/>
  <c r="I107" i="51" s="1"/>
  <c r="C107" i="51"/>
  <c r="I85" i="44"/>
  <c r="I90" i="44"/>
  <c r="I92" i="44"/>
  <c r="H88" i="44"/>
  <c r="I88" i="44" s="1"/>
  <c r="P16" i="75"/>
  <c r="T16" i="75" s="1"/>
  <c r="U16" i="75" s="1"/>
  <c r="P15" i="75"/>
  <c r="T15" i="75" s="1"/>
  <c r="U15" i="75" s="1"/>
  <c r="P38" i="75"/>
  <c r="U38" i="75" s="1"/>
  <c r="P41" i="75"/>
  <c r="U41" i="75" s="1"/>
  <c r="P18" i="75"/>
  <c r="T18" i="75" s="1"/>
  <c r="U18" i="75" s="1"/>
  <c r="P26" i="75"/>
  <c r="T26" i="75" s="1"/>
  <c r="U26" i="75" s="1"/>
  <c r="P122" i="75"/>
  <c r="U122" i="75" s="1"/>
  <c r="P28" i="75"/>
  <c r="T28" i="75" s="1"/>
  <c r="U28" i="75" s="1"/>
  <c r="P23" i="75"/>
  <c r="T23" i="75" s="1"/>
  <c r="U23" i="75" s="1"/>
  <c r="P39" i="75"/>
  <c r="U39" i="75" s="1"/>
  <c r="P42" i="75"/>
  <c r="U42" i="75" s="1"/>
  <c r="P21" i="75"/>
  <c r="T21" i="75" s="1"/>
  <c r="U21" i="75" s="1"/>
  <c r="P121" i="75"/>
  <c r="U121" i="75" s="1"/>
  <c r="P25" i="75"/>
  <c r="T25" i="75" s="1"/>
  <c r="U25" i="75" s="1"/>
  <c r="P113" i="75"/>
  <c r="U113" i="75" s="1"/>
  <c r="P14" i="75"/>
  <c r="P19" i="75"/>
  <c r="T19" i="75" s="1"/>
  <c r="U19" i="75" s="1"/>
  <c r="P27" i="75"/>
  <c r="T27" i="75" s="1"/>
  <c r="U27" i="75" s="1"/>
  <c r="P40" i="75"/>
  <c r="U40" i="75" s="1"/>
  <c r="P43" i="75"/>
  <c r="U43" i="75" s="1"/>
  <c r="P123" i="75"/>
  <c r="U123" i="75" s="1"/>
  <c r="P17" i="75"/>
  <c r="T17" i="75" s="1"/>
  <c r="U17" i="75" s="1"/>
  <c r="P24" i="75"/>
  <c r="T24" i="75" s="1"/>
  <c r="U24" i="75" s="1"/>
  <c r="P20" i="75"/>
  <c r="T20" i="75" s="1"/>
  <c r="U20" i="75" s="1"/>
  <c r="P22" i="75"/>
  <c r="T22" i="75" s="1"/>
  <c r="U22" i="75" s="1"/>
  <c r="P29" i="75"/>
  <c r="T29" i="75" s="1"/>
  <c r="U29" i="75" s="1"/>
  <c r="P15" i="28"/>
  <c r="T15" i="28" s="1"/>
  <c r="U15" i="28" s="1"/>
  <c r="P25" i="28"/>
  <c r="T25" i="28" s="1"/>
  <c r="U25" i="28" s="1"/>
  <c r="P20" i="28"/>
  <c r="T20" i="28" s="1"/>
  <c r="U20" i="28" s="1"/>
  <c r="P40" i="28"/>
  <c r="U40" i="28" s="1"/>
  <c r="P43" i="28"/>
  <c r="U43" i="28" s="1"/>
  <c r="P123" i="28"/>
  <c r="U123" i="28" s="1"/>
  <c r="P27" i="28"/>
  <c r="T27" i="28" s="1"/>
  <c r="U27" i="28" s="1"/>
  <c r="P17" i="28"/>
  <c r="T17" i="28" s="1"/>
  <c r="U17" i="28" s="1"/>
  <c r="P22" i="28"/>
  <c r="T22" i="28" s="1"/>
  <c r="U22" i="28" s="1"/>
  <c r="P14" i="28"/>
  <c r="P29" i="28"/>
  <c r="T29" i="28" s="1"/>
  <c r="U29" i="28" s="1"/>
  <c r="P24" i="28"/>
  <c r="T24" i="28" s="1"/>
  <c r="U24" i="28" s="1"/>
  <c r="P38" i="28"/>
  <c r="U38" i="28" s="1"/>
  <c r="P41" i="28"/>
  <c r="U41" i="28" s="1"/>
  <c r="P19" i="28"/>
  <c r="T19" i="28" s="1"/>
  <c r="U19" i="28" s="1"/>
  <c r="P122" i="28"/>
  <c r="U122" i="28" s="1"/>
  <c r="P16" i="28"/>
  <c r="T16" i="28" s="1"/>
  <c r="U16" i="28" s="1"/>
  <c r="P26" i="28"/>
  <c r="T26" i="28" s="1"/>
  <c r="U26" i="28" s="1"/>
  <c r="P28" i="28"/>
  <c r="T28" i="28" s="1"/>
  <c r="U28" i="28" s="1"/>
  <c r="P39" i="28"/>
  <c r="U39" i="28" s="1"/>
  <c r="P42" i="28"/>
  <c r="U42" i="28" s="1"/>
  <c r="P18" i="28"/>
  <c r="T18" i="28" s="1"/>
  <c r="U18" i="28" s="1"/>
  <c r="P23" i="28"/>
  <c r="T23" i="28" s="1"/>
  <c r="U23" i="28" s="1"/>
  <c r="P121" i="28"/>
  <c r="U121" i="28" s="1"/>
  <c r="P21" i="28"/>
  <c r="T21" i="28" s="1"/>
  <c r="U21" i="28" s="1"/>
  <c r="P113" i="28"/>
  <c r="U113" i="28" s="1"/>
  <c r="H88" i="45"/>
  <c r="I88" i="45" s="1"/>
  <c r="I85" i="45"/>
  <c r="I90" i="45"/>
  <c r="I92" i="45"/>
  <c r="P28" i="50"/>
  <c r="T28" i="50" s="1"/>
  <c r="U28" i="50" s="1"/>
  <c r="P39" i="50"/>
  <c r="U39" i="50" s="1"/>
  <c r="P42" i="50"/>
  <c r="U42" i="50" s="1"/>
  <c r="P18" i="50"/>
  <c r="T18" i="50" s="1"/>
  <c r="U18" i="50" s="1"/>
  <c r="P23" i="50"/>
  <c r="T23" i="50" s="1"/>
  <c r="U23" i="50" s="1"/>
  <c r="P121" i="50"/>
  <c r="U121" i="50" s="1"/>
  <c r="P113" i="50"/>
  <c r="U113" i="50" s="1"/>
  <c r="P15" i="50"/>
  <c r="T15" i="50" s="1"/>
  <c r="U15" i="50" s="1"/>
  <c r="P25" i="50"/>
  <c r="T25" i="50" s="1"/>
  <c r="U25" i="50" s="1"/>
  <c r="P20" i="50"/>
  <c r="T20" i="50" s="1"/>
  <c r="U20" i="50" s="1"/>
  <c r="P40" i="50"/>
  <c r="U40" i="50" s="1"/>
  <c r="P43" i="50"/>
  <c r="U43" i="50" s="1"/>
  <c r="P123" i="50"/>
  <c r="U123" i="50" s="1"/>
  <c r="P27" i="50"/>
  <c r="T27" i="50" s="1"/>
  <c r="U27" i="50" s="1"/>
  <c r="P17" i="50"/>
  <c r="T17" i="50" s="1"/>
  <c r="U17" i="50" s="1"/>
  <c r="P22" i="50"/>
  <c r="T22" i="50" s="1"/>
  <c r="U22" i="50" s="1"/>
  <c r="P14" i="50"/>
  <c r="P29" i="50"/>
  <c r="T29" i="50" s="1"/>
  <c r="U29" i="50" s="1"/>
  <c r="P24" i="50"/>
  <c r="T24" i="50" s="1"/>
  <c r="U24" i="50" s="1"/>
  <c r="P38" i="50"/>
  <c r="U38" i="50" s="1"/>
  <c r="P41" i="50"/>
  <c r="U41" i="50" s="1"/>
  <c r="P19" i="50"/>
  <c r="T19" i="50" s="1"/>
  <c r="U19" i="50" s="1"/>
  <c r="P122" i="50"/>
  <c r="U122" i="50" s="1"/>
  <c r="P21" i="50"/>
  <c r="T21" i="50" s="1"/>
  <c r="U21" i="50" s="1"/>
  <c r="P16" i="50"/>
  <c r="T16" i="50" s="1"/>
  <c r="U16" i="50" s="1"/>
  <c r="P26" i="50"/>
  <c r="T26" i="50" s="1"/>
  <c r="U26" i="50" s="1"/>
  <c r="H88" i="57"/>
  <c r="I88" i="57" s="1"/>
  <c r="I85" i="57"/>
  <c r="I90" i="57"/>
  <c r="I92" i="57"/>
  <c r="I85" i="20"/>
  <c r="I90" i="20"/>
  <c r="I92" i="20"/>
  <c r="H88" i="20"/>
  <c r="I88" i="20" s="1"/>
  <c r="C107" i="39"/>
  <c r="H104" i="39"/>
  <c r="I107" i="39" s="1"/>
  <c r="C107" i="57"/>
  <c r="H104" i="57"/>
  <c r="I107" i="57" s="1"/>
  <c r="C107" i="36"/>
  <c r="H104" i="36"/>
  <c r="I107" i="36" s="1"/>
  <c r="H104" i="47"/>
  <c r="I107" i="47" s="1"/>
  <c r="C107" i="47"/>
  <c r="I85" i="28"/>
  <c r="I90" i="28"/>
  <c r="I92" i="28"/>
  <c r="H88" i="28"/>
  <c r="I88" i="28" s="1"/>
  <c r="I85" i="17"/>
  <c r="I92" i="17"/>
  <c r="H88" i="17"/>
  <c r="I88" i="17" s="1"/>
  <c r="I90" i="17"/>
  <c r="C107" i="17"/>
  <c r="H104" i="17"/>
  <c r="I107" i="17" s="1"/>
  <c r="H88" i="43"/>
  <c r="I88" i="43" s="1"/>
  <c r="I85" i="43"/>
  <c r="I90" i="43"/>
  <c r="I92" i="43"/>
  <c r="P18" i="37"/>
  <c r="T18" i="37" s="1"/>
  <c r="U18" i="37" s="1"/>
  <c r="P23" i="37"/>
  <c r="T23" i="37" s="1"/>
  <c r="U23" i="37" s="1"/>
  <c r="P121" i="37"/>
  <c r="U121" i="37" s="1"/>
  <c r="P15" i="37"/>
  <c r="T15" i="37" s="1"/>
  <c r="U15" i="37" s="1"/>
  <c r="P25" i="37"/>
  <c r="T25" i="37" s="1"/>
  <c r="U25" i="37" s="1"/>
  <c r="P20" i="37"/>
  <c r="T20" i="37" s="1"/>
  <c r="U20" i="37" s="1"/>
  <c r="P40" i="37"/>
  <c r="U40" i="37" s="1"/>
  <c r="P43" i="37"/>
  <c r="U43" i="37" s="1"/>
  <c r="P123" i="37"/>
  <c r="U123" i="37" s="1"/>
  <c r="P27" i="37"/>
  <c r="T27" i="37" s="1"/>
  <c r="U27" i="37" s="1"/>
  <c r="P17" i="37"/>
  <c r="T17" i="37" s="1"/>
  <c r="U17" i="37" s="1"/>
  <c r="P22" i="37"/>
  <c r="T22" i="37" s="1"/>
  <c r="U22" i="37" s="1"/>
  <c r="P14" i="37"/>
  <c r="P29" i="37"/>
  <c r="T29" i="37" s="1"/>
  <c r="U29" i="37" s="1"/>
  <c r="P24" i="37"/>
  <c r="T24" i="37" s="1"/>
  <c r="U24" i="37" s="1"/>
  <c r="P38" i="37"/>
  <c r="U38" i="37" s="1"/>
  <c r="P41" i="37"/>
  <c r="U41" i="37" s="1"/>
  <c r="P19" i="37"/>
  <c r="T19" i="37" s="1"/>
  <c r="U19" i="37" s="1"/>
  <c r="P16" i="37"/>
  <c r="T16" i="37" s="1"/>
  <c r="U16" i="37" s="1"/>
  <c r="P26" i="37"/>
  <c r="T26" i="37" s="1"/>
  <c r="U26" i="37" s="1"/>
  <c r="P21" i="37"/>
  <c r="T21" i="37" s="1"/>
  <c r="U21" i="37" s="1"/>
  <c r="P39" i="37"/>
  <c r="U39" i="37" s="1"/>
  <c r="P122" i="37"/>
  <c r="U122" i="37" s="1"/>
  <c r="P113" i="37"/>
  <c r="U113" i="37" s="1"/>
  <c r="P42" i="37"/>
  <c r="U42" i="37" s="1"/>
  <c r="P28" i="37"/>
  <c r="T28" i="37" s="1"/>
  <c r="U28" i="37" s="1"/>
  <c r="P17" i="47"/>
  <c r="T17" i="47" s="1"/>
  <c r="U17" i="47" s="1"/>
  <c r="P22" i="47"/>
  <c r="T22" i="47" s="1"/>
  <c r="U22" i="47" s="1"/>
  <c r="P14" i="47"/>
  <c r="P29" i="47"/>
  <c r="T29" i="47" s="1"/>
  <c r="U29" i="47" s="1"/>
  <c r="P24" i="47"/>
  <c r="T24" i="47" s="1"/>
  <c r="U24" i="47" s="1"/>
  <c r="P19" i="47"/>
  <c r="T19" i="47" s="1"/>
  <c r="U19" i="47" s="1"/>
  <c r="P15" i="47"/>
  <c r="T15" i="47" s="1"/>
  <c r="U15" i="47" s="1"/>
  <c r="P39" i="47"/>
  <c r="U39" i="47" s="1"/>
  <c r="P43" i="47"/>
  <c r="U43" i="47" s="1"/>
  <c r="P121" i="47"/>
  <c r="U121" i="47" s="1"/>
  <c r="P27" i="47"/>
  <c r="T27" i="47" s="1"/>
  <c r="U27" i="47" s="1"/>
  <c r="P113" i="47"/>
  <c r="U113" i="47" s="1"/>
  <c r="P25" i="47"/>
  <c r="T25" i="47" s="1"/>
  <c r="U25" i="47" s="1"/>
  <c r="P20" i="47"/>
  <c r="T20" i="47" s="1"/>
  <c r="U20" i="47" s="1"/>
  <c r="P40" i="47"/>
  <c r="U40" i="47" s="1"/>
  <c r="P123" i="47"/>
  <c r="U123" i="47" s="1"/>
  <c r="P23" i="47"/>
  <c r="T23" i="47" s="1"/>
  <c r="U23" i="47" s="1"/>
  <c r="P28" i="47"/>
  <c r="T28" i="47" s="1"/>
  <c r="U28" i="47" s="1"/>
  <c r="P41" i="47"/>
  <c r="U41" i="47" s="1"/>
  <c r="P18" i="47"/>
  <c r="T18" i="47" s="1"/>
  <c r="U18" i="47" s="1"/>
  <c r="P26" i="47"/>
  <c r="T26" i="47" s="1"/>
  <c r="U26" i="47" s="1"/>
  <c r="P21" i="47"/>
  <c r="T21" i="47" s="1"/>
  <c r="U21" i="47" s="1"/>
  <c r="P16" i="47"/>
  <c r="T16" i="47" s="1"/>
  <c r="U16" i="47" s="1"/>
  <c r="P42" i="47"/>
  <c r="U42" i="47" s="1"/>
  <c r="P122" i="47"/>
  <c r="U122" i="47" s="1"/>
  <c r="P38" i="47"/>
  <c r="U38" i="47" s="1"/>
  <c r="P14" i="39"/>
  <c r="P29" i="39"/>
  <c r="T29" i="39" s="1"/>
  <c r="U29" i="39" s="1"/>
  <c r="P24" i="39"/>
  <c r="T24" i="39" s="1"/>
  <c r="U24" i="39" s="1"/>
  <c r="P38" i="39"/>
  <c r="U38" i="39" s="1"/>
  <c r="P41" i="39"/>
  <c r="U41" i="39" s="1"/>
  <c r="P19" i="39"/>
  <c r="T19" i="39" s="1"/>
  <c r="U19" i="39" s="1"/>
  <c r="P122" i="39"/>
  <c r="U122" i="39" s="1"/>
  <c r="P16" i="39"/>
  <c r="T16" i="39" s="1"/>
  <c r="U16" i="39" s="1"/>
  <c r="P26" i="39"/>
  <c r="T26" i="39" s="1"/>
  <c r="U26" i="39" s="1"/>
  <c r="P21" i="39"/>
  <c r="T21" i="39" s="1"/>
  <c r="U21" i="39" s="1"/>
  <c r="P28" i="39"/>
  <c r="T28" i="39" s="1"/>
  <c r="U28" i="39" s="1"/>
  <c r="P39" i="39"/>
  <c r="U39" i="39" s="1"/>
  <c r="P42" i="39"/>
  <c r="U42" i="39" s="1"/>
  <c r="P18" i="39"/>
  <c r="T18" i="39" s="1"/>
  <c r="U18" i="39" s="1"/>
  <c r="P23" i="39"/>
  <c r="T23" i="39" s="1"/>
  <c r="U23" i="39" s="1"/>
  <c r="P121" i="39"/>
  <c r="U121" i="39" s="1"/>
  <c r="P113" i="39"/>
  <c r="U113" i="39" s="1"/>
  <c r="P15" i="39"/>
  <c r="T15" i="39" s="1"/>
  <c r="U15" i="39" s="1"/>
  <c r="P25" i="39"/>
  <c r="T25" i="39" s="1"/>
  <c r="U25" i="39" s="1"/>
  <c r="P20" i="39"/>
  <c r="T20" i="39" s="1"/>
  <c r="U20" i="39" s="1"/>
  <c r="P40" i="39"/>
  <c r="U40" i="39" s="1"/>
  <c r="P43" i="39"/>
  <c r="U43" i="39" s="1"/>
  <c r="P123" i="39"/>
  <c r="U123" i="39" s="1"/>
  <c r="P27" i="39"/>
  <c r="T27" i="39" s="1"/>
  <c r="U27" i="39" s="1"/>
  <c r="P22" i="39"/>
  <c r="T22" i="39" s="1"/>
  <c r="U22" i="39" s="1"/>
  <c r="P17" i="39"/>
  <c r="T17" i="39" s="1"/>
  <c r="U17" i="39" s="1"/>
  <c r="P20" i="44"/>
  <c r="T20" i="44" s="1"/>
  <c r="U20" i="44" s="1"/>
  <c r="P40" i="44"/>
  <c r="U40" i="44" s="1"/>
  <c r="P43" i="44"/>
  <c r="U43" i="44" s="1"/>
  <c r="P27" i="44"/>
  <c r="T27" i="44" s="1"/>
  <c r="U27" i="44" s="1"/>
  <c r="P17" i="44"/>
  <c r="T17" i="44" s="1"/>
  <c r="U17" i="44" s="1"/>
  <c r="P22" i="44"/>
  <c r="T22" i="44" s="1"/>
  <c r="U22" i="44" s="1"/>
  <c r="P14" i="44"/>
  <c r="P24" i="44"/>
  <c r="T24" i="44" s="1"/>
  <c r="U24" i="44" s="1"/>
  <c r="P38" i="44"/>
  <c r="U38" i="44" s="1"/>
  <c r="P41" i="44"/>
  <c r="U41" i="44" s="1"/>
  <c r="P19" i="44"/>
  <c r="T19" i="44" s="1"/>
  <c r="U19" i="44" s="1"/>
  <c r="P21" i="44"/>
  <c r="T21" i="44" s="1"/>
  <c r="U21" i="44" s="1"/>
  <c r="P26" i="44"/>
  <c r="T26" i="44" s="1"/>
  <c r="U26" i="44" s="1"/>
  <c r="P23" i="44"/>
  <c r="T23" i="44" s="1"/>
  <c r="U23" i="44" s="1"/>
  <c r="P29" i="44"/>
  <c r="T29" i="44" s="1"/>
  <c r="U29" i="44" s="1"/>
  <c r="P121" i="44"/>
  <c r="U121" i="44" s="1"/>
  <c r="P113" i="44"/>
  <c r="U113" i="44" s="1"/>
  <c r="P18" i="44"/>
  <c r="T18" i="44" s="1"/>
  <c r="U18" i="44" s="1"/>
  <c r="P42" i="44"/>
  <c r="U42" i="44" s="1"/>
  <c r="P123" i="44"/>
  <c r="U123" i="44" s="1"/>
  <c r="P16" i="44"/>
  <c r="T16" i="44" s="1"/>
  <c r="U16" i="44" s="1"/>
  <c r="P39" i="44"/>
  <c r="U39" i="44" s="1"/>
  <c r="P28" i="44"/>
  <c r="T28" i="44" s="1"/>
  <c r="U28" i="44" s="1"/>
  <c r="P122" i="44"/>
  <c r="U122" i="44" s="1"/>
  <c r="P25" i="44"/>
  <c r="T25" i="44" s="1"/>
  <c r="U25" i="44" s="1"/>
  <c r="P15" i="44"/>
  <c r="T15" i="44" s="1"/>
  <c r="U15" i="44" s="1"/>
  <c r="P20" i="42"/>
  <c r="T20" i="42" s="1"/>
  <c r="U20" i="42" s="1"/>
  <c r="P40" i="42"/>
  <c r="U40" i="42" s="1"/>
  <c r="P43" i="42"/>
  <c r="U43" i="42" s="1"/>
  <c r="P123" i="42"/>
  <c r="U123" i="42" s="1"/>
  <c r="P27" i="42"/>
  <c r="T27" i="42" s="1"/>
  <c r="U27" i="42" s="1"/>
  <c r="P17" i="42"/>
  <c r="T17" i="42" s="1"/>
  <c r="U17" i="42" s="1"/>
  <c r="P22" i="42"/>
  <c r="T22" i="42" s="1"/>
  <c r="U22" i="42" s="1"/>
  <c r="P14" i="42"/>
  <c r="P29" i="42"/>
  <c r="T29" i="42" s="1"/>
  <c r="U29" i="42" s="1"/>
  <c r="P19" i="42"/>
  <c r="T19" i="42" s="1"/>
  <c r="U19" i="42" s="1"/>
  <c r="P122" i="42"/>
  <c r="U122" i="42" s="1"/>
  <c r="P16" i="42"/>
  <c r="T16" i="42" s="1"/>
  <c r="U16" i="42" s="1"/>
  <c r="P26" i="42"/>
  <c r="T26" i="42" s="1"/>
  <c r="U26" i="42" s="1"/>
  <c r="P21" i="42"/>
  <c r="T21" i="42" s="1"/>
  <c r="U21" i="42" s="1"/>
  <c r="P113" i="42"/>
  <c r="U113" i="42" s="1"/>
  <c r="P15" i="42"/>
  <c r="T15" i="42" s="1"/>
  <c r="U15" i="42" s="1"/>
  <c r="P18" i="42"/>
  <c r="T18" i="42" s="1"/>
  <c r="U18" i="42" s="1"/>
  <c r="P41" i="42"/>
  <c r="U41" i="42" s="1"/>
  <c r="P121" i="42"/>
  <c r="U121" i="42" s="1"/>
  <c r="P42" i="42"/>
  <c r="U42" i="42" s="1"/>
  <c r="P23" i="42"/>
  <c r="T23" i="42" s="1"/>
  <c r="U23" i="42" s="1"/>
  <c r="P24" i="42"/>
  <c r="T24" i="42" s="1"/>
  <c r="U24" i="42" s="1"/>
  <c r="P38" i="42"/>
  <c r="U38" i="42" s="1"/>
  <c r="P28" i="42"/>
  <c r="T28" i="42" s="1"/>
  <c r="U28" i="42" s="1"/>
  <c r="P39" i="42"/>
  <c r="U39" i="42" s="1"/>
  <c r="P25" i="42"/>
  <c r="T25" i="42" s="1"/>
  <c r="U25" i="42" s="1"/>
  <c r="H88" i="69"/>
  <c r="I88" i="69" s="1"/>
  <c r="I92" i="69"/>
  <c r="I90" i="69"/>
  <c r="I85" i="69"/>
  <c r="H104" i="75"/>
  <c r="I107" i="75" s="1"/>
  <c r="C107" i="75"/>
  <c r="P21" i="17"/>
  <c r="T21" i="17" s="1"/>
  <c r="U21" i="17" s="1"/>
  <c r="P28" i="17"/>
  <c r="T28" i="17" s="1"/>
  <c r="U28" i="17" s="1"/>
  <c r="P39" i="17"/>
  <c r="U39" i="17" s="1"/>
  <c r="P42" i="17"/>
  <c r="U42" i="17" s="1"/>
  <c r="P18" i="17"/>
  <c r="T18" i="17" s="1"/>
  <c r="U18" i="17" s="1"/>
  <c r="P23" i="17"/>
  <c r="T23" i="17" s="1"/>
  <c r="U23" i="17" s="1"/>
  <c r="P15" i="17"/>
  <c r="T15" i="17" s="1"/>
  <c r="U15" i="17" s="1"/>
  <c r="P25" i="17"/>
  <c r="T25" i="17" s="1"/>
  <c r="U25" i="17" s="1"/>
  <c r="P20" i="17"/>
  <c r="T20" i="17" s="1"/>
  <c r="U20" i="17" s="1"/>
  <c r="P40" i="17"/>
  <c r="U40" i="17" s="1"/>
  <c r="P43" i="17"/>
  <c r="U43" i="17" s="1"/>
  <c r="P123" i="17"/>
  <c r="U123" i="17" s="1"/>
  <c r="P17" i="17"/>
  <c r="T17" i="17" s="1"/>
  <c r="U17" i="17" s="1"/>
  <c r="P22" i="17"/>
  <c r="T22" i="17" s="1"/>
  <c r="U22" i="17" s="1"/>
  <c r="P19" i="17"/>
  <c r="T19" i="17" s="1"/>
  <c r="U19" i="17" s="1"/>
  <c r="P122" i="17"/>
  <c r="U122" i="17" s="1"/>
  <c r="P24" i="17"/>
  <c r="T24" i="17" s="1"/>
  <c r="U24" i="17" s="1"/>
  <c r="P14" i="17"/>
  <c r="P38" i="17"/>
  <c r="U38" i="17" s="1"/>
  <c r="P121" i="17"/>
  <c r="U121" i="17" s="1"/>
  <c r="P29" i="17"/>
  <c r="T29" i="17" s="1"/>
  <c r="U29" i="17" s="1"/>
  <c r="P41" i="17"/>
  <c r="U41" i="17" s="1"/>
  <c r="P26" i="17"/>
  <c r="T26" i="17" s="1"/>
  <c r="U26" i="17" s="1"/>
  <c r="P113" i="17"/>
  <c r="U113" i="17" s="1"/>
  <c r="P16" i="17"/>
  <c r="T16" i="17" s="1"/>
  <c r="U16" i="17" s="1"/>
  <c r="P27" i="17"/>
  <c r="T27" i="17" s="1"/>
  <c r="U27" i="17" s="1"/>
  <c r="C107" i="27"/>
  <c r="H104" i="27"/>
  <c r="I107" i="27" s="1"/>
  <c r="P18" i="45"/>
  <c r="T18" i="45" s="1"/>
  <c r="U18" i="45" s="1"/>
  <c r="P23" i="45"/>
  <c r="T23" i="45" s="1"/>
  <c r="U23" i="45" s="1"/>
  <c r="P121" i="45"/>
  <c r="U121" i="45" s="1"/>
  <c r="P113" i="45"/>
  <c r="U113" i="45" s="1"/>
  <c r="P15" i="45"/>
  <c r="T15" i="45" s="1"/>
  <c r="U15" i="45" s="1"/>
  <c r="P25" i="45"/>
  <c r="T25" i="45" s="1"/>
  <c r="U25" i="45" s="1"/>
  <c r="P20" i="45"/>
  <c r="T20" i="45" s="1"/>
  <c r="U20" i="45" s="1"/>
  <c r="P40" i="45"/>
  <c r="U40" i="45" s="1"/>
  <c r="P43" i="45"/>
  <c r="U43" i="45" s="1"/>
  <c r="P123" i="45"/>
  <c r="U123" i="45" s="1"/>
  <c r="P27" i="45"/>
  <c r="T27" i="45" s="1"/>
  <c r="U27" i="45" s="1"/>
  <c r="P17" i="45"/>
  <c r="T17" i="45" s="1"/>
  <c r="U17" i="45" s="1"/>
  <c r="P22" i="45"/>
  <c r="T22" i="45" s="1"/>
  <c r="U22" i="45" s="1"/>
  <c r="P14" i="45"/>
  <c r="P29" i="45"/>
  <c r="T29" i="45" s="1"/>
  <c r="U29" i="45" s="1"/>
  <c r="P24" i="45"/>
  <c r="T24" i="45" s="1"/>
  <c r="U24" i="45" s="1"/>
  <c r="P38" i="45"/>
  <c r="U38" i="45" s="1"/>
  <c r="P41" i="45"/>
  <c r="U41" i="45" s="1"/>
  <c r="P16" i="45"/>
  <c r="T16" i="45" s="1"/>
  <c r="U16" i="45" s="1"/>
  <c r="P26" i="45"/>
  <c r="T26" i="45" s="1"/>
  <c r="U26" i="45" s="1"/>
  <c r="P39" i="45"/>
  <c r="U39" i="45" s="1"/>
  <c r="P122" i="45"/>
  <c r="U122" i="45" s="1"/>
  <c r="P19" i="45"/>
  <c r="T19" i="45" s="1"/>
  <c r="U19" i="45" s="1"/>
  <c r="P28" i="45"/>
  <c r="T28" i="45" s="1"/>
  <c r="U28" i="45" s="1"/>
  <c r="P42" i="45"/>
  <c r="U42" i="45" s="1"/>
  <c r="P21" i="45"/>
  <c r="T21" i="45" s="1"/>
  <c r="U21" i="45" s="1"/>
  <c r="H104" i="66"/>
  <c r="I107" i="66" s="1"/>
  <c r="C107" i="66"/>
  <c r="P14" i="40"/>
  <c r="P24" i="40"/>
  <c r="T24" i="40" s="1"/>
  <c r="U24" i="40" s="1"/>
  <c r="P18" i="40"/>
  <c r="T18" i="40" s="1"/>
  <c r="U18" i="40" s="1"/>
  <c r="P23" i="40"/>
  <c r="T23" i="40" s="1"/>
  <c r="U23" i="40" s="1"/>
  <c r="P17" i="40"/>
  <c r="T17" i="40" s="1"/>
  <c r="U17" i="40" s="1"/>
  <c r="P40" i="40"/>
  <c r="U40" i="40" s="1"/>
  <c r="P43" i="40"/>
  <c r="U43" i="40" s="1"/>
  <c r="P123" i="40"/>
  <c r="U123" i="40" s="1"/>
  <c r="P20" i="40"/>
  <c r="T20" i="40" s="1"/>
  <c r="U20" i="40" s="1"/>
  <c r="P27" i="40"/>
  <c r="T27" i="40" s="1"/>
  <c r="U27" i="40" s="1"/>
  <c r="P15" i="40"/>
  <c r="T15" i="40" s="1"/>
  <c r="U15" i="40" s="1"/>
  <c r="P29" i="40"/>
  <c r="T29" i="40" s="1"/>
  <c r="U29" i="40" s="1"/>
  <c r="P38" i="40"/>
  <c r="U38" i="40" s="1"/>
  <c r="P41" i="40"/>
  <c r="U41" i="40" s="1"/>
  <c r="P122" i="40"/>
  <c r="U122" i="40" s="1"/>
  <c r="P21" i="40"/>
  <c r="T21" i="40" s="1"/>
  <c r="U21" i="40" s="1"/>
  <c r="P26" i="40"/>
  <c r="T26" i="40" s="1"/>
  <c r="U26" i="40" s="1"/>
  <c r="P16" i="40"/>
  <c r="T16" i="40" s="1"/>
  <c r="U16" i="40" s="1"/>
  <c r="P19" i="40"/>
  <c r="T19" i="40" s="1"/>
  <c r="U19" i="40" s="1"/>
  <c r="P28" i="40"/>
  <c r="T28" i="40" s="1"/>
  <c r="U28" i="40" s="1"/>
  <c r="P39" i="40"/>
  <c r="U39" i="40" s="1"/>
  <c r="P42" i="40"/>
  <c r="U42" i="40" s="1"/>
  <c r="P22" i="40"/>
  <c r="T22" i="40" s="1"/>
  <c r="U22" i="40" s="1"/>
  <c r="P121" i="40"/>
  <c r="U121" i="40" s="1"/>
  <c r="P113" i="40"/>
  <c r="U113" i="40" s="1"/>
  <c r="P25" i="40"/>
  <c r="T25" i="40" s="1"/>
  <c r="U25" i="40" s="1"/>
  <c r="H104" i="26"/>
  <c r="I107" i="26" s="1"/>
  <c r="C107" i="26"/>
  <c r="I85" i="39"/>
  <c r="I90" i="39"/>
  <c r="I92" i="39"/>
  <c r="H88" i="39"/>
  <c r="I88" i="39" s="1"/>
  <c r="I92" i="42"/>
  <c r="H88" i="42"/>
  <c r="I88" i="42" s="1"/>
  <c r="I90" i="42"/>
  <c r="I85" i="42"/>
  <c r="H88" i="31"/>
  <c r="I88" i="31" s="1"/>
  <c r="I85" i="31"/>
  <c r="I90" i="31"/>
  <c r="I92" i="31"/>
  <c r="C107" i="25"/>
  <c r="H104" i="25"/>
  <c r="I107" i="25" s="1"/>
  <c r="I30" i="66"/>
  <c r="I85" i="40"/>
  <c r="I90" i="40"/>
  <c r="I92" i="40"/>
  <c r="H88" i="40"/>
  <c r="I88" i="40" s="1"/>
  <c r="P15" i="21"/>
  <c r="T15" i="21" s="1"/>
  <c r="U15" i="21" s="1"/>
  <c r="P25" i="21"/>
  <c r="T25" i="21" s="1"/>
  <c r="U25" i="21" s="1"/>
  <c r="P20" i="21"/>
  <c r="T20" i="21" s="1"/>
  <c r="U20" i="21" s="1"/>
  <c r="P40" i="21"/>
  <c r="U40" i="21" s="1"/>
  <c r="P43" i="21"/>
  <c r="U43" i="21" s="1"/>
  <c r="P123" i="21"/>
  <c r="U123" i="21" s="1"/>
  <c r="P27" i="21"/>
  <c r="T27" i="21" s="1"/>
  <c r="U27" i="21" s="1"/>
  <c r="P17" i="21"/>
  <c r="T17" i="21" s="1"/>
  <c r="U17" i="21" s="1"/>
  <c r="P22" i="21"/>
  <c r="T22" i="21" s="1"/>
  <c r="U22" i="21" s="1"/>
  <c r="P14" i="21"/>
  <c r="P29" i="21"/>
  <c r="T29" i="21" s="1"/>
  <c r="U29" i="21" s="1"/>
  <c r="P24" i="21"/>
  <c r="T24" i="21" s="1"/>
  <c r="U24" i="21" s="1"/>
  <c r="P38" i="21"/>
  <c r="U38" i="21" s="1"/>
  <c r="P41" i="21"/>
  <c r="U41" i="21" s="1"/>
  <c r="P16" i="21"/>
  <c r="T16" i="21" s="1"/>
  <c r="U16" i="21" s="1"/>
  <c r="P26" i="21"/>
  <c r="T26" i="21" s="1"/>
  <c r="U26" i="21" s="1"/>
  <c r="P21" i="21"/>
  <c r="T21" i="21" s="1"/>
  <c r="U21" i="21" s="1"/>
  <c r="P28" i="21"/>
  <c r="T28" i="21" s="1"/>
  <c r="U28" i="21" s="1"/>
  <c r="P39" i="21"/>
  <c r="U39" i="21" s="1"/>
  <c r="P42" i="21"/>
  <c r="U42" i="21" s="1"/>
  <c r="P18" i="21"/>
  <c r="T18" i="21" s="1"/>
  <c r="U18" i="21" s="1"/>
  <c r="P23" i="21"/>
  <c r="T23" i="21" s="1"/>
  <c r="U23" i="21" s="1"/>
  <c r="P121" i="21"/>
  <c r="U121" i="21" s="1"/>
  <c r="P122" i="21"/>
  <c r="U122" i="21" s="1"/>
  <c r="P113" i="21"/>
  <c r="U113" i="21" s="1"/>
  <c r="P19" i="21"/>
  <c r="T19" i="21" s="1"/>
  <c r="U19" i="21" s="1"/>
  <c r="C107" i="20"/>
  <c r="H104" i="20"/>
  <c r="I107" i="20" s="1"/>
  <c r="P15" i="68"/>
  <c r="T15" i="68" s="1"/>
  <c r="U15" i="68" s="1"/>
  <c r="P27" i="68"/>
  <c r="T27" i="68" s="1"/>
  <c r="U27" i="68" s="1"/>
  <c r="P17" i="68"/>
  <c r="T17" i="68" s="1"/>
  <c r="U17" i="68" s="1"/>
  <c r="P24" i="68"/>
  <c r="T24" i="68" s="1"/>
  <c r="U24" i="68" s="1"/>
  <c r="P16" i="68"/>
  <c r="T16" i="68" s="1"/>
  <c r="U16" i="68" s="1"/>
  <c r="P20" i="68"/>
  <c r="T20" i="68" s="1"/>
  <c r="U20" i="68" s="1"/>
  <c r="P23" i="68"/>
  <c r="T23" i="68" s="1"/>
  <c r="U23" i="68" s="1"/>
  <c r="P25" i="68"/>
  <c r="T25" i="68" s="1"/>
  <c r="U25" i="68" s="1"/>
  <c r="P29" i="68"/>
  <c r="T29" i="68" s="1"/>
  <c r="U29" i="68" s="1"/>
  <c r="P18" i="68"/>
  <c r="T18" i="68" s="1"/>
  <c r="U18" i="68" s="1"/>
  <c r="P38" i="68"/>
  <c r="U38" i="68" s="1"/>
  <c r="P41" i="68"/>
  <c r="U41" i="68" s="1"/>
  <c r="P21" i="68"/>
  <c r="T21" i="68" s="1"/>
  <c r="U21" i="68" s="1"/>
  <c r="P122" i="68"/>
  <c r="U122" i="68" s="1"/>
  <c r="P19" i="68"/>
  <c r="T19" i="68" s="1"/>
  <c r="U19" i="68" s="1"/>
  <c r="P121" i="68"/>
  <c r="U121" i="68" s="1"/>
  <c r="P43" i="68"/>
  <c r="U43" i="68" s="1"/>
  <c r="P26" i="68"/>
  <c r="T26" i="68" s="1"/>
  <c r="U26" i="68" s="1"/>
  <c r="P22" i="68"/>
  <c r="T22" i="68" s="1"/>
  <c r="U22" i="68" s="1"/>
  <c r="P113" i="68"/>
  <c r="U113" i="68" s="1"/>
  <c r="P39" i="68"/>
  <c r="U39" i="68" s="1"/>
  <c r="P123" i="68"/>
  <c r="U123" i="68" s="1"/>
  <c r="P28" i="68"/>
  <c r="T28" i="68" s="1"/>
  <c r="U28" i="68" s="1"/>
  <c r="P40" i="68"/>
  <c r="U40" i="68" s="1"/>
  <c r="P14" i="68"/>
  <c r="P42" i="68"/>
  <c r="U42" i="68" s="1"/>
  <c r="I85" i="21"/>
  <c r="I90" i="21"/>
  <c r="I92" i="21"/>
  <c r="H88" i="21"/>
  <c r="I88" i="21" s="1"/>
  <c r="H104" i="18"/>
  <c r="I107" i="18" s="1"/>
  <c r="C107" i="18"/>
  <c r="I92" i="38"/>
  <c r="H88" i="38"/>
  <c r="I88" i="38" s="1"/>
  <c r="I85" i="38"/>
  <c r="I90" i="38"/>
  <c r="P18" i="43"/>
  <c r="T18" i="43" s="1"/>
  <c r="U18" i="43" s="1"/>
  <c r="P23" i="43"/>
  <c r="T23" i="43" s="1"/>
  <c r="U23" i="43" s="1"/>
  <c r="P121" i="43"/>
  <c r="U121" i="43" s="1"/>
  <c r="P113" i="43"/>
  <c r="U113" i="43" s="1"/>
  <c r="P15" i="43"/>
  <c r="T15" i="43" s="1"/>
  <c r="U15" i="43" s="1"/>
  <c r="P25" i="43"/>
  <c r="T25" i="43" s="1"/>
  <c r="U25" i="43" s="1"/>
  <c r="P20" i="43"/>
  <c r="T20" i="43" s="1"/>
  <c r="U20" i="43" s="1"/>
  <c r="P40" i="43"/>
  <c r="U40" i="43" s="1"/>
  <c r="P43" i="43"/>
  <c r="U43" i="43" s="1"/>
  <c r="P123" i="43"/>
  <c r="U123" i="43" s="1"/>
  <c r="P27" i="43"/>
  <c r="T27" i="43" s="1"/>
  <c r="U27" i="43" s="1"/>
  <c r="P17" i="43"/>
  <c r="T17" i="43" s="1"/>
  <c r="U17" i="43" s="1"/>
  <c r="P22" i="43"/>
  <c r="T22" i="43" s="1"/>
  <c r="U22" i="43" s="1"/>
  <c r="P14" i="43"/>
  <c r="P29" i="43"/>
  <c r="T29" i="43" s="1"/>
  <c r="U29" i="43" s="1"/>
  <c r="P24" i="43"/>
  <c r="T24" i="43" s="1"/>
  <c r="U24" i="43" s="1"/>
  <c r="P38" i="43"/>
  <c r="U38" i="43" s="1"/>
  <c r="P41" i="43"/>
  <c r="U41" i="43" s="1"/>
  <c r="P21" i="43"/>
  <c r="T21" i="43" s="1"/>
  <c r="U21" i="43" s="1"/>
  <c r="P16" i="43"/>
  <c r="T16" i="43" s="1"/>
  <c r="U16" i="43" s="1"/>
  <c r="P42" i="43"/>
  <c r="U42" i="43" s="1"/>
  <c r="P26" i="43"/>
  <c r="T26" i="43" s="1"/>
  <c r="U26" i="43" s="1"/>
  <c r="P39" i="43"/>
  <c r="U39" i="43" s="1"/>
  <c r="P122" i="43"/>
  <c r="U122" i="43" s="1"/>
  <c r="P19" i="43"/>
  <c r="T19" i="43" s="1"/>
  <c r="U19" i="43" s="1"/>
  <c r="P28" i="43"/>
  <c r="T28" i="43" s="1"/>
  <c r="U28" i="43" s="1"/>
  <c r="I30" i="26"/>
  <c r="E32" i="60"/>
  <c r="P21" i="69"/>
  <c r="T21" i="69" s="1"/>
  <c r="U21" i="69" s="1"/>
  <c r="P28" i="69"/>
  <c r="T28" i="69" s="1"/>
  <c r="U28" i="69" s="1"/>
  <c r="P39" i="69"/>
  <c r="U39" i="69" s="1"/>
  <c r="P42" i="69"/>
  <c r="U42" i="69" s="1"/>
  <c r="P18" i="69"/>
  <c r="T18" i="69" s="1"/>
  <c r="U18" i="69" s="1"/>
  <c r="P23" i="69"/>
  <c r="T23" i="69" s="1"/>
  <c r="U23" i="69" s="1"/>
  <c r="P121" i="69"/>
  <c r="U121" i="69" s="1"/>
  <c r="P113" i="69"/>
  <c r="U113" i="69" s="1"/>
  <c r="P15" i="69"/>
  <c r="T15" i="69" s="1"/>
  <c r="U15" i="69" s="1"/>
  <c r="P25" i="69"/>
  <c r="T25" i="69" s="1"/>
  <c r="U25" i="69" s="1"/>
  <c r="P20" i="69"/>
  <c r="T20" i="69" s="1"/>
  <c r="U20" i="69" s="1"/>
  <c r="P40" i="69"/>
  <c r="U40" i="69" s="1"/>
  <c r="P43" i="69"/>
  <c r="U43" i="69" s="1"/>
  <c r="P123" i="69"/>
  <c r="U123" i="69" s="1"/>
  <c r="P17" i="69"/>
  <c r="T17" i="69" s="1"/>
  <c r="U17" i="69" s="1"/>
  <c r="P22" i="69"/>
  <c r="T22" i="69" s="1"/>
  <c r="U22" i="69" s="1"/>
  <c r="P14" i="69"/>
  <c r="P29" i="69"/>
  <c r="T29" i="69" s="1"/>
  <c r="U29" i="69" s="1"/>
  <c r="P24" i="69"/>
  <c r="T24" i="69" s="1"/>
  <c r="U24" i="69" s="1"/>
  <c r="P38" i="69"/>
  <c r="U38" i="69" s="1"/>
  <c r="P41" i="69"/>
  <c r="U41" i="69" s="1"/>
  <c r="P19" i="69"/>
  <c r="T19" i="69" s="1"/>
  <c r="U19" i="69" s="1"/>
  <c r="P26" i="69"/>
  <c r="T26" i="69" s="1"/>
  <c r="U26" i="69" s="1"/>
  <c r="P122" i="69"/>
  <c r="U122" i="69" s="1"/>
  <c r="P27" i="69"/>
  <c r="T27" i="69" s="1"/>
  <c r="U27" i="69" s="1"/>
  <c r="P16" i="69"/>
  <c r="T16" i="69" s="1"/>
  <c r="U16" i="69" s="1"/>
  <c r="I92" i="66"/>
  <c r="H88" i="66"/>
  <c r="I88" i="66" s="1"/>
  <c r="I85" i="66"/>
  <c r="I90" i="66"/>
  <c r="P20" i="55"/>
  <c r="T20" i="55" s="1"/>
  <c r="U20" i="55" s="1"/>
  <c r="P40" i="55"/>
  <c r="U40" i="55" s="1"/>
  <c r="P43" i="55"/>
  <c r="U43" i="55" s="1"/>
  <c r="P123" i="55"/>
  <c r="U123" i="55" s="1"/>
  <c r="P27" i="55"/>
  <c r="T27" i="55" s="1"/>
  <c r="U27" i="55" s="1"/>
  <c r="P17" i="55"/>
  <c r="T17" i="55" s="1"/>
  <c r="U17" i="55" s="1"/>
  <c r="P22" i="55"/>
  <c r="T22" i="55" s="1"/>
  <c r="U22" i="55" s="1"/>
  <c r="P14" i="55"/>
  <c r="P29" i="55"/>
  <c r="T29" i="55" s="1"/>
  <c r="U29" i="55" s="1"/>
  <c r="P24" i="55"/>
  <c r="T24" i="55" s="1"/>
  <c r="U24" i="55" s="1"/>
  <c r="P38" i="55"/>
  <c r="U38" i="55" s="1"/>
  <c r="P41" i="55"/>
  <c r="U41" i="55" s="1"/>
  <c r="P19" i="55"/>
  <c r="T19" i="55" s="1"/>
  <c r="U19" i="55" s="1"/>
  <c r="P122" i="55"/>
  <c r="U122" i="55" s="1"/>
  <c r="P16" i="55"/>
  <c r="T16" i="55" s="1"/>
  <c r="U16" i="55" s="1"/>
  <c r="P26" i="55"/>
  <c r="T26" i="55" s="1"/>
  <c r="U26" i="55" s="1"/>
  <c r="P21" i="55"/>
  <c r="T21" i="55" s="1"/>
  <c r="U21" i="55" s="1"/>
  <c r="P28" i="55"/>
  <c r="T28" i="55" s="1"/>
  <c r="U28" i="55" s="1"/>
  <c r="P39" i="55"/>
  <c r="U39" i="55" s="1"/>
  <c r="P42" i="55"/>
  <c r="U42" i="55" s="1"/>
  <c r="P113" i="55"/>
  <c r="U113" i="55" s="1"/>
  <c r="P23" i="55"/>
  <c r="T23" i="55" s="1"/>
  <c r="U23" i="55" s="1"/>
  <c r="P121" i="55"/>
  <c r="U121" i="55" s="1"/>
  <c r="P18" i="55"/>
  <c r="T18" i="55" s="1"/>
  <c r="U18" i="55" s="1"/>
  <c r="P25" i="55"/>
  <c r="T25" i="55" s="1"/>
  <c r="U25" i="55" s="1"/>
  <c r="P15" i="55"/>
  <c r="T15" i="55" s="1"/>
  <c r="U15" i="55" s="1"/>
  <c r="I85" i="68"/>
  <c r="I90" i="68"/>
  <c r="I92" i="68"/>
  <c r="H88" i="68"/>
  <c r="I88" i="68" s="1"/>
  <c r="I92" i="22"/>
  <c r="I90" i="22"/>
  <c r="I85" i="22"/>
  <c r="H88" i="22"/>
  <c r="I88" i="22" s="1"/>
  <c r="P113" i="67"/>
  <c r="U113" i="67" s="1"/>
  <c r="P15" i="67"/>
  <c r="T15" i="67" s="1"/>
  <c r="U15" i="67" s="1"/>
  <c r="P20" i="67"/>
  <c r="T20" i="67" s="1"/>
  <c r="U20" i="67" s="1"/>
  <c r="P40" i="67"/>
  <c r="U40" i="67" s="1"/>
  <c r="P43" i="67"/>
  <c r="U43" i="67" s="1"/>
  <c r="P123" i="67"/>
  <c r="U123" i="67" s="1"/>
  <c r="P29" i="67"/>
  <c r="T29" i="67" s="1"/>
  <c r="U29" i="67" s="1"/>
  <c r="P17" i="67"/>
  <c r="T17" i="67" s="1"/>
  <c r="U17" i="67" s="1"/>
  <c r="P19" i="67"/>
  <c r="T19" i="67" s="1"/>
  <c r="U19" i="67" s="1"/>
  <c r="P39" i="67"/>
  <c r="U39" i="67" s="1"/>
  <c r="P122" i="67"/>
  <c r="U122" i="67" s="1"/>
  <c r="P24" i="67"/>
  <c r="T24" i="67" s="1"/>
  <c r="U24" i="67" s="1"/>
  <c r="P26" i="67"/>
  <c r="T26" i="67" s="1"/>
  <c r="U26" i="67" s="1"/>
  <c r="P16" i="67"/>
  <c r="T16" i="67" s="1"/>
  <c r="U16" i="67" s="1"/>
  <c r="P18" i="67"/>
  <c r="T18" i="67" s="1"/>
  <c r="U18" i="67" s="1"/>
  <c r="P41" i="67"/>
  <c r="U41" i="67" s="1"/>
  <c r="P121" i="67"/>
  <c r="U121" i="67" s="1"/>
  <c r="P14" i="67"/>
  <c r="P42" i="67"/>
  <c r="U42" i="67" s="1"/>
  <c r="P25" i="67"/>
  <c r="T25" i="67" s="1"/>
  <c r="U25" i="67" s="1"/>
  <c r="P21" i="67"/>
  <c r="T21" i="67" s="1"/>
  <c r="U21" i="67" s="1"/>
  <c r="P22" i="67"/>
  <c r="T22" i="67" s="1"/>
  <c r="U22" i="67" s="1"/>
  <c r="P27" i="67"/>
  <c r="T27" i="67" s="1"/>
  <c r="U27" i="67" s="1"/>
  <c r="P38" i="67"/>
  <c r="U38" i="67" s="1"/>
  <c r="P23" i="67"/>
  <c r="T23" i="67" s="1"/>
  <c r="U23" i="67" s="1"/>
  <c r="P28" i="67"/>
  <c r="T28" i="67" s="1"/>
  <c r="U28" i="67" s="1"/>
  <c r="P17" i="27"/>
  <c r="T17" i="27" s="1"/>
  <c r="U17" i="27" s="1"/>
  <c r="P22" i="27"/>
  <c r="T22" i="27" s="1"/>
  <c r="U22" i="27" s="1"/>
  <c r="P14" i="27"/>
  <c r="P29" i="27"/>
  <c r="T29" i="27" s="1"/>
  <c r="U29" i="27" s="1"/>
  <c r="P24" i="27"/>
  <c r="T24" i="27" s="1"/>
  <c r="U24" i="27" s="1"/>
  <c r="P38" i="27"/>
  <c r="U38" i="27" s="1"/>
  <c r="P41" i="27"/>
  <c r="U41" i="27" s="1"/>
  <c r="P19" i="27"/>
  <c r="T19" i="27" s="1"/>
  <c r="U19" i="27" s="1"/>
  <c r="P122" i="27"/>
  <c r="U122" i="27" s="1"/>
  <c r="P16" i="27"/>
  <c r="T16" i="27" s="1"/>
  <c r="U16" i="27" s="1"/>
  <c r="P26" i="27"/>
  <c r="T26" i="27" s="1"/>
  <c r="U26" i="27" s="1"/>
  <c r="P21" i="27"/>
  <c r="T21" i="27" s="1"/>
  <c r="U21" i="27" s="1"/>
  <c r="P28" i="27"/>
  <c r="T28" i="27" s="1"/>
  <c r="U28" i="27" s="1"/>
  <c r="P39" i="27"/>
  <c r="U39" i="27" s="1"/>
  <c r="P42" i="27"/>
  <c r="U42" i="27" s="1"/>
  <c r="P18" i="27"/>
  <c r="T18" i="27" s="1"/>
  <c r="U18" i="27" s="1"/>
  <c r="P23" i="27"/>
  <c r="T23" i="27" s="1"/>
  <c r="U23" i="27" s="1"/>
  <c r="P121" i="27"/>
  <c r="U121" i="27" s="1"/>
  <c r="P15" i="27"/>
  <c r="T15" i="27" s="1"/>
  <c r="U15" i="27" s="1"/>
  <c r="P25" i="27"/>
  <c r="T25" i="27" s="1"/>
  <c r="U25" i="27" s="1"/>
  <c r="P20" i="27"/>
  <c r="T20" i="27" s="1"/>
  <c r="U20" i="27" s="1"/>
  <c r="P40" i="27"/>
  <c r="U40" i="27" s="1"/>
  <c r="P43" i="27"/>
  <c r="U43" i="27" s="1"/>
  <c r="P123" i="27"/>
  <c r="U123" i="27" s="1"/>
  <c r="P113" i="27"/>
  <c r="U113" i="27" s="1"/>
  <c r="P27" i="27"/>
  <c r="T27" i="27" s="1"/>
  <c r="U27" i="27" s="1"/>
  <c r="C107" i="48"/>
  <c r="P15" i="51"/>
  <c r="T15" i="51" s="1"/>
  <c r="U15" i="51" s="1"/>
  <c r="P25" i="51"/>
  <c r="T25" i="51" s="1"/>
  <c r="U25" i="51" s="1"/>
  <c r="P27" i="51"/>
  <c r="T27" i="51" s="1"/>
  <c r="U27" i="51" s="1"/>
  <c r="P14" i="51"/>
  <c r="P29" i="51"/>
  <c r="T29" i="51" s="1"/>
  <c r="U29" i="51" s="1"/>
  <c r="P24" i="51"/>
  <c r="T24" i="51" s="1"/>
  <c r="U24" i="51" s="1"/>
  <c r="P38" i="51"/>
  <c r="U38" i="51" s="1"/>
  <c r="P41" i="51"/>
  <c r="U41" i="51" s="1"/>
  <c r="P122" i="51"/>
  <c r="U122" i="51" s="1"/>
  <c r="P17" i="51"/>
  <c r="T17" i="51" s="1"/>
  <c r="U17" i="51" s="1"/>
  <c r="P22" i="51"/>
  <c r="T22" i="51" s="1"/>
  <c r="U22" i="51" s="1"/>
  <c r="P42" i="51"/>
  <c r="U42" i="51" s="1"/>
  <c r="P20" i="51"/>
  <c r="T20" i="51" s="1"/>
  <c r="U20" i="51" s="1"/>
  <c r="P121" i="51"/>
  <c r="U121" i="51" s="1"/>
  <c r="P43" i="51"/>
  <c r="U43" i="51" s="1"/>
  <c r="P113" i="51"/>
  <c r="U113" i="51" s="1"/>
  <c r="P28" i="51"/>
  <c r="T28" i="51" s="1"/>
  <c r="U28" i="51" s="1"/>
  <c r="P18" i="51"/>
  <c r="T18" i="51" s="1"/>
  <c r="U18" i="51" s="1"/>
  <c r="P23" i="51"/>
  <c r="T23" i="51" s="1"/>
  <c r="U23" i="51" s="1"/>
  <c r="P123" i="51"/>
  <c r="U123" i="51" s="1"/>
  <c r="P16" i="51"/>
  <c r="T16" i="51" s="1"/>
  <c r="U16" i="51" s="1"/>
  <c r="P26" i="51"/>
  <c r="T26" i="51" s="1"/>
  <c r="U26" i="51" s="1"/>
  <c r="P39" i="51"/>
  <c r="U39" i="51" s="1"/>
  <c r="P21" i="51"/>
  <c r="T21" i="51" s="1"/>
  <c r="U21" i="51" s="1"/>
  <c r="P19" i="51"/>
  <c r="T19" i="51" s="1"/>
  <c r="U19" i="51" s="1"/>
  <c r="P40" i="51"/>
  <c r="U40" i="51" s="1"/>
  <c r="I92" i="23"/>
  <c r="H88" i="23"/>
  <c r="I88" i="23" s="1"/>
  <c r="I85" i="23"/>
  <c r="I90" i="23"/>
  <c r="C107" i="42"/>
  <c r="H104" i="42"/>
  <c r="I107" i="42" s="1"/>
  <c r="P18" i="31"/>
  <c r="T18" i="31" s="1"/>
  <c r="U18" i="31" s="1"/>
  <c r="P23" i="31"/>
  <c r="T23" i="31" s="1"/>
  <c r="U23" i="31" s="1"/>
  <c r="P20" i="31"/>
  <c r="T20" i="31" s="1"/>
  <c r="U20" i="31" s="1"/>
  <c r="P27" i="31"/>
  <c r="T27" i="31" s="1"/>
  <c r="U27" i="31" s="1"/>
  <c r="P17" i="31"/>
  <c r="T17" i="31" s="1"/>
  <c r="U17" i="31" s="1"/>
  <c r="P22" i="31"/>
  <c r="T22" i="31" s="1"/>
  <c r="U22" i="31" s="1"/>
  <c r="P16" i="31"/>
  <c r="T16" i="31" s="1"/>
  <c r="U16" i="31" s="1"/>
  <c r="P26" i="31"/>
  <c r="T26" i="31" s="1"/>
  <c r="U26" i="31" s="1"/>
  <c r="P19" i="31"/>
  <c r="T19" i="31" s="1"/>
  <c r="U19" i="31" s="1"/>
  <c r="P25" i="31"/>
  <c r="T25" i="31" s="1"/>
  <c r="U25" i="31" s="1"/>
  <c r="P28" i="31"/>
  <c r="T28" i="31" s="1"/>
  <c r="U28" i="31" s="1"/>
  <c r="P121" i="31"/>
  <c r="U121" i="31" s="1"/>
  <c r="P14" i="31"/>
  <c r="P113" i="31"/>
  <c r="U113" i="31" s="1"/>
  <c r="P40" i="31"/>
  <c r="U40" i="31" s="1"/>
  <c r="P43" i="31"/>
  <c r="U43" i="31" s="1"/>
  <c r="P123" i="31"/>
  <c r="U123" i="31" s="1"/>
  <c r="P15" i="31"/>
  <c r="T15" i="31" s="1"/>
  <c r="U15" i="31" s="1"/>
  <c r="P29" i="31"/>
  <c r="T29" i="31" s="1"/>
  <c r="U29" i="31" s="1"/>
  <c r="P38" i="31"/>
  <c r="U38" i="31" s="1"/>
  <c r="P41" i="31"/>
  <c r="U41" i="31" s="1"/>
  <c r="P21" i="31"/>
  <c r="T21" i="31" s="1"/>
  <c r="U21" i="31" s="1"/>
  <c r="P24" i="31"/>
  <c r="T24" i="31" s="1"/>
  <c r="U24" i="31" s="1"/>
  <c r="P122" i="31"/>
  <c r="U122" i="31" s="1"/>
  <c r="P39" i="31"/>
  <c r="U39" i="31" s="1"/>
  <c r="P42" i="31"/>
  <c r="U42" i="31" s="1"/>
  <c r="H88" i="25"/>
  <c r="I88" i="25" s="1"/>
  <c r="I85" i="25"/>
  <c r="I90" i="25"/>
  <c r="I92" i="25"/>
  <c r="P16" i="66"/>
  <c r="T16" i="66" s="1"/>
  <c r="U16" i="66" s="1"/>
  <c r="P26" i="66"/>
  <c r="T26" i="66" s="1"/>
  <c r="U26" i="66" s="1"/>
  <c r="P28" i="66"/>
  <c r="T28" i="66" s="1"/>
  <c r="U28" i="66" s="1"/>
  <c r="P39" i="66"/>
  <c r="U39" i="66" s="1"/>
  <c r="P42" i="66"/>
  <c r="U42" i="66" s="1"/>
  <c r="P18" i="66"/>
  <c r="T18" i="66" s="1"/>
  <c r="U18" i="66" s="1"/>
  <c r="P23" i="66"/>
  <c r="T23" i="66" s="1"/>
  <c r="U23" i="66" s="1"/>
  <c r="P121" i="66"/>
  <c r="U121" i="66" s="1"/>
  <c r="P113" i="66"/>
  <c r="U113" i="66" s="1"/>
  <c r="P15" i="66"/>
  <c r="T15" i="66" s="1"/>
  <c r="U15" i="66" s="1"/>
  <c r="P25" i="66"/>
  <c r="T25" i="66" s="1"/>
  <c r="U25" i="66" s="1"/>
  <c r="P27" i="66"/>
  <c r="T27" i="66" s="1"/>
  <c r="U27" i="66" s="1"/>
  <c r="P17" i="66"/>
  <c r="T17" i="66" s="1"/>
  <c r="U17" i="66" s="1"/>
  <c r="P22" i="66"/>
  <c r="T22" i="66" s="1"/>
  <c r="U22" i="66" s="1"/>
  <c r="P14" i="66"/>
  <c r="P29" i="66"/>
  <c r="T29" i="66" s="1"/>
  <c r="U29" i="66" s="1"/>
  <c r="P19" i="66"/>
  <c r="T19" i="66" s="1"/>
  <c r="U19" i="66" s="1"/>
  <c r="P20" i="66"/>
  <c r="T20" i="66" s="1"/>
  <c r="U20" i="66" s="1"/>
  <c r="P24" i="66"/>
  <c r="T24" i="66" s="1"/>
  <c r="U24" i="66" s="1"/>
  <c r="P40" i="66"/>
  <c r="U40" i="66" s="1"/>
  <c r="P41" i="66"/>
  <c r="U41" i="66" s="1"/>
  <c r="P21" i="66"/>
  <c r="T21" i="66" s="1"/>
  <c r="U21" i="66" s="1"/>
  <c r="P122" i="66"/>
  <c r="U122" i="66" s="1"/>
  <c r="P43" i="66"/>
  <c r="U43" i="66" s="1"/>
  <c r="P123" i="66"/>
  <c r="U123" i="66" s="1"/>
  <c r="P38" i="66"/>
  <c r="U38" i="66" s="1"/>
  <c r="I85" i="55"/>
  <c r="I90" i="55"/>
  <c r="I92" i="55"/>
  <c r="H88" i="55"/>
  <c r="I88" i="55" s="1"/>
  <c r="H104" i="58"/>
  <c r="I107" i="58" s="1"/>
  <c r="C107" i="58"/>
  <c r="C107" i="55"/>
  <c r="H104" i="55"/>
  <c r="I107" i="55" s="1"/>
  <c r="I92" i="58"/>
  <c r="H88" i="58"/>
  <c r="I88" i="58" s="1"/>
  <c r="I90" i="58"/>
  <c r="I85" i="58"/>
  <c r="P18" i="58"/>
  <c r="T18" i="58" s="1"/>
  <c r="U18" i="58" s="1"/>
  <c r="P23" i="58"/>
  <c r="T23" i="58" s="1"/>
  <c r="U23" i="58" s="1"/>
  <c r="P121" i="58"/>
  <c r="U121" i="58" s="1"/>
  <c r="P15" i="58"/>
  <c r="T15" i="58" s="1"/>
  <c r="U15" i="58" s="1"/>
  <c r="P25" i="58"/>
  <c r="T25" i="58" s="1"/>
  <c r="U25" i="58" s="1"/>
  <c r="P20" i="58"/>
  <c r="T20" i="58" s="1"/>
  <c r="U20" i="58" s="1"/>
  <c r="P40" i="58"/>
  <c r="U40" i="58" s="1"/>
  <c r="P43" i="58"/>
  <c r="U43" i="58" s="1"/>
  <c r="P123" i="58"/>
  <c r="U123" i="58" s="1"/>
  <c r="P27" i="58"/>
  <c r="T27" i="58" s="1"/>
  <c r="U27" i="58" s="1"/>
  <c r="P17" i="58"/>
  <c r="T17" i="58" s="1"/>
  <c r="U17" i="58" s="1"/>
  <c r="P22" i="58"/>
  <c r="T22" i="58" s="1"/>
  <c r="U22" i="58" s="1"/>
  <c r="P19" i="58"/>
  <c r="T19" i="58" s="1"/>
  <c r="U19" i="58" s="1"/>
  <c r="P122" i="58"/>
  <c r="U122" i="58" s="1"/>
  <c r="P16" i="58"/>
  <c r="T16" i="58" s="1"/>
  <c r="U16" i="58" s="1"/>
  <c r="P26" i="58"/>
  <c r="T26" i="58" s="1"/>
  <c r="U26" i="58" s="1"/>
  <c r="P29" i="58"/>
  <c r="T29" i="58" s="1"/>
  <c r="U29" i="58" s="1"/>
  <c r="P41" i="58"/>
  <c r="U41" i="58" s="1"/>
  <c r="P113" i="58"/>
  <c r="U113" i="58" s="1"/>
  <c r="P42" i="58"/>
  <c r="U42" i="58" s="1"/>
  <c r="P14" i="58"/>
  <c r="P38" i="58"/>
  <c r="U38" i="58" s="1"/>
  <c r="P21" i="58"/>
  <c r="T21" i="58" s="1"/>
  <c r="U21" i="58" s="1"/>
  <c r="P24" i="58"/>
  <c r="T24" i="58" s="1"/>
  <c r="U24" i="58" s="1"/>
  <c r="P28" i="58"/>
  <c r="T28" i="58" s="1"/>
  <c r="U28" i="58" s="1"/>
  <c r="P39" i="58"/>
  <c r="U39" i="58" s="1"/>
  <c r="I15" i="60"/>
  <c r="I30" i="18"/>
  <c r="H104" i="32"/>
  <c r="I107" i="32" s="1"/>
  <c r="C107" i="32"/>
  <c r="P16" i="38"/>
  <c r="T16" i="38" s="1"/>
  <c r="U16" i="38" s="1"/>
  <c r="P26" i="38"/>
  <c r="T26" i="38" s="1"/>
  <c r="U26" i="38" s="1"/>
  <c r="P28" i="38"/>
  <c r="T28" i="38" s="1"/>
  <c r="U28" i="38" s="1"/>
  <c r="P39" i="38"/>
  <c r="U39" i="38" s="1"/>
  <c r="P42" i="38"/>
  <c r="U42" i="38" s="1"/>
  <c r="P18" i="38"/>
  <c r="T18" i="38" s="1"/>
  <c r="U18" i="38" s="1"/>
  <c r="P23" i="38"/>
  <c r="T23" i="38" s="1"/>
  <c r="U23" i="38" s="1"/>
  <c r="P121" i="38"/>
  <c r="U121" i="38" s="1"/>
  <c r="P113" i="38"/>
  <c r="U113" i="38" s="1"/>
  <c r="P15" i="38"/>
  <c r="T15" i="38" s="1"/>
  <c r="U15" i="38" s="1"/>
  <c r="P25" i="38"/>
  <c r="T25" i="38" s="1"/>
  <c r="U25" i="38" s="1"/>
  <c r="P20" i="38"/>
  <c r="T20" i="38" s="1"/>
  <c r="U20" i="38" s="1"/>
  <c r="P40" i="38"/>
  <c r="U40" i="38" s="1"/>
  <c r="P43" i="38"/>
  <c r="U43" i="38" s="1"/>
  <c r="P123" i="38"/>
  <c r="U123" i="38" s="1"/>
  <c r="P27" i="38"/>
  <c r="T27" i="38" s="1"/>
  <c r="U27" i="38" s="1"/>
  <c r="P17" i="38"/>
  <c r="T17" i="38" s="1"/>
  <c r="U17" i="38" s="1"/>
  <c r="P22" i="38"/>
  <c r="T22" i="38" s="1"/>
  <c r="U22" i="38" s="1"/>
  <c r="P14" i="38"/>
  <c r="P29" i="38"/>
  <c r="T29" i="38" s="1"/>
  <c r="U29" i="38" s="1"/>
  <c r="P24" i="38"/>
  <c r="T24" i="38" s="1"/>
  <c r="U24" i="38" s="1"/>
  <c r="P38" i="38"/>
  <c r="U38" i="38" s="1"/>
  <c r="P41" i="38"/>
  <c r="U41" i="38" s="1"/>
  <c r="P21" i="38"/>
  <c r="T21" i="38" s="1"/>
  <c r="U21" i="38" s="1"/>
  <c r="P19" i="38"/>
  <c r="T19" i="38" s="1"/>
  <c r="U19" i="38" s="1"/>
  <c r="P122" i="38"/>
  <c r="U122" i="38" s="1"/>
  <c r="H88" i="67"/>
  <c r="I88" i="67" s="1"/>
  <c r="I90" i="67"/>
  <c r="I92" i="67"/>
  <c r="I85" i="67"/>
  <c r="H88" i="77"/>
  <c r="I88" i="77" s="1"/>
  <c r="I85" i="77"/>
  <c r="I90" i="77"/>
  <c r="I92" i="77"/>
  <c r="I14" i="60"/>
  <c r="I92" i="26"/>
  <c r="H88" i="26"/>
  <c r="I88" i="26" s="1"/>
  <c r="I85" i="26"/>
  <c r="I90" i="26"/>
  <c r="C107" i="40"/>
  <c r="P15" i="16"/>
  <c r="T15" i="16" s="1"/>
  <c r="U15" i="16" s="1"/>
  <c r="P17" i="16"/>
  <c r="T17" i="16" s="1"/>
  <c r="U17" i="16" s="1"/>
  <c r="P19" i="16"/>
  <c r="T19" i="16" s="1"/>
  <c r="U19" i="16" s="1"/>
  <c r="P14" i="16"/>
  <c r="P29" i="16"/>
  <c r="T29" i="16" s="1"/>
  <c r="U29" i="16" s="1"/>
  <c r="P24" i="16"/>
  <c r="T24" i="16" s="1"/>
  <c r="U24" i="16" s="1"/>
  <c r="P38" i="16"/>
  <c r="U38" i="16" s="1"/>
  <c r="P41" i="16"/>
  <c r="U41" i="16" s="1"/>
  <c r="P122" i="16"/>
  <c r="U122" i="16" s="1"/>
  <c r="P26" i="16"/>
  <c r="T26" i="16" s="1"/>
  <c r="U26" i="16" s="1"/>
  <c r="P21" i="16"/>
  <c r="T21" i="16" s="1"/>
  <c r="U21" i="16" s="1"/>
  <c r="P28" i="16"/>
  <c r="T28" i="16" s="1"/>
  <c r="U28" i="16" s="1"/>
  <c r="P39" i="16"/>
  <c r="U39" i="16" s="1"/>
  <c r="P42" i="16"/>
  <c r="U42" i="16" s="1"/>
  <c r="P23" i="16"/>
  <c r="T23" i="16" s="1"/>
  <c r="U23" i="16" s="1"/>
  <c r="P121" i="16"/>
  <c r="U121" i="16" s="1"/>
  <c r="P113" i="16"/>
  <c r="U113" i="16" s="1"/>
  <c r="P25" i="16"/>
  <c r="T25" i="16" s="1"/>
  <c r="U25" i="16" s="1"/>
  <c r="P16" i="16"/>
  <c r="T16" i="16" s="1"/>
  <c r="U16" i="16" s="1"/>
  <c r="P20" i="16"/>
  <c r="T20" i="16" s="1"/>
  <c r="U20" i="16" s="1"/>
  <c r="P27" i="16"/>
  <c r="T27" i="16" s="1"/>
  <c r="U27" i="16" s="1"/>
  <c r="P123" i="16"/>
  <c r="U123" i="16" s="1"/>
  <c r="P40" i="16"/>
  <c r="U40" i="16" s="1"/>
  <c r="P18" i="16"/>
  <c r="T18" i="16" s="1"/>
  <c r="U18" i="16" s="1"/>
  <c r="P22" i="16"/>
  <c r="T22" i="16" s="1"/>
  <c r="U22" i="16" s="1"/>
  <c r="P43" i="16"/>
  <c r="U43" i="16" s="1"/>
  <c r="C107" i="28"/>
  <c r="H104" i="28"/>
  <c r="I107" i="28" s="1"/>
  <c r="I92" i="78"/>
  <c r="H88" i="78"/>
  <c r="I88" i="78" s="1"/>
  <c r="I90" i="78"/>
  <c r="I85" i="78"/>
  <c r="I85" i="27"/>
  <c r="I90" i="27"/>
  <c r="I92" i="27"/>
  <c r="H88" i="27"/>
  <c r="I88" i="27" s="1"/>
  <c r="P17" i="30"/>
  <c r="T17" i="30" s="1"/>
  <c r="U17" i="30" s="1"/>
  <c r="P22" i="30"/>
  <c r="T22" i="30" s="1"/>
  <c r="U22" i="30" s="1"/>
  <c r="P14" i="30"/>
  <c r="P29" i="30"/>
  <c r="T29" i="30" s="1"/>
  <c r="U29" i="30" s="1"/>
  <c r="P24" i="30"/>
  <c r="T24" i="30" s="1"/>
  <c r="U24" i="30" s="1"/>
  <c r="P38" i="30"/>
  <c r="U38" i="30" s="1"/>
  <c r="P41" i="30"/>
  <c r="U41" i="30" s="1"/>
  <c r="P19" i="30"/>
  <c r="T19" i="30" s="1"/>
  <c r="U19" i="30" s="1"/>
  <c r="P122" i="30"/>
  <c r="U122" i="30" s="1"/>
  <c r="P16" i="30"/>
  <c r="T16" i="30" s="1"/>
  <c r="U16" i="30" s="1"/>
  <c r="P26" i="30"/>
  <c r="T26" i="30" s="1"/>
  <c r="U26" i="30" s="1"/>
  <c r="P21" i="30"/>
  <c r="T21" i="30" s="1"/>
  <c r="U21" i="30" s="1"/>
  <c r="P28" i="30"/>
  <c r="T28" i="30" s="1"/>
  <c r="U28" i="30" s="1"/>
  <c r="P39" i="30"/>
  <c r="U39" i="30" s="1"/>
  <c r="P42" i="30"/>
  <c r="U42" i="30" s="1"/>
  <c r="P18" i="30"/>
  <c r="T18" i="30" s="1"/>
  <c r="U18" i="30" s="1"/>
  <c r="P23" i="30"/>
  <c r="T23" i="30" s="1"/>
  <c r="U23" i="30" s="1"/>
  <c r="P121" i="30"/>
  <c r="U121" i="30" s="1"/>
  <c r="P113" i="30"/>
  <c r="U113" i="30" s="1"/>
  <c r="P15" i="30"/>
  <c r="T15" i="30" s="1"/>
  <c r="U15" i="30" s="1"/>
  <c r="P25" i="30"/>
  <c r="T25" i="30" s="1"/>
  <c r="U25" i="30" s="1"/>
  <c r="P20" i="30"/>
  <c r="T20" i="30" s="1"/>
  <c r="U20" i="30" s="1"/>
  <c r="P40" i="30"/>
  <c r="U40" i="30" s="1"/>
  <c r="P43" i="30"/>
  <c r="U43" i="30" s="1"/>
  <c r="P27" i="30"/>
  <c r="T27" i="30" s="1"/>
  <c r="U27" i="30" s="1"/>
  <c r="P123" i="30"/>
  <c r="U123" i="30" s="1"/>
  <c r="H88" i="51"/>
  <c r="I88" i="51" s="1"/>
  <c r="I92" i="51"/>
  <c r="I85" i="51"/>
  <c r="I90" i="51"/>
  <c r="I92" i="18"/>
  <c r="H88" i="18"/>
  <c r="I88" i="18" s="1"/>
  <c r="I90" i="18"/>
  <c r="I85" i="18"/>
  <c r="C107" i="70"/>
  <c r="H104" i="70"/>
  <c r="I107" i="70" s="1"/>
  <c r="P17" i="20"/>
  <c r="T17" i="20" s="1"/>
  <c r="U17" i="20" s="1"/>
  <c r="P22" i="20"/>
  <c r="T22" i="20" s="1"/>
  <c r="U22" i="20" s="1"/>
  <c r="P14" i="20"/>
  <c r="P29" i="20"/>
  <c r="T29" i="20" s="1"/>
  <c r="U29" i="20" s="1"/>
  <c r="P24" i="20"/>
  <c r="T24" i="20" s="1"/>
  <c r="U24" i="20" s="1"/>
  <c r="P38" i="20"/>
  <c r="U38" i="20" s="1"/>
  <c r="P41" i="20"/>
  <c r="U41" i="20" s="1"/>
  <c r="P19" i="20"/>
  <c r="T19" i="20" s="1"/>
  <c r="U19" i="20" s="1"/>
  <c r="P122" i="20"/>
  <c r="U122" i="20" s="1"/>
  <c r="P16" i="20"/>
  <c r="T16" i="20" s="1"/>
  <c r="U16" i="20" s="1"/>
  <c r="P26" i="20"/>
  <c r="T26" i="20" s="1"/>
  <c r="U26" i="20" s="1"/>
  <c r="P21" i="20"/>
  <c r="T21" i="20" s="1"/>
  <c r="U21" i="20" s="1"/>
  <c r="P18" i="20"/>
  <c r="T18" i="20" s="1"/>
  <c r="U18" i="20" s="1"/>
  <c r="P23" i="20"/>
  <c r="T23" i="20" s="1"/>
  <c r="U23" i="20" s="1"/>
  <c r="P121" i="20"/>
  <c r="U121" i="20" s="1"/>
  <c r="P113" i="20"/>
  <c r="U113" i="20" s="1"/>
  <c r="P15" i="20"/>
  <c r="T15" i="20" s="1"/>
  <c r="U15" i="20" s="1"/>
  <c r="P25" i="20"/>
  <c r="T25" i="20" s="1"/>
  <c r="U25" i="20" s="1"/>
  <c r="P20" i="20"/>
  <c r="T20" i="20" s="1"/>
  <c r="U20" i="20" s="1"/>
  <c r="P40" i="20"/>
  <c r="U40" i="20" s="1"/>
  <c r="P43" i="20"/>
  <c r="U43" i="20" s="1"/>
  <c r="P123" i="20"/>
  <c r="U123" i="20" s="1"/>
  <c r="P39" i="20"/>
  <c r="U39" i="20" s="1"/>
  <c r="P27" i="20"/>
  <c r="T27" i="20" s="1"/>
  <c r="U27" i="20" s="1"/>
  <c r="P28" i="20"/>
  <c r="T28" i="20" s="1"/>
  <c r="U28" i="20" s="1"/>
  <c r="P42" i="20"/>
  <c r="U42" i="20" s="1"/>
  <c r="P18" i="22"/>
  <c r="T18" i="22" s="1"/>
  <c r="U18" i="22" s="1"/>
  <c r="P23" i="22"/>
  <c r="T23" i="22" s="1"/>
  <c r="U23" i="22" s="1"/>
  <c r="P121" i="22"/>
  <c r="U121" i="22" s="1"/>
  <c r="P15" i="22"/>
  <c r="T15" i="22" s="1"/>
  <c r="U15" i="22" s="1"/>
  <c r="P25" i="22"/>
  <c r="T25" i="22" s="1"/>
  <c r="U25" i="22" s="1"/>
  <c r="P20" i="22"/>
  <c r="T20" i="22" s="1"/>
  <c r="U20" i="22" s="1"/>
  <c r="P40" i="22"/>
  <c r="U40" i="22" s="1"/>
  <c r="P43" i="22"/>
  <c r="U43" i="22" s="1"/>
  <c r="P123" i="22"/>
  <c r="U123" i="22" s="1"/>
  <c r="P27" i="22"/>
  <c r="T27" i="22" s="1"/>
  <c r="U27" i="22" s="1"/>
  <c r="P14" i="22"/>
  <c r="P29" i="22"/>
  <c r="T29" i="22" s="1"/>
  <c r="U29" i="22" s="1"/>
  <c r="P16" i="22"/>
  <c r="T16" i="22" s="1"/>
  <c r="U16" i="22" s="1"/>
  <c r="P26" i="22"/>
  <c r="T26" i="22" s="1"/>
  <c r="U26" i="22" s="1"/>
  <c r="P24" i="22"/>
  <c r="T24" i="22" s="1"/>
  <c r="U24" i="22" s="1"/>
  <c r="P42" i="22"/>
  <c r="U42" i="22" s="1"/>
  <c r="P19" i="22"/>
  <c r="T19" i="22" s="1"/>
  <c r="U19" i="22" s="1"/>
  <c r="P22" i="22"/>
  <c r="T22" i="22" s="1"/>
  <c r="U22" i="22" s="1"/>
  <c r="P38" i="22"/>
  <c r="U38" i="22" s="1"/>
  <c r="P28" i="22"/>
  <c r="T28" i="22" s="1"/>
  <c r="U28" i="22" s="1"/>
  <c r="P17" i="22"/>
  <c r="T17" i="22" s="1"/>
  <c r="U17" i="22" s="1"/>
  <c r="P39" i="22"/>
  <c r="U39" i="22" s="1"/>
  <c r="P122" i="22"/>
  <c r="U122" i="22" s="1"/>
  <c r="P41" i="22"/>
  <c r="U41" i="22" s="1"/>
  <c r="P113" i="22"/>
  <c r="U113" i="22" s="1"/>
  <c r="P21" i="22"/>
  <c r="T21" i="22" s="1"/>
  <c r="U21" i="22" s="1"/>
  <c r="P16" i="71"/>
  <c r="T16" i="71" s="1"/>
  <c r="U16" i="71" s="1"/>
  <c r="P26" i="71"/>
  <c r="T26" i="71" s="1"/>
  <c r="U26" i="71" s="1"/>
  <c r="P21" i="71"/>
  <c r="T21" i="71" s="1"/>
  <c r="U21" i="71" s="1"/>
  <c r="P28" i="71"/>
  <c r="T28" i="71" s="1"/>
  <c r="U28" i="71" s="1"/>
  <c r="P39" i="71"/>
  <c r="U39" i="71" s="1"/>
  <c r="P42" i="71"/>
  <c r="U42" i="71" s="1"/>
  <c r="P113" i="71"/>
  <c r="U113" i="71" s="1"/>
  <c r="P17" i="71"/>
  <c r="T17" i="71" s="1"/>
  <c r="U17" i="71" s="1"/>
  <c r="P22" i="71"/>
  <c r="T22" i="71" s="1"/>
  <c r="U22" i="71" s="1"/>
  <c r="P18" i="71"/>
  <c r="T18" i="71" s="1"/>
  <c r="U18" i="71" s="1"/>
  <c r="P38" i="71"/>
  <c r="U38" i="71" s="1"/>
  <c r="P121" i="71"/>
  <c r="U121" i="71" s="1"/>
  <c r="P123" i="71"/>
  <c r="U123" i="71" s="1"/>
  <c r="P29" i="71"/>
  <c r="T29" i="71" s="1"/>
  <c r="U29" i="71" s="1"/>
  <c r="P14" i="71"/>
  <c r="P24" i="71"/>
  <c r="T24" i="71" s="1"/>
  <c r="U24" i="71" s="1"/>
  <c r="P40" i="71"/>
  <c r="U40" i="71" s="1"/>
  <c r="P19" i="71"/>
  <c r="T19" i="71" s="1"/>
  <c r="U19" i="71" s="1"/>
  <c r="P27" i="71"/>
  <c r="T27" i="71" s="1"/>
  <c r="U27" i="71" s="1"/>
  <c r="P41" i="71"/>
  <c r="U41" i="71" s="1"/>
  <c r="P25" i="71"/>
  <c r="T25" i="71" s="1"/>
  <c r="U25" i="71" s="1"/>
  <c r="P15" i="71"/>
  <c r="T15" i="71" s="1"/>
  <c r="U15" i="71" s="1"/>
  <c r="P20" i="71"/>
  <c r="T20" i="71" s="1"/>
  <c r="U20" i="71" s="1"/>
  <c r="P122" i="71"/>
  <c r="U122" i="71" s="1"/>
  <c r="P23" i="71"/>
  <c r="T23" i="71" s="1"/>
  <c r="U23" i="71" s="1"/>
  <c r="P43" i="71"/>
  <c r="U43" i="71" s="1"/>
  <c r="P15" i="48"/>
  <c r="T15" i="48" s="1"/>
  <c r="U15" i="48" s="1"/>
  <c r="P25" i="48"/>
  <c r="T25" i="48" s="1"/>
  <c r="U25" i="48" s="1"/>
  <c r="P20" i="48"/>
  <c r="T20" i="48" s="1"/>
  <c r="U20" i="48" s="1"/>
  <c r="P40" i="48"/>
  <c r="U40" i="48" s="1"/>
  <c r="P43" i="48"/>
  <c r="U43" i="48" s="1"/>
  <c r="P123" i="48"/>
  <c r="U123" i="48" s="1"/>
  <c r="P27" i="48"/>
  <c r="T27" i="48" s="1"/>
  <c r="U27" i="48" s="1"/>
  <c r="P17" i="48"/>
  <c r="T17" i="48" s="1"/>
  <c r="U17" i="48" s="1"/>
  <c r="P22" i="48"/>
  <c r="T22" i="48" s="1"/>
  <c r="U22" i="48" s="1"/>
  <c r="P24" i="48"/>
  <c r="T24" i="48" s="1"/>
  <c r="U24" i="48" s="1"/>
  <c r="P38" i="48"/>
  <c r="U38" i="48" s="1"/>
  <c r="P41" i="48"/>
  <c r="U41" i="48" s="1"/>
  <c r="P19" i="48"/>
  <c r="T19" i="48" s="1"/>
  <c r="U19" i="48" s="1"/>
  <c r="P16" i="48"/>
  <c r="T16" i="48" s="1"/>
  <c r="U16" i="48" s="1"/>
  <c r="P26" i="48"/>
  <c r="T26" i="48" s="1"/>
  <c r="U26" i="48" s="1"/>
  <c r="P21" i="48"/>
  <c r="T21" i="48" s="1"/>
  <c r="U21" i="48" s="1"/>
  <c r="P28" i="48"/>
  <c r="T28" i="48" s="1"/>
  <c r="U28" i="48" s="1"/>
  <c r="P39" i="48"/>
  <c r="U39" i="48" s="1"/>
  <c r="P42" i="48"/>
  <c r="U42" i="48" s="1"/>
  <c r="P18" i="48"/>
  <c r="T18" i="48" s="1"/>
  <c r="U18" i="48" s="1"/>
  <c r="P14" i="48"/>
  <c r="P23" i="48"/>
  <c r="T23" i="48" s="1"/>
  <c r="U23" i="48" s="1"/>
  <c r="P122" i="48"/>
  <c r="U122" i="48" s="1"/>
  <c r="P113" i="48"/>
  <c r="U113" i="48" s="1"/>
  <c r="P29" i="48"/>
  <c r="T29" i="48" s="1"/>
  <c r="U29" i="48" s="1"/>
  <c r="P121" i="48"/>
  <c r="U121" i="48" s="1"/>
  <c r="I107" i="21"/>
  <c r="I85" i="30"/>
  <c r="I90" i="30"/>
  <c r="I92" i="30"/>
  <c r="H88" i="30"/>
  <c r="I88" i="30" s="1"/>
  <c r="I85" i="56"/>
  <c r="I90" i="56"/>
  <c r="I92" i="56"/>
  <c r="H88" i="56"/>
  <c r="I88" i="56" s="1"/>
  <c r="P16" i="23"/>
  <c r="T16" i="23" s="1"/>
  <c r="U16" i="23" s="1"/>
  <c r="P26" i="23"/>
  <c r="T26" i="23" s="1"/>
  <c r="U26" i="23" s="1"/>
  <c r="P21" i="23"/>
  <c r="T21" i="23" s="1"/>
  <c r="U21" i="23" s="1"/>
  <c r="P28" i="23"/>
  <c r="T28" i="23" s="1"/>
  <c r="U28" i="23" s="1"/>
  <c r="P39" i="23"/>
  <c r="U39" i="23" s="1"/>
  <c r="P42" i="23"/>
  <c r="U42" i="23" s="1"/>
  <c r="P18" i="23"/>
  <c r="T18" i="23" s="1"/>
  <c r="U18" i="23" s="1"/>
  <c r="P23" i="23"/>
  <c r="T23" i="23" s="1"/>
  <c r="U23" i="23" s="1"/>
  <c r="P121" i="23"/>
  <c r="U121" i="23" s="1"/>
  <c r="P113" i="23"/>
  <c r="U113" i="23" s="1"/>
  <c r="P15" i="23"/>
  <c r="T15" i="23" s="1"/>
  <c r="U15" i="23" s="1"/>
  <c r="P25" i="23"/>
  <c r="T25" i="23" s="1"/>
  <c r="U25" i="23" s="1"/>
  <c r="P20" i="23"/>
  <c r="T20" i="23" s="1"/>
  <c r="U20" i="23" s="1"/>
  <c r="P40" i="23"/>
  <c r="U40" i="23" s="1"/>
  <c r="P43" i="23"/>
  <c r="U43" i="23" s="1"/>
  <c r="P123" i="23"/>
  <c r="U123" i="23" s="1"/>
  <c r="P27" i="23"/>
  <c r="T27" i="23" s="1"/>
  <c r="U27" i="23" s="1"/>
  <c r="P17" i="23"/>
  <c r="T17" i="23" s="1"/>
  <c r="U17" i="23" s="1"/>
  <c r="P22" i="23"/>
  <c r="T22" i="23" s="1"/>
  <c r="U22" i="23" s="1"/>
  <c r="P14" i="23"/>
  <c r="P29" i="23"/>
  <c r="T29" i="23" s="1"/>
  <c r="U29" i="23" s="1"/>
  <c r="P24" i="23"/>
  <c r="T24" i="23" s="1"/>
  <c r="U24" i="23" s="1"/>
  <c r="P38" i="23"/>
  <c r="U38" i="23" s="1"/>
  <c r="P41" i="23"/>
  <c r="U41" i="23" s="1"/>
  <c r="P19" i="23"/>
  <c r="T19" i="23" s="1"/>
  <c r="U19" i="23" s="1"/>
  <c r="P122" i="23"/>
  <c r="U122" i="23" s="1"/>
  <c r="C107" i="30"/>
  <c r="H104" i="30"/>
  <c r="I107" i="30" s="1"/>
  <c r="P19" i="18"/>
  <c r="T19" i="18" s="1"/>
  <c r="U19" i="18" s="1"/>
  <c r="P16" i="18"/>
  <c r="T16" i="18" s="1"/>
  <c r="U16" i="18" s="1"/>
  <c r="P26" i="18"/>
  <c r="T26" i="18" s="1"/>
  <c r="U26" i="18" s="1"/>
  <c r="P122" i="18"/>
  <c r="U122" i="18" s="1"/>
  <c r="P21" i="18"/>
  <c r="T21" i="18" s="1"/>
  <c r="U21" i="18" s="1"/>
  <c r="P28" i="18"/>
  <c r="T28" i="18" s="1"/>
  <c r="U28" i="18" s="1"/>
  <c r="P39" i="18"/>
  <c r="U39" i="18" s="1"/>
  <c r="P42" i="18"/>
  <c r="U42" i="18" s="1"/>
  <c r="P18" i="18"/>
  <c r="T18" i="18" s="1"/>
  <c r="U18" i="18" s="1"/>
  <c r="P23" i="18"/>
  <c r="T23" i="18" s="1"/>
  <c r="U23" i="18" s="1"/>
  <c r="P121" i="18"/>
  <c r="U121" i="18" s="1"/>
  <c r="P20" i="18"/>
  <c r="T20" i="18" s="1"/>
  <c r="U20" i="18" s="1"/>
  <c r="P40" i="18"/>
  <c r="U40" i="18" s="1"/>
  <c r="P43" i="18"/>
  <c r="U43" i="18" s="1"/>
  <c r="P17" i="18"/>
  <c r="T17" i="18" s="1"/>
  <c r="U17" i="18" s="1"/>
  <c r="P22" i="18"/>
  <c r="T22" i="18" s="1"/>
  <c r="U22" i="18" s="1"/>
  <c r="P14" i="18"/>
  <c r="P29" i="18"/>
  <c r="T29" i="18" s="1"/>
  <c r="U29" i="18" s="1"/>
  <c r="P15" i="18"/>
  <c r="T15" i="18" s="1"/>
  <c r="U15" i="18" s="1"/>
  <c r="P113" i="18"/>
  <c r="U113" i="18" s="1"/>
  <c r="P24" i="18"/>
  <c r="T24" i="18" s="1"/>
  <c r="U24" i="18" s="1"/>
  <c r="P25" i="18"/>
  <c r="T25" i="18" s="1"/>
  <c r="U25" i="18" s="1"/>
  <c r="P41" i="18"/>
  <c r="U41" i="18" s="1"/>
  <c r="P123" i="18"/>
  <c r="U123" i="18" s="1"/>
  <c r="P27" i="18"/>
  <c r="T27" i="18" s="1"/>
  <c r="U27" i="18" s="1"/>
  <c r="P38" i="18"/>
  <c r="U38" i="18" s="1"/>
  <c r="P19" i="25"/>
  <c r="T19" i="25" s="1"/>
  <c r="U19" i="25" s="1"/>
  <c r="P16" i="25"/>
  <c r="T16" i="25" s="1"/>
  <c r="U16" i="25" s="1"/>
  <c r="P26" i="25"/>
  <c r="T26" i="25" s="1"/>
  <c r="U26" i="25" s="1"/>
  <c r="P18" i="25"/>
  <c r="T18" i="25" s="1"/>
  <c r="U18" i="25" s="1"/>
  <c r="P23" i="25"/>
  <c r="T23" i="25" s="1"/>
  <c r="U23" i="25" s="1"/>
  <c r="P39" i="25"/>
  <c r="U39" i="25" s="1"/>
  <c r="P42" i="25"/>
  <c r="U42" i="25" s="1"/>
  <c r="P28" i="25"/>
  <c r="T28" i="25" s="1"/>
  <c r="U28" i="25" s="1"/>
  <c r="P121" i="25"/>
  <c r="U121" i="25" s="1"/>
  <c r="P113" i="25"/>
  <c r="U113" i="25" s="1"/>
  <c r="P22" i="25"/>
  <c r="T22" i="25" s="1"/>
  <c r="U22" i="25" s="1"/>
  <c r="P24" i="25"/>
  <c r="T24" i="25" s="1"/>
  <c r="U24" i="25" s="1"/>
  <c r="P20" i="25"/>
  <c r="T20" i="25" s="1"/>
  <c r="U20" i="25" s="1"/>
  <c r="P40" i="25"/>
  <c r="U40" i="25" s="1"/>
  <c r="P43" i="25"/>
  <c r="U43" i="25" s="1"/>
  <c r="P123" i="25"/>
  <c r="U123" i="25" s="1"/>
  <c r="P14" i="25"/>
  <c r="P27" i="25"/>
  <c r="T27" i="25" s="1"/>
  <c r="U27" i="25" s="1"/>
  <c r="P25" i="25"/>
  <c r="T25" i="25" s="1"/>
  <c r="U25" i="25" s="1"/>
  <c r="P29" i="25"/>
  <c r="T29" i="25" s="1"/>
  <c r="U29" i="25" s="1"/>
  <c r="P38" i="25"/>
  <c r="U38" i="25" s="1"/>
  <c r="P41" i="25"/>
  <c r="U41" i="25" s="1"/>
  <c r="P21" i="25"/>
  <c r="T21" i="25" s="1"/>
  <c r="U21" i="25" s="1"/>
  <c r="P122" i="25"/>
  <c r="U122" i="25" s="1"/>
  <c r="P15" i="25"/>
  <c r="T15" i="25" s="1"/>
  <c r="U15" i="25" s="1"/>
  <c r="P17" i="25"/>
  <c r="T17" i="25" s="1"/>
  <c r="U17" i="25" s="1"/>
  <c r="P17" i="33"/>
  <c r="T17" i="33" s="1"/>
  <c r="U17" i="33" s="1"/>
  <c r="P22" i="33"/>
  <c r="T22" i="33" s="1"/>
  <c r="U22" i="33" s="1"/>
  <c r="P14" i="33"/>
  <c r="P29" i="33"/>
  <c r="T29" i="33" s="1"/>
  <c r="U29" i="33" s="1"/>
  <c r="P24" i="33"/>
  <c r="T24" i="33" s="1"/>
  <c r="U24" i="33" s="1"/>
  <c r="P38" i="33"/>
  <c r="U38" i="33" s="1"/>
  <c r="P41" i="33"/>
  <c r="U41" i="33" s="1"/>
  <c r="P19" i="33"/>
  <c r="T19" i="33" s="1"/>
  <c r="U19" i="33" s="1"/>
  <c r="P122" i="33"/>
  <c r="U122" i="33" s="1"/>
  <c r="P16" i="33"/>
  <c r="T16" i="33" s="1"/>
  <c r="U16" i="33" s="1"/>
  <c r="P26" i="33"/>
  <c r="T26" i="33" s="1"/>
  <c r="U26" i="33" s="1"/>
  <c r="P21" i="33"/>
  <c r="T21" i="33" s="1"/>
  <c r="U21" i="33" s="1"/>
  <c r="P28" i="33"/>
  <c r="T28" i="33" s="1"/>
  <c r="U28" i="33" s="1"/>
  <c r="P39" i="33"/>
  <c r="U39" i="33" s="1"/>
  <c r="P42" i="33"/>
  <c r="U42" i="33" s="1"/>
  <c r="P18" i="33"/>
  <c r="T18" i="33" s="1"/>
  <c r="U18" i="33" s="1"/>
  <c r="P23" i="33"/>
  <c r="T23" i="33" s="1"/>
  <c r="U23" i="33" s="1"/>
  <c r="P121" i="33"/>
  <c r="U121" i="33" s="1"/>
  <c r="P20" i="33"/>
  <c r="T20" i="33" s="1"/>
  <c r="U20" i="33" s="1"/>
  <c r="P40" i="33"/>
  <c r="U40" i="33" s="1"/>
  <c r="P43" i="33"/>
  <c r="U43" i="33" s="1"/>
  <c r="P123" i="33"/>
  <c r="U123" i="33" s="1"/>
  <c r="P15" i="33"/>
  <c r="T15" i="33" s="1"/>
  <c r="U15" i="33" s="1"/>
  <c r="P27" i="33"/>
  <c r="T27" i="33" s="1"/>
  <c r="U27" i="33" s="1"/>
  <c r="P25" i="33"/>
  <c r="T25" i="33" s="1"/>
  <c r="U25" i="33" s="1"/>
  <c r="P113" i="33"/>
  <c r="U113" i="33" s="1"/>
  <c r="P28" i="57"/>
  <c r="T28" i="57" s="1"/>
  <c r="U28" i="57" s="1"/>
  <c r="P39" i="57"/>
  <c r="U39" i="57" s="1"/>
  <c r="P42" i="57"/>
  <c r="U42" i="57" s="1"/>
  <c r="P113" i="57"/>
  <c r="U113" i="57" s="1"/>
  <c r="P15" i="57"/>
  <c r="T15" i="57" s="1"/>
  <c r="U15" i="57" s="1"/>
  <c r="P25" i="57"/>
  <c r="T25" i="57" s="1"/>
  <c r="U25" i="57" s="1"/>
  <c r="P27" i="57"/>
  <c r="T27" i="57" s="1"/>
  <c r="U27" i="57" s="1"/>
  <c r="P14" i="57"/>
  <c r="P29" i="57"/>
  <c r="T29" i="57" s="1"/>
  <c r="U29" i="57" s="1"/>
  <c r="P24" i="57"/>
  <c r="T24" i="57" s="1"/>
  <c r="U24" i="57" s="1"/>
  <c r="P38" i="57"/>
  <c r="U38" i="57" s="1"/>
  <c r="P41" i="57"/>
  <c r="U41" i="57" s="1"/>
  <c r="P19" i="57"/>
  <c r="T19" i="57" s="1"/>
  <c r="U19" i="57" s="1"/>
  <c r="P122" i="57"/>
  <c r="U122" i="57" s="1"/>
  <c r="P123" i="57"/>
  <c r="U123" i="57" s="1"/>
  <c r="P22" i="57"/>
  <c r="T22" i="57" s="1"/>
  <c r="U22" i="57" s="1"/>
  <c r="P16" i="57"/>
  <c r="T16" i="57" s="1"/>
  <c r="U16" i="57" s="1"/>
  <c r="P26" i="57"/>
  <c r="T26" i="57" s="1"/>
  <c r="U26" i="57" s="1"/>
  <c r="P121" i="57"/>
  <c r="U121" i="57" s="1"/>
  <c r="P23" i="57"/>
  <c r="T23" i="57" s="1"/>
  <c r="U23" i="57" s="1"/>
  <c r="P43" i="57"/>
  <c r="U43" i="57" s="1"/>
  <c r="P20" i="57"/>
  <c r="T20" i="57" s="1"/>
  <c r="U20" i="57" s="1"/>
  <c r="P17" i="57"/>
  <c r="T17" i="57" s="1"/>
  <c r="U17" i="57" s="1"/>
  <c r="P18" i="57"/>
  <c r="T18" i="57" s="1"/>
  <c r="U18" i="57" s="1"/>
  <c r="P40" i="57"/>
  <c r="U40" i="57" s="1"/>
  <c r="P21" i="57"/>
  <c r="T21" i="57" s="1"/>
  <c r="U21" i="57" s="1"/>
  <c r="I92" i="71"/>
  <c r="H88" i="71"/>
  <c r="I88" i="71" s="1"/>
  <c r="I85" i="71"/>
  <c r="I90" i="71"/>
  <c r="I85" i="48"/>
  <c r="I90" i="48"/>
  <c r="I92" i="48"/>
  <c r="H88" i="48"/>
  <c r="I88" i="48" s="1"/>
  <c r="P28" i="77"/>
  <c r="T28" i="77" s="1"/>
  <c r="U28" i="77" s="1"/>
  <c r="P39" i="77"/>
  <c r="U39" i="77" s="1"/>
  <c r="P42" i="77"/>
  <c r="U42" i="77" s="1"/>
  <c r="P18" i="77"/>
  <c r="T18" i="77" s="1"/>
  <c r="U18" i="77" s="1"/>
  <c r="P23" i="77"/>
  <c r="T23" i="77" s="1"/>
  <c r="U23" i="77" s="1"/>
  <c r="P121" i="77"/>
  <c r="U121" i="77" s="1"/>
  <c r="P113" i="77"/>
  <c r="U113" i="77" s="1"/>
  <c r="P15" i="77"/>
  <c r="T15" i="77" s="1"/>
  <c r="U15" i="77" s="1"/>
  <c r="P25" i="77"/>
  <c r="T25" i="77" s="1"/>
  <c r="U25" i="77" s="1"/>
  <c r="P20" i="77"/>
  <c r="T20" i="77" s="1"/>
  <c r="U20" i="77" s="1"/>
  <c r="P40" i="77"/>
  <c r="U40" i="77" s="1"/>
  <c r="P43" i="77"/>
  <c r="U43" i="77" s="1"/>
  <c r="P123" i="77"/>
  <c r="U123" i="77" s="1"/>
  <c r="P27" i="77"/>
  <c r="T27" i="77" s="1"/>
  <c r="U27" i="77" s="1"/>
  <c r="P17" i="77"/>
  <c r="T17" i="77" s="1"/>
  <c r="U17" i="77" s="1"/>
  <c r="P22" i="77"/>
  <c r="T22" i="77" s="1"/>
  <c r="U22" i="77" s="1"/>
  <c r="P14" i="77"/>
  <c r="P29" i="77"/>
  <c r="T29" i="77" s="1"/>
  <c r="U29" i="77" s="1"/>
  <c r="P24" i="77"/>
  <c r="T24" i="77" s="1"/>
  <c r="U24" i="77" s="1"/>
  <c r="P38" i="77"/>
  <c r="U38" i="77" s="1"/>
  <c r="P41" i="77"/>
  <c r="U41" i="77" s="1"/>
  <c r="P19" i="77"/>
  <c r="T19" i="77" s="1"/>
  <c r="U19" i="77" s="1"/>
  <c r="P122" i="77"/>
  <c r="U122" i="77" s="1"/>
  <c r="P16" i="77"/>
  <c r="T16" i="77" s="1"/>
  <c r="U16" i="77" s="1"/>
  <c r="P26" i="77"/>
  <c r="T26" i="77" s="1"/>
  <c r="U26" i="77" s="1"/>
  <c r="P21" i="77"/>
  <c r="T21" i="77" s="1"/>
  <c r="U21" i="77" s="1"/>
  <c r="P19" i="26"/>
  <c r="T19" i="26" s="1"/>
  <c r="U19" i="26" s="1"/>
  <c r="P122" i="26"/>
  <c r="U122" i="26" s="1"/>
  <c r="P16" i="26"/>
  <c r="T16" i="26" s="1"/>
  <c r="U16" i="26" s="1"/>
  <c r="P26" i="26"/>
  <c r="T26" i="26" s="1"/>
  <c r="U26" i="26" s="1"/>
  <c r="P21" i="26"/>
  <c r="T21" i="26" s="1"/>
  <c r="U21" i="26" s="1"/>
  <c r="P28" i="26"/>
  <c r="T28" i="26" s="1"/>
  <c r="U28" i="26" s="1"/>
  <c r="P39" i="26"/>
  <c r="U39" i="26" s="1"/>
  <c r="P42" i="26"/>
  <c r="U42" i="26" s="1"/>
  <c r="P18" i="26"/>
  <c r="T18" i="26" s="1"/>
  <c r="U18" i="26" s="1"/>
  <c r="P23" i="26"/>
  <c r="T23" i="26" s="1"/>
  <c r="U23" i="26" s="1"/>
  <c r="P121" i="26"/>
  <c r="U121" i="26" s="1"/>
  <c r="P113" i="26"/>
  <c r="U113" i="26" s="1"/>
  <c r="P15" i="26"/>
  <c r="T15" i="26" s="1"/>
  <c r="U15" i="26" s="1"/>
  <c r="P25" i="26"/>
  <c r="T25" i="26" s="1"/>
  <c r="U25" i="26" s="1"/>
  <c r="P20" i="26"/>
  <c r="T20" i="26" s="1"/>
  <c r="U20" i="26" s="1"/>
  <c r="P40" i="26"/>
  <c r="U40" i="26" s="1"/>
  <c r="P43" i="26"/>
  <c r="U43" i="26" s="1"/>
  <c r="P123" i="26"/>
  <c r="U123" i="26" s="1"/>
  <c r="P17" i="26"/>
  <c r="T17" i="26" s="1"/>
  <c r="U17" i="26" s="1"/>
  <c r="P22" i="26"/>
  <c r="T22" i="26" s="1"/>
  <c r="U22" i="26" s="1"/>
  <c r="P14" i="26"/>
  <c r="P29" i="26"/>
  <c r="T29" i="26" s="1"/>
  <c r="U29" i="26" s="1"/>
  <c r="P38" i="26"/>
  <c r="U38" i="26" s="1"/>
  <c r="P27" i="26"/>
  <c r="T27" i="26" s="1"/>
  <c r="U27" i="26" s="1"/>
  <c r="P41" i="26"/>
  <c r="U41" i="26" s="1"/>
  <c r="P24" i="26"/>
  <c r="T24" i="26" s="1"/>
  <c r="U24" i="26" s="1"/>
  <c r="I85" i="16"/>
  <c r="I90" i="16"/>
  <c r="I92" i="16"/>
  <c r="I88" i="16"/>
  <c r="P19" i="78"/>
  <c r="T19" i="78" s="1"/>
  <c r="U19" i="78" s="1"/>
  <c r="P122" i="78"/>
  <c r="U122" i="78" s="1"/>
  <c r="P16" i="78"/>
  <c r="T16" i="78" s="1"/>
  <c r="U16" i="78" s="1"/>
  <c r="P26" i="78"/>
  <c r="T26" i="78" s="1"/>
  <c r="U26" i="78" s="1"/>
  <c r="P21" i="78"/>
  <c r="T21" i="78" s="1"/>
  <c r="U21" i="78" s="1"/>
  <c r="P28" i="78"/>
  <c r="T28" i="78" s="1"/>
  <c r="U28" i="78" s="1"/>
  <c r="P39" i="78"/>
  <c r="U39" i="78" s="1"/>
  <c r="P42" i="78"/>
  <c r="U42" i="78" s="1"/>
  <c r="P18" i="78"/>
  <c r="T18" i="78" s="1"/>
  <c r="U18" i="78" s="1"/>
  <c r="P23" i="78"/>
  <c r="T23" i="78" s="1"/>
  <c r="U23" i="78" s="1"/>
  <c r="P121" i="78"/>
  <c r="U121" i="78" s="1"/>
  <c r="P113" i="78"/>
  <c r="U113" i="78" s="1"/>
  <c r="P15" i="78"/>
  <c r="T15" i="78" s="1"/>
  <c r="U15" i="78" s="1"/>
  <c r="P25" i="78"/>
  <c r="T25" i="78" s="1"/>
  <c r="U25" i="78" s="1"/>
  <c r="P20" i="78"/>
  <c r="T20" i="78" s="1"/>
  <c r="U20" i="78" s="1"/>
  <c r="P40" i="78"/>
  <c r="U40" i="78" s="1"/>
  <c r="P43" i="78"/>
  <c r="U43" i="78" s="1"/>
  <c r="P123" i="78"/>
  <c r="U123" i="78" s="1"/>
  <c r="P27" i="78"/>
  <c r="T27" i="78" s="1"/>
  <c r="U27" i="78" s="1"/>
  <c r="P17" i="78"/>
  <c r="T17" i="78" s="1"/>
  <c r="U17" i="78" s="1"/>
  <c r="P22" i="78"/>
  <c r="T22" i="78" s="1"/>
  <c r="U22" i="78" s="1"/>
  <c r="P29" i="78"/>
  <c r="T29" i="78" s="1"/>
  <c r="U29" i="78" s="1"/>
  <c r="P14" i="78"/>
  <c r="P24" i="78"/>
  <c r="T24" i="78" s="1"/>
  <c r="U24" i="78" s="1"/>
  <c r="P38" i="78"/>
  <c r="U38" i="78" s="1"/>
  <c r="P41" i="78"/>
  <c r="U41" i="78" s="1"/>
  <c r="I30" i="30"/>
  <c r="C107" i="31"/>
  <c r="H104" i="31"/>
  <c r="I107" i="31" s="1"/>
  <c r="H104" i="23"/>
  <c r="I107" i="23" s="1"/>
  <c r="C107" i="23"/>
  <c r="I85" i="33"/>
  <c r="I90" i="33"/>
  <c r="I92" i="33"/>
  <c r="H88" i="33"/>
  <c r="I88" i="33" s="1"/>
  <c r="P17" i="36"/>
  <c r="T17" i="36" s="1"/>
  <c r="U17" i="36" s="1"/>
  <c r="P22" i="36"/>
  <c r="T22" i="36" s="1"/>
  <c r="U22" i="36" s="1"/>
  <c r="P14" i="36"/>
  <c r="P29" i="36"/>
  <c r="T29" i="36" s="1"/>
  <c r="U29" i="36" s="1"/>
  <c r="P24" i="36"/>
  <c r="T24" i="36" s="1"/>
  <c r="U24" i="36" s="1"/>
  <c r="P38" i="36"/>
  <c r="U38" i="36" s="1"/>
  <c r="P41" i="36"/>
  <c r="U41" i="36" s="1"/>
  <c r="P18" i="36"/>
  <c r="T18" i="36" s="1"/>
  <c r="U18" i="36" s="1"/>
  <c r="P23" i="36"/>
  <c r="T23" i="36" s="1"/>
  <c r="U23" i="36" s="1"/>
  <c r="P121" i="36"/>
  <c r="U121" i="36" s="1"/>
  <c r="P39" i="36"/>
  <c r="U39" i="36" s="1"/>
  <c r="P43" i="36"/>
  <c r="U43" i="36" s="1"/>
  <c r="P123" i="36"/>
  <c r="U123" i="36" s="1"/>
  <c r="P15" i="36"/>
  <c r="T15" i="36" s="1"/>
  <c r="U15" i="36" s="1"/>
  <c r="P27" i="36"/>
  <c r="T27" i="36" s="1"/>
  <c r="U27" i="36" s="1"/>
  <c r="P40" i="36"/>
  <c r="U40" i="36" s="1"/>
  <c r="P20" i="36"/>
  <c r="T20" i="36" s="1"/>
  <c r="U20" i="36" s="1"/>
  <c r="P25" i="36"/>
  <c r="T25" i="36" s="1"/>
  <c r="U25" i="36" s="1"/>
  <c r="P113" i="36"/>
  <c r="U113" i="36" s="1"/>
  <c r="P16" i="36"/>
  <c r="T16" i="36" s="1"/>
  <c r="U16" i="36" s="1"/>
  <c r="P28" i="36"/>
  <c r="T28" i="36" s="1"/>
  <c r="U28" i="36" s="1"/>
  <c r="P122" i="36"/>
  <c r="U122" i="36" s="1"/>
  <c r="P19" i="36"/>
  <c r="T19" i="36" s="1"/>
  <c r="U19" i="36" s="1"/>
  <c r="P21" i="36"/>
  <c r="T21" i="36" s="1"/>
  <c r="U21" i="36" s="1"/>
  <c r="P26" i="36"/>
  <c r="T26" i="36" s="1"/>
  <c r="U26" i="36" s="1"/>
  <c r="P42" i="36"/>
  <c r="U42" i="36" s="1"/>
  <c r="I92" i="32"/>
  <c r="H88" i="32"/>
  <c r="I88" i="32" s="1"/>
  <c r="I90" i="32"/>
  <c r="I85" i="32"/>
  <c r="H105" i="69"/>
  <c r="I107" i="69" s="1"/>
  <c r="C107" i="69"/>
  <c r="H104" i="67"/>
  <c r="I107" i="67" s="1"/>
  <c r="C107" i="67"/>
  <c r="H104" i="38"/>
  <c r="I107" i="38" s="1"/>
  <c r="C107" i="38"/>
  <c r="C107" i="77"/>
  <c r="H104" i="77"/>
  <c r="I107" i="77" s="1"/>
  <c r="C107" i="24"/>
  <c r="H104" i="24"/>
  <c r="I107" i="24" s="1"/>
  <c r="C107" i="16"/>
  <c r="H104" i="16"/>
  <c r="P15" i="56"/>
  <c r="T15" i="56" s="1"/>
  <c r="U15" i="56" s="1"/>
  <c r="P25" i="56"/>
  <c r="T25" i="56" s="1"/>
  <c r="U25" i="56" s="1"/>
  <c r="P27" i="56"/>
  <c r="T27" i="56" s="1"/>
  <c r="U27" i="56" s="1"/>
  <c r="P17" i="56"/>
  <c r="T17" i="56" s="1"/>
  <c r="U17" i="56" s="1"/>
  <c r="P22" i="56"/>
  <c r="T22" i="56" s="1"/>
  <c r="U22" i="56" s="1"/>
  <c r="P24" i="56"/>
  <c r="T24" i="56" s="1"/>
  <c r="U24" i="56" s="1"/>
  <c r="P38" i="56"/>
  <c r="U38" i="56" s="1"/>
  <c r="P41" i="56"/>
  <c r="U41" i="56" s="1"/>
  <c r="P16" i="56"/>
  <c r="T16" i="56" s="1"/>
  <c r="U16" i="56" s="1"/>
  <c r="P26" i="56"/>
  <c r="T26" i="56" s="1"/>
  <c r="U26" i="56" s="1"/>
  <c r="P21" i="56"/>
  <c r="T21" i="56" s="1"/>
  <c r="U21" i="56" s="1"/>
  <c r="P28" i="56"/>
  <c r="T28" i="56" s="1"/>
  <c r="U28" i="56" s="1"/>
  <c r="P39" i="56"/>
  <c r="U39" i="56" s="1"/>
  <c r="P42" i="56"/>
  <c r="U42" i="56" s="1"/>
  <c r="P123" i="56"/>
  <c r="U123" i="56" s="1"/>
  <c r="P18" i="56"/>
  <c r="T18" i="56" s="1"/>
  <c r="U18" i="56" s="1"/>
  <c r="P40" i="56"/>
  <c r="U40" i="56" s="1"/>
  <c r="P121" i="56"/>
  <c r="U121" i="56" s="1"/>
  <c r="P29" i="56"/>
  <c r="T29" i="56" s="1"/>
  <c r="U29" i="56" s="1"/>
  <c r="P19" i="56"/>
  <c r="T19" i="56" s="1"/>
  <c r="U19" i="56" s="1"/>
  <c r="P113" i="56"/>
  <c r="U113" i="56" s="1"/>
  <c r="P23" i="56"/>
  <c r="T23" i="56" s="1"/>
  <c r="U23" i="56" s="1"/>
  <c r="P122" i="56"/>
  <c r="U122" i="56" s="1"/>
  <c r="P14" i="56"/>
  <c r="P43" i="56"/>
  <c r="U43" i="56" s="1"/>
  <c r="P20" i="56"/>
  <c r="T20" i="56" s="1"/>
  <c r="U20" i="56" s="1"/>
  <c r="C107" i="45"/>
  <c r="H104" i="45"/>
  <c r="I107" i="45" s="1"/>
  <c r="I30" i="23"/>
  <c r="H88" i="70"/>
  <c r="I88" i="70" s="1"/>
  <c r="I92" i="70"/>
  <c r="I90" i="70"/>
  <c r="I85" i="70"/>
  <c r="C107" i="68"/>
  <c r="H104" i="68"/>
  <c r="I107" i="68" s="1"/>
  <c r="H88" i="35"/>
  <c r="I88" i="35" s="1"/>
  <c r="I85" i="35"/>
  <c r="I90" i="35"/>
  <c r="I92" i="35"/>
  <c r="I85" i="36"/>
  <c r="I90" i="36"/>
  <c r="H88" i="36"/>
  <c r="I88" i="36" s="1"/>
  <c r="I92" i="36"/>
  <c r="P19" i="32"/>
  <c r="T19" i="32" s="1"/>
  <c r="U19" i="32" s="1"/>
  <c r="P16" i="32"/>
  <c r="T16" i="32" s="1"/>
  <c r="U16" i="32" s="1"/>
  <c r="P26" i="32"/>
  <c r="T26" i="32" s="1"/>
  <c r="U26" i="32" s="1"/>
  <c r="P21" i="32"/>
  <c r="T21" i="32" s="1"/>
  <c r="U21" i="32" s="1"/>
  <c r="P28" i="32"/>
  <c r="T28" i="32" s="1"/>
  <c r="U28" i="32" s="1"/>
  <c r="P39" i="32"/>
  <c r="U39" i="32" s="1"/>
  <c r="P42" i="32"/>
  <c r="U42" i="32" s="1"/>
  <c r="P18" i="32"/>
  <c r="T18" i="32" s="1"/>
  <c r="U18" i="32" s="1"/>
  <c r="P23" i="32"/>
  <c r="T23" i="32" s="1"/>
  <c r="U23" i="32" s="1"/>
  <c r="P121" i="32"/>
  <c r="U121" i="32" s="1"/>
  <c r="P113" i="32"/>
  <c r="U113" i="32" s="1"/>
  <c r="P15" i="32"/>
  <c r="T15" i="32" s="1"/>
  <c r="U15" i="32" s="1"/>
  <c r="P25" i="32"/>
  <c r="T25" i="32" s="1"/>
  <c r="U25" i="32" s="1"/>
  <c r="P20" i="32"/>
  <c r="T20" i="32" s="1"/>
  <c r="U20" i="32" s="1"/>
  <c r="P40" i="32"/>
  <c r="U40" i="32" s="1"/>
  <c r="P43" i="32"/>
  <c r="U43" i="32" s="1"/>
  <c r="P14" i="32"/>
  <c r="P29" i="32"/>
  <c r="T29" i="32" s="1"/>
  <c r="U29" i="32" s="1"/>
  <c r="P17" i="32"/>
  <c r="T17" i="32" s="1"/>
  <c r="U17" i="32" s="1"/>
  <c r="P22" i="32"/>
  <c r="T22" i="32" s="1"/>
  <c r="U22" i="32" s="1"/>
  <c r="P41" i="32"/>
  <c r="U41" i="32" s="1"/>
  <c r="P122" i="32"/>
  <c r="U122" i="32" s="1"/>
  <c r="P27" i="32"/>
  <c r="T27" i="32" s="1"/>
  <c r="U27" i="32" s="1"/>
  <c r="P38" i="32"/>
  <c r="U38" i="32" s="1"/>
  <c r="P24" i="32"/>
  <c r="T24" i="32" s="1"/>
  <c r="U24" i="32" s="1"/>
  <c r="P123" i="32"/>
  <c r="U123" i="32" s="1"/>
  <c r="P20" i="24"/>
  <c r="T20" i="24" s="1"/>
  <c r="U20" i="24" s="1"/>
  <c r="P40" i="24"/>
  <c r="U40" i="24" s="1"/>
  <c r="P43" i="24"/>
  <c r="U43" i="24" s="1"/>
  <c r="P123" i="24"/>
  <c r="U123" i="24" s="1"/>
  <c r="P17" i="24"/>
  <c r="T17" i="24" s="1"/>
  <c r="U17" i="24" s="1"/>
  <c r="P22" i="24"/>
  <c r="T22" i="24" s="1"/>
  <c r="U22" i="24" s="1"/>
  <c r="P14" i="24"/>
  <c r="P29" i="24"/>
  <c r="T29" i="24" s="1"/>
  <c r="U29" i="24" s="1"/>
  <c r="P24" i="24"/>
  <c r="T24" i="24" s="1"/>
  <c r="U24" i="24" s="1"/>
  <c r="P38" i="24"/>
  <c r="U38" i="24" s="1"/>
  <c r="P41" i="24"/>
  <c r="U41" i="24" s="1"/>
  <c r="P16" i="24"/>
  <c r="T16" i="24" s="1"/>
  <c r="U16" i="24" s="1"/>
  <c r="P26" i="24"/>
  <c r="T26" i="24" s="1"/>
  <c r="U26" i="24" s="1"/>
  <c r="P18" i="24"/>
  <c r="T18" i="24" s="1"/>
  <c r="U18" i="24" s="1"/>
  <c r="P23" i="24"/>
  <c r="T23" i="24" s="1"/>
  <c r="U23" i="24" s="1"/>
  <c r="P121" i="24"/>
  <c r="U121" i="24" s="1"/>
  <c r="P19" i="24"/>
  <c r="T19" i="24" s="1"/>
  <c r="U19" i="24" s="1"/>
  <c r="P28" i="24"/>
  <c r="T28" i="24" s="1"/>
  <c r="U28" i="24" s="1"/>
  <c r="P25" i="24"/>
  <c r="T25" i="24" s="1"/>
  <c r="U25" i="24" s="1"/>
  <c r="P39" i="24"/>
  <c r="U39" i="24" s="1"/>
  <c r="P15" i="24"/>
  <c r="T15" i="24" s="1"/>
  <c r="U15" i="24" s="1"/>
  <c r="P113" i="24"/>
  <c r="U113" i="24" s="1"/>
  <c r="P21" i="24"/>
  <c r="T21" i="24" s="1"/>
  <c r="U21" i="24" s="1"/>
  <c r="P27" i="24"/>
  <c r="T27" i="24" s="1"/>
  <c r="U27" i="24" s="1"/>
  <c r="P122" i="24"/>
  <c r="U122" i="24" s="1"/>
  <c r="P42" i="24"/>
  <c r="U42" i="24" s="1"/>
  <c r="I85" i="75"/>
  <c r="I90" i="75"/>
  <c r="I92" i="75"/>
  <c r="H88" i="75"/>
  <c r="I88" i="75" s="1"/>
  <c r="H104" i="78"/>
  <c r="I107" i="78" s="1"/>
  <c r="C107" i="78"/>
  <c r="H88" i="50"/>
  <c r="I88" i="50" s="1"/>
  <c r="I85" i="50"/>
  <c r="I90" i="50"/>
  <c r="I92" i="50"/>
  <c r="P14" i="7"/>
  <c r="P16" i="7"/>
  <c r="T16" i="7" s="1"/>
  <c r="U16" i="7" s="1"/>
  <c r="P121" i="7"/>
  <c r="U121" i="7" s="1"/>
  <c r="P18" i="7"/>
  <c r="T18" i="7" s="1"/>
  <c r="U18" i="7" s="1"/>
  <c r="P20" i="7"/>
  <c r="T20" i="7" s="1"/>
  <c r="U20" i="7" s="1"/>
  <c r="P22" i="7"/>
  <c r="T22" i="7" s="1"/>
  <c r="U22" i="7" s="1"/>
  <c r="P24" i="7"/>
  <c r="T24" i="7" s="1"/>
  <c r="U24" i="7" s="1"/>
  <c r="P26" i="7"/>
  <c r="T26" i="7" s="1"/>
  <c r="U26" i="7" s="1"/>
  <c r="P28" i="7"/>
  <c r="T28" i="7" s="1"/>
  <c r="U28" i="7" s="1"/>
  <c r="P39" i="7"/>
  <c r="U39" i="7" s="1"/>
  <c r="P42" i="7"/>
  <c r="U42" i="7" s="1"/>
  <c r="P113" i="7"/>
  <c r="U113" i="7" s="1"/>
  <c r="P123" i="7"/>
  <c r="U123" i="7" s="1"/>
  <c r="P15" i="7"/>
  <c r="T15" i="7" s="1"/>
  <c r="U15" i="7" s="1"/>
  <c r="P40" i="7"/>
  <c r="U40" i="7" s="1"/>
  <c r="P43" i="7"/>
  <c r="U43" i="7" s="1"/>
  <c r="P17" i="7"/>
  <c r="T17" i="7" s="1"/>
  <c r="U17" i="7" s="1"/>
  <c r="P19" i="7"/>
  <c r="T19" i="7" s="1"/>
  <c r="U19" i="7" s="1"/>
  <c r="P23" i="7"/>
  <c r="T23" i="7" s="1"/>
  <c r="U23" i="7" s="1"/>
  <c r="P27" i="7"/>
  <c r="T27" i="7" s="1"/>
  <c r="U27" i="7" s="1"/>
  <c r="P38" i="7"/>
  <c r="U38" i="7" s="1"/>
  <c r="P122" i="7"/>
  <c r="U122" i="7" s="1"/>
  <c r="P41" i="7"/>
  <c r="U41" i="7" s="1"/>
  <c r="P21" i="7"/>
  <c r="T21" i="7" s="1"/>
  <c r="U21" i="7" s="1"/>
  <c r="P25" i="7"/>
  <c r="T25" i="7" s="1"/>
  <c r="U25" i="7" s="1"/>
  <c r="P29" i="7"/>
  <c r="T29" i="7" s="1"/>
  <c r="U29" i="7" s="1"/>
  <c r="H96" i="56" l="1"/>
  <c r="I96" i="56" s="1"/>
  <c r="I128" i="56" s="1"/>
  <c r="H102" i="60"/>
  <c r="I107" i="7"/>
  <c r="H103" i="60"/>
  <c r="H88" i="7"/>
  <c r="I88" i="7" s="1"/>
  <c r="H98" i="7"/>
  <c r="I98" i="7" s="1"/>
  <c r="I86" i="60"/>
  <c r="C74" i="60"/>
  <c r="H75" i="60" s="1"/>
  <c r="F52" i="38"/>
  <c r="I52" i="38" s="1"/>
  <c r="F52" i="22"/>
  <c r="I52" i="22" s="1"/>
  <c r="F51" i="69"/>
  <c r="I51" i="69" s="1"/>
  <c r="F51" i="37"/>
  <c r="I51" i="37" s="1"/>
  <c r="F52" i="76"/>
  <c r="I52" i="76" s="1"/>
  <c r="F51" i="36"/>
  <c r="I51" i="36" s="1"/>
  <c r="F51" i="68"/>
  <c r="I51" i="68" s="1"/>
  <c r="F52" i="48"/>
  <c r="I52" i="48" s="1"/>
  <c r="F52" i="58"/>
  <c r="I52" i="58" s="1"/>
  <c r="F51" i="40"/>
  <c r="I51" i="40" s="1"/>
  <c r="F52" i="25"/>
  <c r="I52" i="25" s="1"/>
  <c r="F51" i="56"/>
  <c r="I51" i="56" s="1"/>
  <c r="F51" i="52"/>
  <c r="I51" i="52" s="1"/>
  <c r="F51" i="42"/>
  <c r="I51" i="42" s="1"/>
  <c r="F52" i="21"/>
  <c r="I52" i="21" s="1"/>
  <c r="F52" i="31"/>
  <c r="I52" i="31" s="1"/>
  <c r="F51" i="45"/>
  <c r="I51" i="45" s="1"/>
  <c r="F51" i="27"/>
  <c r="I51" i="27" s="1"/>
  <c r="F51" i="24"/>
  <c r="I51" i="24" s="1"/>
  <c r="F51" i="51"/>
  <c r="I51" i="51" s="1"/>
  <c r="F51" i="25"/>
  <c r="I51" i="25" s="1"/>
  <c r="F51" i="55"/>
  <c r="I51" i="55" s="1"/>
  <c r="F52" i="50"/>
  <c r="I52" i="50" s="1"/>
  <c r="F52" i="45"/>
  <c r="I52" i="45" s="1"/>
  <c r="F52" i="77"/>
  <c r="I52" i="77" s="1"/>
  <c r="F52" i="47"/>
  <c r="I52" i="47" s="1"/>
  <c r="F51" i="71"/>
  <c r="I51" i="71" s="1"/>
  <c r="F52" i="78"/>
  <c r="I52" i="78" s="1"/>
  <c r="F52" i="28"/>
  <c r="I52" i="28" s="1"/>
  <c r="F51" i="57"/>
  <c r="I51" i="57" s="1"/>
  <c r="F52" i="44"/>
  <c r="I52" i="44" s="1"/>
  <c r="F51" i="34"/>
  <c r="I51" i="34" s="1"/>
  <c r="F52" i="35"/>
  <c r="I52" i="35" s="1"/>
  <c r="F52" i="39"/>
  <c r="I52" i="39" s="1"/>
  <c r="F51" i="39"/>
  <c r="I51" i="39" s="1"/>
  <c r="F51" i="50"/>
  <c r="I51" i="50" s="1"/>
  <c r="F51" i="76"/>
  <c r="I51" i="76" s="1"/>
  <c r="F52" i="40"/>
  <c r="I52" i="40" s="1"/>
  <c r="F51" i="38"/>
  <c r="I51" i="38" s="1"/>
  <c r="I53" i="38" s="1"/>
  <c r="F52" i="55"/>
  <c r="I52" i="55" s="1"/>
  <c r="U124" i="34"/>
  <c r="F51" i="28"/>
  <c r="I51" i="28" s="1"/>
  <c r="U124" i="52"/>
  <c r="U44" i="34"/>
  <c r="O105" i="52"/>
  <c r="T105" i="52" s="1"/>
  <c r="F52" i="37"/>
  <c r="I52" i="37" s="1"/>
  <c r="F51" i="77"/>
  <c r="I51" i="77" s="1"/>
  <c r="F52" i="69"/>
  <c r="I52" i="69" s="1"/>
  <c r="F51" i="31"/>
  <c r="I51" i="31" s="1"/>
  <c r="F52" i="34"/>
  <c r="I52" i="34" s="1"/>
  <c r="F51" i="58"/>
  <c r="I51" i="58" s="1"/>
  <c r="F51" i="47"/>
  <c r="I51" i="47" s="1"/>
  <c r="O105" i="34"/>
  <c r="T105" i="34" s="1"/>
  <c r="C105" i="60"/>
  <c r="F51" i="78"/>
  <c r="I51" i="78" s="1"/>
  <c r="F52" i="24"/>
  <c r="I52" i="24" s="1"/>
  <c r="F52" i="51"/>
  <c r="I52" i="51" s="1"/>
  <c r="F52" i="57"/>
  <c r="I52" i="57" s="1"/>
  <c r="I91" i="60"/>
  <c r="I93" i="60"/>
  <c r="I89" i="60"/>
  <c r="O106" i="34"/>
  <c r="T106" i="34" s="1"/>
  <c r="P30" i="34"/>
  <c r="P78" i="34" s="1"/>
  <c r="T79" i="34" s="1"/>
  <c r="T85" i="34" s="1"/>
  <c r="U85" i="34" s="1"/>
  <c r="P30" i="52"/>
  <c r="P69" i="52" s="1"/>
  <c r="T70" i="52" s="1"/>
  <c r="F52" i="36"/>
  <c r="I52" i="36" s="1"/>
  <c r="F51" i="44"/>
  <c r="I51" i="44" s="1"/>
  <c r="R44" i="34"/>
  <c r="F52" i="68"/>
  <c r="I52" i="68" s="1"/>
  <c r="F52" i="52"/>
  <c r="I52" i="52" s="1"/>
  <c r="F52" i="56"/>
  <c r="I52" i="56" s="1"/>
  <c r="F52" i="27"/>
  <c r="I52" i="27" s="1"/>
  <c r="U44" i="52"/>
  <c r="I46" i="17"/>
  <c r="O106" i="52"/>
  <c r="T106" i="52" s="1"/>
  <c r="I46" i="66"/>
  <c r="F52" i="71"/>
  <c r="I52" i="71" s="1"/>
  <c r="T14" i="52"/>
  <c r="U14" i="52" s="1"/>
  <c r="U30" i="52" s="1"/>
  <c r="I46" i="67"/>
  <c r="F52" i="42"/>
  <c r="I52" i="42" s="1"/>
  <c r="F51" i="21"/>
  <c r="I51" i="21" s="1"/>
  <c r="I46" i="18"/>
  <c r="R44" i="52"/>
  <c r="I46" i="7"/>
  <c r="I128" i="7" s="1"/>
  <c r="I46" i="32"/>
  <c r="I46" i="26"/>
  <c r="I46" i="20"/>
  <c r="F51" i="35"/>
  <c r="I51" i="35" s="1"/>
  <c r="I46" i="23"/>
  <c r="I46" i="70"/>
  <c r="F51" i="48"/>
  <c r="I51" i="48" s="1"/>
  <c r="F51" i="22"/>
  <c r="I51" i="22" s="1"/>
  <c r="I46" i="16"/>
  <c r="I46" i="30"/>
  <c r="H94" i="33"/>
  <c r="I94" i="33" s="1"/>
  <c r="H96" i="33"/>
  <c r="I96" i="33" s="1"/>
  <c r="I53" i="43"/>
  <c r="H94" i="43"/>
  <c r="I94" i="43" s="1"/>
  <c r="H96" i="43"/>
  <c r="I96" i="43" s="1"/>
  <c r="H94" i="32"/>
  <c r="I94" i="32" s="1"/>
  <c r="H96" i="32"/>
  <c r="I96" i="32" s="1"/>
  <c r="H73" i="35"/>
  <c r="H73" i="44"/>
  <c r="H73" i="70"/>
  <c r="H73" i="58"/>
  <c r="H73" i="30"/>
  <c r="H73" i="31"/>
  <c r="H73" i="66"/>
  <c r="I53" i="33"/>
  <c r="H73" i="26"/>
  <c r="H73" i="16"/>
  <c r="H73" i="7"/>
  <c r="H73" i="68"/>
  <c r="H73" i="20"/>
  <c r="H73" i="78"/>
  <c r="H73" i="28"/>
  <c r="H73" i="21"/>
  <c r="H73" i="17"/>
  <c r="H73" i="22"/>
  <c r="H73" i="67"/>
  <c r="H73" i="45"/>
  <c r="H73" i="76"/>
  <c r="H73" i="57"/>
  <c r="H73" i="36"/>
  <c r="H73" i="37"/>
  <c r="H73" i="69"/>
  <c r="H73" i="23"/>
  <c r="H73" i="51"/>
  <c r="H73" i="71"/>
  <c r="H73" i="18"/>
  <c r="H73" i="50"/>
  <c r="H73" i="40"/>
  <c r="H73" i="42"/>
  <c r="H73" i="27"/>
  <c r="H73" i="55"/>
  <c r="H73" i="47"/>
  <c r="H73" i="77"/>
  <c r="H73" i="38"/>
  <c r="H73" i="39"/>
  <c r="H73" i="24"/>
  <c r="H73" i="75"/>
  <c r="H73" i="52"/>
  <c r="H73" i="25"/>
  <c r="H73" i="48"/>
  <c r="H73" i="34"/>
  <c r="F51" i="75"/>
  <c r="I51" i="75" s="1"/>
  <c r="F52" i="75"/>
  <c r="I52" i="75" s="1"/>
  <c r="U124" i="50"/>
  <c r="U124" i="35"/>
  <c r="U124" i="42"/>
  <c r="U124" i="68"/>
  <c r="U124" i="55"/>
  <c r="U124" i="20"/>
  <c r="U124" i="44"/>
  <c r="U124" i="75"/>
  <c r="U124" i="25"/>
  <c r="U124" i="30"/>
  <c r="U124" i="16"/>
  <c r="I30" i="60"/>
  <c r="I32" i="60" s="1"/>
  <c r="I47" i="60" s="1"/>
  <c r="U124" i="24"/>
  <c r="T14" i="24"/>
  <c r="U14" i="24" s="1"/>
  <c r="P30" i="24"/>
  <c r="O105" i="26"/>
  <c r="T105" i="26" s="1"/>
  <c r="O106" i="57"/>
  <c r="T106" i="57" s="1"/>
  <c r="O106" i="33"/>
  <c r="T106" i="33" s="1"/>
  <c r="O106" i="25"/>
  <c r="T106" i="25" s="1"/>
  <c r="P30" i="23"/>
  <c r="T14" i="23"/>
  <c r="U14" i="23" s="1"/>
  <c r="U124" i="23"/>
  <c r="U124" i="48"/>
  <c r="U44" i="20"/>
  <c r="R44" i="20"/>
  <c r="P30" i="38"/>
  <c r="T14" i="38"/>
  <c r="U14" i="38" s="1"/>
  <c r="U124" i="38"/>
  <c r="P30" i="66"/>
  <c r="T14" i="66"/>
  <c r="U14" i="66" s="1"/>
  <c r="O105" i="51"/>
  <c r="T105" i="51" s="1"/>
  <c r="P30" i="69"/>
  <c r="T14" i="69"/>
  <c r="U14" i="69" s="1"/>
  <c r="O106" i="21"/>
  <c r="T106" i="21" s="1"/>
  <c r="P30" i="37"/>
  <c r="T14" i="37"/>
  <c r="U14" i="37" s="1"/>
  <c r="O105" i="28"/>
  <c r="T105" i="28" s="1"/>
  <c r="O106" i="56"/>
  <c r="T106" i="56" s="1"/>
  <c r="O106" i="36"/>
  <c r="T106" i="36" s="1"/>
  <c r="O106" i="78"/>
  <c r="T106" i="78" s="1"/>
  <c r="U44" i="26"/>
  <c r="R44" i="26"/>
  <c r="U44" i="33"/>
  <c r="R44" i="33"/>
  <c r="O106" i="18"/>
  <c r="T106" i="18" s="1"/>
  <c r="R44" i="22"/>
  <c r="U44" i="22"/>
  <c r="T14" i="16"/>
  <c r="U14" i="16" s="1"/>
  <c r="P30" i="16"/>
  <c r="O105" i="31"/>
  <c r="T105" i="31" s="1"/>
  <c r="O106" i="27"/>
  <c r="T106" i="27" s="1"/>
  <c r="T14" i="55"/>
  <c r="U14" i="55" s="1"/>
  <c r="P30" i="55"/>
  <c r="O106" i="69"/>
  <c r="T106" i="69" s="1"/>
  <c r="U44" i="43"/>
  <c r="R44" i="43"/>
  <c r="O105" i="40"/>
  <c r="T105" i="40" s="1"/>
  <c r="O105" i="17"/>
  <c r="T105" i="17" s="1"/>
  <c r="T14" i="44"/>
  <c r="U14" i="44" s="1"/>
  <c r="P30" i="44"/>
  <c r="O106" i="37"/>
  <c r="T106" i="37" s="1"/>
  <c r="P30" i="35"/>
  <c r="T14" i="35"/>
  <c r="U14" i="35" s="1"/>
  <c r="O106" i="24"/>
  <c r="T106" i="24" s="1"/>
  <c r="O105" i="32"/>
  <c r="T105" i="32" s="1"/>
  <c r="P30" i="56"/>
  <c r="T14" i="56"/>
  <c r="U14" i="56" s="1"/>
  <c r="U44" i="77"/>
  <c r="R44" i="77"/>
  <c r="O105" i="25"/>
  <c r="T105" i="25" s="1"/>
  <c r="O106" i="23"/>
  <c r="T106" i="23" s="1"/>
  <c r="U124" i="71"/>
  <c r="O105" i="71"/>
  <c r="T105" i="71" s="1"/>
  <c r="O106" i="20"/>
  <c r="T106" i="20" s="1"/>
  <c r="T14" i="30"/>
  <c r="U14" i="30" s="1"/>
  <c r="P30" i="30"/>
  <c r="O106" i="38"/>
  <c r="T106" i="38" s="1"/>
  <c r="U44" i="27"/>
  <c r="R44" i="27"/>
  <c r="P30" i="21"/>
  <c r="T14" i="21"/>
  <c r="U14" i="21" s="1"/>
  <c r="R44" i="45"/>
  <c r="U44" i="45"/>
  <c r="O106" i="17"/>
  <c r="T106" i="17" s="1"/>
  <c r="U124" i="39"/>
  <c r="U44" i="50"/>
  <c r="R44" i="50"/>
  <c r="U44" i="75"/>
  <c r="R44" i="75"/>
  <c r="U124" i="26"/>
  <c r="O105" i="48"/>
  <c r="T105" i="48" s="1"/>
  <c r="R44" i="71"/>
  <c r="U44" i="71"/>
  <c r="O106" i="51"/>
  <c r="T106" i="51" s="1"/>
  <c r="P30" i="67"/>
  <c r="T14" i="67"/>
  <c r="U14" i="67" s="1"/>
  <c r="O105" i="55"/>
  <c r="T105" i="55" s="1"/>
  <c r="T30" i="34"/>
  <c r="U30" i="34"/>
  <c r="O104" i="34"/>
  <c r="T104" i="34" s="1"/>
  <c r="U44" i="68"/>
  <c r="R44" i="68"/>
  <c r="T14" i="47"/>
  <c r="U14" i="47" s="1"/>
  <c r="P30" i="47"/>
  <c r="O105" i="35"/>
  <c r="T105" i="35" s="1"/>
  <c r="O106" i="35"/>
  <c r="T106" i="35" s="1"/>
  <c r="T14" i="76"/>
  <c r="U14" i="76" s="1"/>
  <c r="P30" i="76"/>
  <c r="R44" i="36"/>
  <c r="U44" i="36"/>
  <c r="U44" i="57"/>
  <c r="R44" i="57"/>
  <c r="P30" i="18"/>
  <c r="T14" i="18"/>
  <c r="U14" i="18" s="1"/>
  <c r="O106" i="71"/>
  <c r="T106" i="71" s="1"/>
  <c r="T14" i="20"/>
  <c r="U14" i="20" s="1"/>
  <c r="P30" i="20"/>
  <c r="O105" i="30"/>
  <c r="T105" i="30" s="1"/>
  <c r="O105" i="16"/>
  <c r="T105" i="16" s="1"/>
  <c r="O105" i="66"/>
  <c r="T105" i="66" s="1"/>
  <c r="U124" i="67"/>
  <c r="O106" i="55"/>
  <c r="T106" i="55" s="1"/>
  <c r="O106" i="68"/>
  <c r="T106" i="68" s="1"/>
  <c r="O106" i="42"/>
  <c r="T106" i="42" s="1"/>
  <c r="T14" i="42"/>
  <c r="U14" i="42" s="1"/>
  <c r="P30" i="42"/>
  <c r="O106" i="39"/>
  <c r="T106" i="39" s="1"/>
  <c r="O105" i="47"/>
  <c r="T105" i="47" s="1"/>
  <c r="U124" i="28"/>
  <c r="O105" i="75"/>
  <c r="T105" i="75" s="1"/>
  <c r="I107" i="16"/>
  <c r="P30" i="26"/>
  <c r="T14" i="26"/>
  <c r="U14" i="26" s="1"/>
  <c r="O106" i="7"/>
  <c r="T106" i="7" s="1"/>
  <c r="O105" i="24"/>
  <c r="T105" i="24" s="1"/>
  <c r="U124" i="32"/>
  <c r="O106" i="26"/>
  <c r="T106" i="26" s="1"/>
  <c r="U124" i="57"/>
  <c r="T14" i="33"/>
  <c r="U14" i="33" s="1"/>
  <c r="P30" i="33"/>
  <c r="U44" i="25"/>
  <c r="R44" i="25"/>
  <c r="U44" i="18"/>
  <c r="R44" i="18"/>
  <c r="O105" i="58"/>
  <c r="T105" i="58" s="1"/>
  <c r="U44" i="51"/>
  <c r="R44" i="51"/>
  <c r="P30" i="43"/>
  <c r="T14" i="43"/>
  <c r="U14" i="43" s="1"/>
  <c r="U124" i="43"/>
  <c r="U44" i="39"/>
  <c r="R44" i="39"/>
  <c r="O105" i="37"/>
  <c r="T105" i="37" s="1"/>
  <c r="P30" i="70"/>
  <c r="T14" i="70"/>
  <c r="U14" i="70" s="1"/>
  <c r="O105" i="76"/>
  <c r="T105" i="76" s="1"/>
  <c r="U124" i="7"/>
  <c r="U44" i="78"/>
  <c r="R44" i="78"/>
  <c r="P30" i="77"/>
  <c r="T14" i="77"/>
  <c r="U14" i="77" s="1"/>
  <c r="U124" i="77"/>
  <c r="O105" i="20"/>
  <c r="T105" i="20" s="1"/>
  <c r="U44" i="58"/>
  <c r="R44" i="58"/>
  <c r="U124" i="58"/>
  <c r="T14" i="27"/>
  <c r="U14" i="27" s="1"/>
  <c r="P30" i="27"/>
  <c r="O106" i="67"/>
  <c r="T106" i="67" s="1"/>
  <c r="P30" i="45"/>
  <c r="T14" i="45"/>
  <c r="U14" i="45" s="1"/>
  <c r="U124" i="45"/>
  <c r="P30" i="50"/>
  <c r="T14" i="50"/>
  <c r="U14" i="50" s="1"/>
  <c r="O106" i="28"/>
  <c r="T106" i="28" s="1"/>
  <c r="U44" i="28"/>
  <c r="R44" i="28"/>
  <c r="O106" i="32"/>
  <c r="T106" i="32" s="1"/>
  <c r="O105" i="33"/>
  <c r="T105" i="33" s="1"/>
  <c r="P30" i="48"/>
  <c r="T14" i="48"/>
  <c r="U14" i="48" s="1"/>
  <c r="U44" i="48"/>
  <c r="R44" i="48"/>
  <c r="P30" i="58"/>
  <c r="T14" i="58"/>
  <c r="U14" i="58" s="1"/>
  <c r="P30" i="31"/>
  <c r="T14" i="31"/>
  <c r="U14" i="31" s="1"/>
  <c r="O106" i="31"/>
  <c r="T106" i="31" s="1"/>
  <c r="O105" i="67"/>
  <c r="T105" i="67" s="1"/>
  <c r="O106" i="43"/>
  <c r="T106" i="43" s="1"/>
  <c r="O105" i="21"/>
  <c r="T105" i="21" s="1"/>
  <c r="U124" i="40"/>
  <c r="U124" i="47"/>
  <c r="O105" i="50"/>
  <c r="T105" i="50" s="1"/>
  <c r="O105" i="70"/>
  <c r="T105" i="70" s="1"/>
  <c r="T14" i="7"/>
  <c r="U14" i="7" s="1"/>
  <c r="P30" i="7"/>
  <c r="R44" i="24"/>
  <c r="U44" i="24"/>
  <c r="O105" i="56"/>
  <c r="T105" i="56" s="1"/>
  <c r="T14" i="36"/>
  <c r="U14" i="36" s="1"/>
  <c r="P30" i="36"/>
  <c r="O105" i="78"/>
  <c r="T105" i="78" s="1"/>
  <c r="O105" i="77"/>
  <c r="T105" i="77" s="1"/>
  <c r="O106" i="77"/>
  <c r="T106" i="77" s="1"/>
  <c r="O105" i="57"/>
  <c r="T105" i="57" s="1"/>
  <c r="P30" i="57"/>
  <c r="T14" i="57"/>
  <c r="U14" i="57" s="1"/>
  <c r="R44" i="23"/>
  <c r="U44" i="23"/>
  <c r="O106" i="48"/>
  <c r="T106" i="48" s="1"/>
  <c r="O105" i="22"/>
  <c r="T105" i="22" s="1"/>
  <c r="U124" i="22"/>
  <c r="R44" i="38"/>
  <c r="U44" i="38"/>
  <c r="O105" i="38"/>
  <c r="T105" i="38" s="1"/>
  <c r="O106" i="58"/>
  <c r="T106" i="58" s="1"/>
  <c r="U124" i="66"/>
  <c r="U124" i="31"/>
  <c r="U124" i="51"/>
  <c r="P30" i="51"/>
  <c r="T14" i="51"/>
  <c r="U14" i="51" s="1"/>
  <c r="O105" i="27"/>
  <c r="T105" i="27" s="1"/>
  <c r="U44" i="67"/>
  <c r="R44" i="67"/>
  <c r="R44" i="69"/>
  <c r="U44" i="69"/>
  <c r="O106" i="40"/>
  <c r="T106" i="40" s="1"/>
  <c r="O106" i="45"/>
  <c r="T106" i="45" s="1"/>
  <c r="U44" i="42"/>
  <c r="R44" i="42"/>
  <c r="O105" i="44"/>
  <c r="T105" i="44" s="1"/>
  <c r="O106" i="47"/>
  <c r="T106" i="47" s="1"/>
  <c r="O106" i="50"/>
  <c r="T106" i="50" s="1"/>
  <c r="U124" i="70"/>
  <c r="U44" i="7"/>
  <c r="R44" i="7"/>
  <c r="P30" i="32"/>
  <c r="T14" i="32"/>
  <c r="U14" i="32" s="1"/>
  <c r="O105" i="23"/>
  <c r="T105" i="23" s="1"/>
  <c r="O106" i="30"/>
  <c r="T106" i="30" s="1"/>
  <c r="U44" i="16"/>
  <c r="R44" i="16"/>
  <c r="U44" i="55"/>
  <c r="R44" i="55"/>
  <c r="O105" i="43"/>
  <c r="T105" i="43" s="1"/>
  <c r="T14" i="68"/>
  <c r="U14" i="68" s="1"/>
  <c r="P30" i="68"/>
  <c r="U44" i="40"/>
  <c r="R44" i="40"/>
  <c r="U124" i="17"/>
  <c r="T14" i="39"/>
  <c r="U14" i="39" s="1"/>
  <c r="P30" i="39"/>
  <c r="U44" i="37"/>
  <c r="R44" i="37"/>
  <c r="U44" i="35"/>
  <c r="R44" i="35"/>
  <c r="U124" i="76"/>
  <c r="O105" i="7"/>
  <c r="T105" i="7" s="1"/>
  <c r="U124" i="56"/>
  <c r="P30" i="78"/>
  <c r="T14" i="78"/>
  <c r="U14" i="78" s="1"/>
  <c r="U124" i="33"/>
  <c r="P30" i="25"/>
  <c r="T14" i="25"/>
  <c r="U14" i="25" s="1"/>
  <c r="O105" i="18"/>
  <c r="T105" i="18" s="1"/>
  <c r="O106" i="22"/>
  <c r="T106" i="22" s="1"/>
  <c r="U44" i="30"/>
  <c r="R44" i="30"/>
  <c r="R44" i="66"/>
  <c r="U44" i="66"/>
  <c r="O106" i="66"/>
  <c r="T106" i="66" s="1"/>
  <c r="U44" i="31"/>
  <c r="R44" i="31"/>
  <c r="O105" i="68"/>
  <c r="T105" i="68" s="1"/>
  <c r="U124" i="21"/>
  <c r="R44" i="21"/>
  <c r="U44" i="21"/>
  <c r="T14" i="40"/>
  <c r="U14" i="40" s="1"/>
  <c r="P30" i="40"/>
  <c r="U44" i="17"/>
  <c r="R44" i="17"/>
  <c r="O105" i="42"/>
  <c r="T105" i="42" s="1"/>
  <c r="P30" i="28"/>
  <c r="T14" i="28"/>
  <c r="U14" i="28" s="1"/>
  <c r="T14" i="75"/>
  <c r="U14" i="75" s="1"/>
  <c r="P30" i="75"/>
  <c r="O106" i="70"/>
  <c r="T106" i="70" s="1"/>
  <c r="R44" i="32"/>
  <c r="U44" i="32"/>
  <c r="U44" i="56"/>
  <c r="R44" i="56"/>
  <c r="O105" i="36"/>
  <c r="T105" i="36" s="1"/>
  <c r="U124" i="36"/>
  <c r="U124" i="78"/>
  <c r="U124" i="18"/>
  <c r="T14" i="71"/>
  <c r="U14" i="71" s="1"/>
  <c r="P30" i="71"/>
  <c r="P30" i="22"/>
  <c r="T14" i="22"/>
  <c r="U14" i="22" s="1"/>
  <c r="O106" i="16"/>
  <c r="T106" i="16" s="1"/>
  <c r="U124" i="27"/>
  <c r="O105" i="69"/>
  <c r="T105" i="69" s="1"/>
  <c r="U124" i="69"/>
  <c r="O105" i="45"/>
  <c r="T105" i="45" s="1"/>
  <c r="P30" i="17"/>
  <c r="T14" i="17"/>
  <c r="U14" i="17" s="1"/>
  <c r="O106" i="44"/>
  <c r="T106" i="44" s="1"/>
  <c r="U44" i="44"/>
  <c r="R44" i="44"/>
  <c r="O105" i="39"/>
  <c r="T105" i="39" s="1"/>
  <c r="U44" i="47"/>
  <c r="R44" i="47"/>
  <c r="U124" i="37"/>
  <c r="O106" i="75"/>
  <c r="T106" i="75" s="1"/>
  <c r="U44" i="70"/>
  <c r="R44" i="70"/>
  <c r="O106" i="76"/>
  <c r="T106" i="76" s="1"/>
  <c r="U44" i="76"/>
  <c r="R44" i="76"/>
  <c r="I53" i="36" l="1"/>
  <c r="I53" i="71"/>
  <c r="I53" i="22"/>
  <c r="T88" i="52"/>
  <c r="U88" i="52" s="1"/>
  <c r="T98" i="52"/>
  <c r="U98" i="52" s="1"/>
  <c r="I105" i="60"/>
  <c r="I53" i="76"/>
  <c r="I53" i="77"/>
  <c r="I53" i="52"/>
  <c r="I53" i="45"/>
  <c r="I53" i="78"/>
  <c r="I53" i="48"/>
  <c r="I53" i="44"/>
  <c r="I53" i="68"/>
  <c r="I53" i="50"/>
  <c r="I53" i="24"/>
  <c r="I53" i="58"/>
  <c r="I53" i="27"/>
  <c r="I53" i="47"/>
  <c r="I53" i="69"/>
  <c r="I53" i="42"/>
  <c r="I53" i="25"/>
  <c r="I53" i="51"/>
  <c r="I53" i="37"/>
  <c r="I53" i="39"/>
  <c r="I53" i="35"/>
  <c r="I128" i="43"/>
  <c r="I130" i="43" s="1"/>
  <c r="H135" i="43" s="1"/>
  <c r="I135" i="43" s="1"/>
  <c r="I128" i="33"/>
  <c r="I130" i="33" s="1"/>
  <c r="H135" i="33" s="1"/>
  <c r="I135" i="33" s="1"/>
  <c r="I53" i="21"/>
  <c r="I53" i="57"/>
  <c r="I53" i="56"/>
  <c r="I130" i="56" s="1"/>
  <c r="H135" i="56" s="1"/>
  <c r="I135" i="56" s="1"/>
  <c r="F52" i="67"/>
  <c r="I52" i="67" s="1"/>
  <c r="F52" i="70"/>
  <c r="I52" i="70" s="1"/>
  <c r="F52" i="23"/>
  <c r="I52" i="23" s="1"/>
  <c r="F51" i="66"/>
  <c r="I51" i="66" s="1"/>
  <c r="F51" i="20"/>
  <c r="I51" i="20" s="1"/>
  <c r="I53" i="28"/>
  <c r="F52" i="26"/>
  <c r="I52" i="26" s="1"/>
  <c r="F51" i="17"/>
  <c r="I51" i="17" s="1"/>
  <c r="F52" i="32"/>
  <c r="I52" i="32" s="1"/>
  <c r="I128" i="32"/>
  <c r="I53" i="55"/>
  <c r="F52" i="7"/>
  <c r="I52" i="7" s="1"/>
  <c r="I53" i="34"/>
  <c r="F51" i="30"/>
  <c r="I51" i="30" s="1"/>
  <c r="I53" i="31"/>
  <c r="F52" i="16"/>
  <c r="I52" i="16" s="1"/>
  <c r="F51" i="18"/>
  <c r="I51" i="18" s="1"/>
  <c r="I53" i="40"/>
  <c r="F51" i="67"/>
  <c r="I51" i="67" s="1"/>
  <c r="F51" i="70"/>
  <c r="I51" i="70" s="1"/>
  <c r="F52" i="20"/>
  <c r="I52" i="20" s="1"/>
  <c r="P81" i="34"/>
  <c r="T82" i="34" s="1"/>
  <c r="T90" i="34" s="1"/>
  <c r="U90" i="34" s="1"/>
  <c r="P75" i="34"/>
  <c r="T76" i="34" s="1"/>
  <c r="T92" i="34" s="1"/>
  <c r="U92" i="34" s="1"/>
  <c r="P69" i="34"/>
  <c r="T70" i="34" s="1"/>
  <c r="T30" i="52"/>
  <c r="P72" i="52" s="1"/>
  <c r="O104" i="52"/>
  <c r="F52" i="30"/>
  <c r="I52" i="30" s="1"/>
  <c r="F51" i="7"/>
  <c r="I51" i="7" s="1"/>
  <c r="P75" i="52"/>
  <c r="T76" i="52" s="1"/>
  <c r="T92" i="52" s="1"/>
  <c r="U92" i="52" s="1"/>
  <c r="P81" i="52"/>
  <c r="T82" i="52" s="1"/>
  <c r="T90" i="52" s="1"/>
  <c r="U90" i="52" s="1"/>
  <c r="P78" i="52"/>
  <c r="T79" i="52" s="1"/>
  <c r="T85" i="52" s="1"/>
  <c r="U85" i="52" s="1"/>
  <c r="H95" i="60"/>
  <c r="H97" i="60"/>
  <c r="F52" i="66"/>
  <c r="I52" i="66" s="1"/>
  <c r="F51" i="26"/>
  <c r="I51" i="26" s="1"/>
  <c r="F51" i="32"/>
  <c r="I51" i="32" s="1"/>
  <c r="F51" i="16"/>
  <c r="I51" i="16" s="1"/>
  <c r="F51" i="23"/>
  <c r="I51" i="23" s="1"/>
  <c r="U46" i="52"/>
  <c r="R51" i="52"/>
  <c r="U51" i="52" s="1"/>
  <c r="R52" i="52"/>
  <c r="U52" i="52" s="1"/>
  <c r="U46" i="34"/>
  <c r="R51" i="34"/>
  <c r="U51" i="34" s="1"/>
  <c r="R52" i="34"/>
  <c r="U52" i="34" s="1"/>
  <c r="F52" i="18"/>
  <c r="I52" i="18" s="1"/>
  <c r="F52" i="17"/>
  <c r="I52" i="17" s="1"/>
  <c r="H94" i="36"/>
  <c r="I94" i="36" s="1"/>
  <c r="H96" i="36"/>
  <c r="I96" i="36" s="1"/>
  <c r="H94" i="68"/>
  <c r="I94" i="68" s="1"/>
  <c r="H96" i="68"/>
  <c r="I96" i="68" s="1"/>
  <c r="H94" i="24"/>
  <c r="I94" i="24" s="1"/>
  <c r="H96" i="24"/>
  <c r="I96" i="24" s="1"/>
  <c r="H94" i="42"/>
  <c r="I94" i="42" s="1"/>
  <c r="H96" i="42"/>
  <c r="I96" i="42" s="1"/>
  <c r="H94" i="57"/>
  <c r="I94" i="57" s="1"/>
  <c r="H96" i="57"/>
  <c r="I96" i="57" s="1"/>
  <c r="H94" i="70"/>
  <c r="I94" i="70" s="1"/>
  <c r="H96" i="70"/>
  <c r="I96" i="70" s="1"/>
  <c r="H94" i="39"/>
  <c r="I94" i="39" s="1"/>
  <c r="H96" i="39"/>
  <c r="I96" i="39" s="1"/>
  <c r="H94" i="40"/>
  <c r="I94" i="40" s="1"/>
  <c r="H96" i="40"/>
  <c r="I96" i="40" s="1"/>
  <c r="H94" i="76"/>
  <c r="I94" i="76" s="1"/>
  <c r="H96" i="76"/>
  <c r="I96" i="76" s="1"/>
  <c r="H94" i="44"/>
  <c r="I94" i="44" s="1"/>
  <c r="H96" i="44"/>
  <c r="I96" i="44" s="1"/>
  <c r="H94" i="38"/>
  <c r="I94" i="38" s="1"/>
  <c r="H96" i="38"/>
  <c r="I96" i="38" s="1"/>
  <c r="H94" i="50"/>
  <c r="I94" i="50" s="1"/>
  <c r="H96" i="50"/>
  <c r="I96" i="50" s="1"/>
  <c r="H94" i="45"/>
  <c r="I94" i="45" s="1"/>
  <c r="H96" i="45"/>
  <c r="I96" i="45" s="1"/>
  <c r="H94" i="7"/>
  <c r="I94" i="7" s="1"/>
  <c r="H96" i="7"/>
  <c r="I96" i="7" s="1"/>
  <c r="H94" i="35"/>
  <c r="I94" i="35" s="1"/>
  <c r="H96" i="35"/>
  <c r="I96" i="35" s="1"/>
  <c r="H94" i="77"/>
  <c r="I94" i="77" s="1"/>
  <c r="H96" i="77"/>
  <c r="I96" i="77" s="1"/>
  <c r="H94" i="18"/>
  <c r="I94" i="18" s="1"/>
  <c r="H96" i="18"/>
  <c r="I96" i="18" s="1"/>
  <c r="H94" i="67"/>
  <c r="I94" i="67" s="1"/>
  <c r="H96" i="67"/>
  <c r="I96" i="67" s="1"/>
  <c r="H94" i="16"/>
  <c r="I94" i="16" s="1"/>
  <c r="H96" i="16"/>
  <c r="I96" i="16" s="1"/>
  <c r="H94" i="22"/>
  <c r="I94" i="22" s="1"/>
  <c r="H96" i="22"/>
  <c r="I96" i="22" s="1"/>
  <c r="H94" i="26"/>
  <c r="I94" i="26" s="1"/>
  <c r="H96" i="26"/>
  <c r="I96" i="26" s="1"/>
  <c r="H94" i="17"/>
  <c r="I94" i="17" s="1"/>
  <c r="H96" i="17"/>
  <c r="I96" i="17" s="1"/>
  <c r="H94" i="34"/>
  <c r="I94" i="34" s="1"/>
  <c r="H96" i="34"/>
  <c r="I96" i="34" s="1"/>
  <c r="H94" i="71"/>
  <c r="I94" i="71" s="1"/>
  <c r="H96" i="71"/>
  <c r="I96" i="71" s="1"/>
  <c r="H94" i="21"/>
  <c r="I94" i="21" s="1"/>
  <c r="H96" i="21"/>
  <c r="I96" i="21" s="1"/>
  <c r="H94" i="66"/>
  <c r="I94" i="66" s="1"/>
  <c r="H96" i="66"/>
  <c r="I96" i="66" s="1"/>
  <c r="H94" i="48"/>
  <c r="I94" i="48" s="1"/>
  <c r="H96" i="48"/>
  <c r="I96" i="48" s="1"/>
  <c r="H94" i="51"/>
  <c r="I94" i="51" s="1"/>
  <c r="H96" i="51"/>
  <c r="I96" i="51" s="1"/>
  <c r="H94" i="28"/>
  <c r="I94" i="28" s="1"/>
  <c r="H96" i="28"/>
  <c r="I96" i="28" s="1"/>
  <c r="H94" i="31"/>
  <c r="I94" i="31" s="1"/>
  <c r="H96" i="31"/>
  <c r="I96" i="31" s="1"/>
  <c r="H94" i="25"/>
  <c r="I94" i="25" s="1"/>
  <c r="H96" i="25"/>
  <c r="I96" i="25" s="1"/>
  <c r="H94" i="47"/>
  <c r="I94" i="47" s="1"/>
  <c r="H96" i="47"/>
  <c r="I96" i="47" s="1"/>
  <c r="H94" i="23"/>
  <c r="I94" i="23" s="1"/>
  <c r="H96" i="23"/>
  <c r="I96" i="23" s="1"/>
  <c r="H94" i="78"/>
  <c r="I94" i="78" s="1"/>
  <c r="H96" i="78"/>
  <c r="I96" i="78" s="1"/>
  <c r="H94" i="30"/>
  <c r="I94" i="30" s="1"/>
  <c r="H96" i="30"/>
  <c r="I96" i="30" s="1"/>
  <c r="H94" i="52"/>
  <c r="I94" i="52" s="1"/>
  <c r="H96" i="52"/>
  <c r="I96" i="52" s="1"/>
  <c r="H94" i="55"/>
  <c r="I94" i="55" s="1"/>
  <c r="H96" i="55"/>
  <c r="I96" i="55" s="1"/>
  <c r="H94" i="69"/>
  <c r="I94" i="69" s="1"/>
  <c r="H96" i="69"/>
  <c r="I96" i="69" s="1"/>
  <c r="H94" i="58"/>
  <c r="I94" i="58" s="1"/>
  <c r="H96" i="58"/>
  <c r="I96" i="58" s="1"/>
  <c r="H94" i="75"/>
  <c r="I94" i="75" s="1"/>
  <c r="H96" i="75"/>
  <c r="I96" i="75" s="1"/>
  <c r="H94" i="27"/>
  <c r="I94" i="27" s="1"/>
  <c r="H96" i="27"/>
  <c r="I96" i="27" s="1"/>
  <c r="H94" i="37"/>
  <c r="I94" i="37" s="1"/>
  <c r="H96" i="37"/>
  <c r="I96" i="37" s="1"/>
  <c r="H94" i="20"/>
  <c r="I94" i="20" s="1"/>
  <c r="H96" i="20"/>
  <c r="I96" i="20" s="1"/>
  <c r="P69" i="58"/>
  <c r="T70" i="58" s="1"/>
  <c r="P78" i="58"/>
  <c r="T79" i="58" s="1"/>
  <c r="T85" i="58" s="1"/>
  <c r="U85" i="58" s="1"/>
  <c r="P81" i="58"/>
  <c r="T82" i="58" s="1"/>
  <c r="T90" i="58" s="1"/>
  <c r="U90" i="58" s="1"/>
  <c r="P75" i="58"/>
  <c r="T76" i="58" s="1"/>
  <c r="T92" i="58" s="1"/>
  <c r="U92" i="58" s="1"/>
  <c r="P69" i="50"/>
  <c r="T70" i="50" s="1"/>
  <c r="P81" i="50"/>
  <c r="T82" i="50" s="1"/>
  <c r="T90" i="50" s="1"/>
  <c r="U90" i="50" s="1"/>
  <c r="P78" i="50"/>
  <c r="T79" i="50" s="1"/>
  <c r="T85" i="50" s="1"/>
  <c r="U85" i="50" s="1"/>
  <c r="P75" i="50"/>
  <c r="T76" i="50" s="1"/>
  <c r="T92" i="50" s="1"/>
  <c r="U92" i="50" s="1"/>
  <c r="P69" i="33"/>
  <c r="T70" i="33" s="1"/>
  <c r="P75" i="33"/>
  <c r="T76" i="33" s="1"/>
  <c r="T92" i="33" s="1"/>
  <c r="U92" i="33" s="1"/>
  <c r="P78" i="33"/>
  <c r="T79" i="33" s="1"/>
  <c r="T85" i="33" s="1"/>
  <c r="U85" i="33" s="1"/>
  <c r="P81" i="33"/>
  <c r="T82" i="33" s="1"/>
  <c r="T90" i="33" s="1"/>
  <c r="U90" i="33" s="1"/>
  <c r="P69" i="66"/>
  <c r="T70" i="66" s="1"/>
  <c r="P75" i="66"/>
  <c r="T76" i="66" s="1"/>
  <c r="T92" i="66" s="1"/>
  <c r="U92" i="66" s="1"/>
  <c r="P81" i="66"/>
  <c r="T82" i="66" s="1"/>
  <c r="T90" i="66" s="1"/>
  <c r="U90" i="66" s="1"/>
  <c r="P78" i="66"/>
  <c r="T79" i="66" s="1"/>
  <c r="T85" i="66" s="1"/>
  <c r="U85" i="66" s="1"/>
  <c r="P69" i="67"/>
  <c r="T70" i="67" s="1"/>
  <c r="P75" i="67"/>
  <c r="T76" i="67" s="1"/>
  <c r="T92" i="67" s="1"/>
  <c r="U92" i="67" s="1"/>
  <c r="P81" i="67"/>
  <c r="T82" i="67" s="1"/>
  <c r="T90" i="67" s="1"/>
  <c r="U90" i="67" s="1"/>
  <c r="P78" i="67"/>
  <c r="T79" i="67" s="1"/>
  <c r="T85" i="67" s="1"/>
  <c r="U85" i="67" s="1"/>
  <c r="P69" i="77"/>
  <c r="T70" i="77" s="1"/>
  <c r="P81" i="77"/>
  <c r="T82" i="77" s="1"/>
  <c r="T90" i="77" s="1"/>
  <c r="U90" i="77" s="1"/>
  <c r="P78" i="77"/>
  <c r="T79" i="77" s="1"/>
  <c r="T85" i="77" s="1"/>
  <c r="U85" i="77" s="1"/>
  <c r="P75" i="77"/>
  <c r="T76" i="77" s="1"/>
  <c r="T92" i="77" s="1"/>
  <c r="U92" i="77" s="1"/>
  <c r="P69" i="20"/>
  <c r="T70" i="20" s="1"/>
  <c r="P81" i="20"/>
  <c r="T82" i="20" s="1"/>
  <c r="T90" i="20" s="1"/>
  <c r="U90" i="20" s="1"/>
  <c r="P78" i="20"/>
  <c r="T79" i="20" s="1"/>
  <c r="T85" i="20" s="1"/>
  <c r="U85" i="20" s="1"/>
  <c r="P75" i="20"/>
  <c r="T76" i="20" s="1"/>
  <c r="T92" i="20" s="1"/>
  <c r="U92" i="20" s="1"/>
  <c r="P69" i="21"/>
  <c r="T70" i="21" s="1"/>
  <c r="P81" i="21"/>
  <c r="T82" i="21" s="1"/>
  <c r="T90" i="21" s="1"/>
  <c r="U90" i="21" s="1"/>
  <c r="P75" i="21"/>
  <c r="T76" i="21" s="1"/>
  <c r="T92" i="21" s="1"/>
  <c r="U92" i="21" s="1"/>
  <c r="P78" i="21"/>
  <c r="T79" i="21" s="1"/>
  <c r="T85" i="21" s="1"/>
  <c r="U85" i="21" s="1"/>
  <c r="P69" i="35"/>
  <c r="T70" i="35" s="1"/>
  <c r="P78" i="35"/>
  <c r="T79" i="35" s="1"/>
  <c r="T85" i="35" s="1"/>
  <c r="U85" i="35" s="1"/>
  <c r="P75" i="35"/>
  <c r="T76" i="35" s="1"/>
  <c r="T92" i="35" s="1"/>
  <c r="U92" i="35" s="1"/>
  <c r="P81" i="35"/>
  <c r="T82" i="35" s="1"/>
  <c r="T90" i="35" s="1"/>
  <c r="U90" i="35" s="1"/>
  <c r="P69" i="36"/>
  <c r="T70" i="36" s="1"/>
  <c r="P81" i="36"/>
  <c r="T82" i="36" s="1"/>
  <c r="T90" i="36" s="1"/>
  <c r="U90" i="36" s="1"/>
  <c r="P78" i="36"/>
  <c r="T79" i="36" s="1"/>
  <c r="T85" i="36" s="1"/>
  <c r="U85" i="36" s="1"/>
  <c r="P75" i="36"/>
  <c r="T76" i="36" s="1"/>
  <c r="T92" i="36" s="1"/>
  <c r="U92" i="36" s="1"/>
  <c r="P69" i="43"/>
  <c r="T70" i="43" s="1"/>
  <c r="P81" i="43"/>
  <c r="T82" i="43" s="1"/>
  <c r="T90" i="43" s="1"/>
  <c r="U90" i="43" s="1"/>
  <c r="P78" i="43"/>
  <c r="T79" i="43" s="1"/>
  <c r="T85" i="43" s="1"/>
  <c r="U85" i="43" s="1"/>
  <c r="P75" i="43"/>
  <c r="T76" i="43" s="1"/>
  <c r="T92" i="43" s="1"/>
  <c r="U92" i="43" s="1"/>
  <c r="P69" i="16"/>
  <c r="T70" i="16" s="1"/>
  <c r="P78" i="16"/>
  <c r="T79" i="16" s="1"/>
  <c r="T85" i="16" s="1"/>
  <c r="U85" i="16" s="1"/>
  <c r="P81" i="16"/>
  <c r="T82" i="16" s="1"/>
  <c r="T90" i="16" s="1"/>
  <c r="U90" i="16" s="1"/>
  <c r="P75" i="16"/>
  <c r="T76" i="16" s="1"/>
  <c r="T92" i="16" s="1"/>
  <c r="U92" i="16" s="1"/>
  <c r="P69" i="38"/>
  <c r="T70" i="38" s="1"/>
  <c r="P78" i="38"/>
  <c r="T79" i="38" s="1"/>
  <c r="T85" i="38" s="1"/>
  <c r="U85" i="38" s="1"/>
  <c r="P81" i="38"/>
  <c r="T82" i="38" s="1"/>
  <c r="T90" i="38" s="1"/>
  <c r="U90" i="38" s="1"/>
  <c r="P75" i="38"/>
  <c r="T76" i="38" s="1"/>
  <c r="T92" i="38" s="1"/>
  <c r="U92" i="38" s="1"/>
  <c r="P69" i="24"/>
  <c r="T70" i="24" s="1"/>
  <c r="P78" i="24"/>
  <c r="T79" i="24" s="1"/>
  <c r="T85" i="24" s="1"/>
  <c r="U85" i="24" s="1"/>
  <c r="P81" i="24"/>
  <c r="T82" i="24" s="1"/>
  <c r="T90" i="24" s="1"/>
  <c r="U90" i="24" s="1"/>
  <c r="P75" i="24"/>
  <c r="T76" i="24" s="1"/>
  <c r="T92" i="24" s="1"/>
  <c r="U92" i="24" s="1"/>
  <c r="P69" i="25"/>
  <c r="T70" i="25" s="1"/>
  <c r="P81" i="25"/>
  <c r="T82" i="25" s="1"/>
  <c r="T90" i="25" s="1"/>
  <c r="U90" i="25" s="1"/>
  <c r="P75" i="25"/>
  <c r="T76" i="25" s="1"/>
  <c r="T92" i="25" s="1"/>
  <c r="U92" i="25" s="1"/>
  <c r="P78" i="25"/>
  <c r="T79" i="25" s="1"/>
  <c r="T85" i="25" s="1"/>
  <c r="U85" i="25" s="1"/>
  <c r="P69" i="48"/>
  <c r="T70" i="48" s="1"/>
  <c r="P78" i="48"/>
  <c r="T79" i="48" s="1"/>
  <c r="T85" i="48" s="1"/>
  <c r="U85" i="48" s="1"/>
  <c r="P81" i="48"/>
  <c r="T82" i="48" s="1"/>
  <c r="T90" i="48" s="1"/>
  <c r="U90" i="48" s="1"/>
  <c r="P75" i="48"/>
  <c r="T76" i="48" s="1"/>
  <c r="T92" i="48" s="1"/>
  <c r="U92" i="48" s="1"/>
  <c r="P69" i="42"/>
  <c r="T70" i="42" s="1"/>
  <c r="P75" i="42"/>
  <c r="T76" i="42" s="1"/>
  <c r="T92" i="42" s="1"/>
  <c r="U92" i="42" s="1"/>
  <c r="P78" i="42"/>
  <c r="T79" i="42" s="1"/>
  <c r="T85" i="42" s="1"/>
  <c r="U85" i="42" s="1"/>
  <c r="P81" i="42"/>
  <c r="T82" i="42" s="1"/>
  <c r="T90" i="42" s="1"/>
  <c r="U90" i="42" s="1"/>
  <c r="P69" i="47"/>
  <c r="T70" i="47" s="1"/>
  <c r="P75" i="47"/>
  <c r="T76" i="47" s="1"/>
  <c r="T92" i="47" s="1"/>
  <c r="U92" i="47" s="1"/>
  <c r="P81" i="47"/>
  <c r="T82" i="47" s="1"/>
  <c r="T90" i="47" s="1"/>
  <c r="U90" i="47" s="1"/>
  <c r="P78" i="47"/>
  <c r="T79" i="47" s="1"/>
  <c r="T85" i="47" s="1"/>
  <c r="U85" i="47" s="1"/>
  <c r="P69" i="44"/>
  <c r="T70" i="44" s="1"/>
  <c r="P78" i="44"/>
  <c r="T79" i="44" s="1"/>
  <c r="T85" i="44" s="1"/>
  <c r="U85" i="44" s="1"/>
  <c r="P81" i="44"/>
  <c r="T82" i="44" s="1"/>
  <c r="T90" i="44" s="1"/>
  <c r="U90" i="44" s="1"/>
  <c r="P75" i="44"/>
  <c r="T76" i="44" s="1"/>
  <c r="T92" i="44" s="1"/>
  <c r="U92" i="44" s="1"/>
  <c r="P69" i="45"/>
  <c r="T70" i="45" s="1"/>
  <c r="P75" i="45"/>
  <c r="T76" i="45" s="1"/>
  <c r="T92" i="45" s="1"/>
  <c r="U92" i="45" s="1"/>
  <c r="P81" i="45"/>
  <c r="T82" i="45" s="1"/>
  <c r="T90" i="45" s="1"/>
  <c r="U90" i="45" s="1"/>
  <c r="P78" i="45"/>
  <c r="T79" i="45" s="1"/>
  <c r="T85" i="45" s="1"/>
  <c r="U85" i="45" s="1"/>
  <c r="P69" i="40"/>
  <c r="T70" i="40" s="1"/>
  <c r="P78" i="40"/>
  <c r="T79" i="40" s="1"/>
  <c r="T85" i="40" s="1"/>
  <c r="U85" i="40" s="1"/>
  <c r="P81" i="40"/>
  <c r="T82" i="40" s="1"/>
  <c r="T90" i="40" s="1"/>
  <c r="U90" i="40" s="1"/>
  <c r="P75" i="40"/>
  <c r="T76" i="40" s="1"/>
  <c r="T92" i="40" s="1"/>
  <c r="U92" i="40" s="1"/>
  <c r="P69" i="39"/>
  <c r="T70" i="39" s="1"/>
  <c r="P75" i="39"/>
  <c r="T76" i="39" s="1"/>
  <c r="T92" i="39" s="1"/>
  <c r="U92" i="39" s="1"/>
  <c r="P78" i="39"/>
  <c r="T79" i="39" s="1"/>
  <c r="T85" i="39" s="1"/>
  <c r="U85" i="39" s="1"/>
  <c r="P81" i="39"/>
  <c r="T82" i="39" s="1"/>
  <c r="T90" i="39" s="1"/>
  <c r="U90" i="39" s="1"/>
  <c r="P69" i="27"/>
  <c r="T70" i="27" s="1"/>
  <c r="P78" i="27"/>
  <c r="T79" i="27" s="1"/>
  <c r="T85" i="27" s="1"/>
  <c r="U85" i="27" s="1"/>
  <c r="P81" i="27"/>
  <c r="T82" i="27" s="1"/>
  <c r="T90" i="27" s="1"/>
  <c r="U90" i="27" s="1"/>
  <c r="P75" i="27"/>
  <c r="T76" i="27" s="1"/>
  <c r="T92" i="27" s="1"/>
  <c r="U92" i="27" s="1"/>
  <c r="P69" i="51"/>
  <c r="T70" i="51" s="1"/>
  <c r="P81" i="51"/>
  <c r="T82" i="51" s="1"/>
  <c r="T90" i="51" s="1"/>
  <c r="U90" i="51" s="1"/>
  <c r="P78" i="51"/>
  <c r="T79" i="51" s="1"/>
  <c r="T85" i="51" s="1"/>
  <c r="U85" i="51" s="1"/>
  <c r="P75" i="51"/>
  <c r="T76" i="51" s="1"/>
  <c r="T92" i="51" s="1"/>
  <c r="U92" i="51" s="1"/>
  <c r="P69" i="18"/>
  <c r="T70" i="18" s="1"/>
  <c r="P75" i="18"/>
  <c r="T76" i="18" s="1"/>
  <c r="T92" i="18" s="1"/>
  <c r="U92" i="18" s="1"/>
  <c r="P81" i="18"/>
  <c r="T82" i="18" s="1"/>
  <c r="T90" i="18" s="1"/>
  <c r="U90" i="18" s="1"/>
  <c r="P78" i="18"/>
  <c r="T79" i="18" s="1"/>
  <c r="T85" i="18" s="1"/>
  <c r="U85" i="18" s="1"/>
  <c r="P69" i="37"/>
  <c r="T70" i="37" s="1"/>
  <c r="P78" i="37"/>
  <c r="T79" i="37" s="1"/>
  <c r="T85" i="37" s="1"/>
  <c r="U85" i="37" s="1"/>
  <c r="P81" i="37"/>
  <c r="T82" i="37" s="1"/>
  <c r="T90" i="37" s="1"/>
  <c r="U90" i="37" s="1"/>
  <c r="P75" i="37"/>
  <c r="T76" i="37" s="1"/>
  <c r="T92" i="37" s="1"/>
  <c r="U92" i="37" s="1"/>
  <c r="P69" i="56"/>
  <c r="T70" i="56" s="1"/>
  <c r="P75" i="56"/>
  <c r="T76" i="56" s="1"/>
  <c r="T92" i="56" s="1"/>
  <c r="U92" i="56" s="1"/>
  <c r="P81" i="56"/>
  <c r="T82" i="56" s="1"/>
  <c r="T90" i="56" s="1"/>
  <c r="U90" i="56" s="1"/>
  <c r="P78" i="56"/>
  <c r="T79" i="56" s="1"/>
  <c r="T85" i="56" s="1"/>
  <c r="U85" i="56" s="1"/>
  <c r="P69" i="78"/>
  <c r="T70" i="78" s="1"/>
  <c r="P75" i="78"/>
  <c r="T76" i="78" s="1"/>
  <c r="T92" i="78" s="1"/>
  <c r="U92" i="78" s="1"/>
  <c r="P78" i="78"/>
  <c r="T79" i="78" s="1"/>
  <c r="T85" i="78" s="1"/>
  <c r="U85" i="78" s="1"/>
  <c r="P81" i="78"/>
  <c r="T82" i="78" s="1"/>
  <c r="T90" i="78" s="1"/>
  <c r="U90" i="78" s="1"/>
  <c r="P69" i="22"/>
  <c r="T70" i="22" s="1"/>
  <c r="P78" i="22"/>
  <c r="T79" i="22" s="1"/>
  <c r="T85" i="22" s="1"/>
  <c r="U85" i="22" s="1"/>
  <c r="P81" i="22"/>
  <c r="T82" i="22" s="1"/>
  <c r="T90" i="22" s="1"/>
  <c r="U90" i="22" s="1"/>
  <c r="P75" i="22"/>
  <c r="T76" i="22" s="1"/>
  <c r="T92" i="22" s="1"/>
  <c r="U92" i="22" s="1"/>
  <c r="P78" i="7"/>
  <c r="T79" i="7" s="1"/>
  <c r="T85" i="7" s="1"/>
  <c r="U85" i="7" s="1"/>
  <c r="P81" i="7"/>
  <c r="T82" i="7" s="1"/>
  <c r="T90" i="7" s="1"/>
  <c r="U90" i="7" s="1"/>
  <c r="P69" i="75"/>
  <c r="T70" i="75" s="1"/>
  <c r="P81" i="75"/>
  <c r="T82" i="75" s="1"/>
  <c r="T90" i="75" s="1"/>
  <c r="U90" i="75" s="1"/>
  <c r="P75" i="75"/>
  <c r="T76" i="75" s="1"/>
  <c r="T92" i="75" s="1"/>
  <c r="U92" i="75" s="1"/>
  <c r="P78" i="75"/>
  <c r="T79" i="75" s="1"/>
  <c r="T85" i="75" s="1"/>
  <c r="U85" i="75" s="1"/>
  <c r="P69" i="32"/>
  <c r="T70" i="32" s="1"/>
  <c r="P78" i="32"/>
  <c r="T79" i="32" s="1"/>
  <c r="T85" i="32" s="1"/>
  <c r="U85" i="32" s="1"/>
  <c r="P81" i="32"/>
  <c r="T82" i="32" s="1"/>
  <c r="T90" i="32" s="1"/>
  <c r="U90" i="32" s="1"/>
  <c r="P75" i="32"/>
  <c r="T76" i="32" s="1"/>
  <c r="T92" i="32" s="1"/>
  <c r="U92" i="32" s="1"/>
  <c r="P69" i="70"/>
  <c r="T70" i="70" s="1"/>
  <c r="P81" i="70"/>
  <c r="T82" i="70" s="1"/>
  <c r="T90" i="70" s="1"/>
  <c r="U90" i="70" s="1"/>
  <c r="P78" i="70"/>
  <c r="T79" i="70" s="1"/>
  <c r="T85" i="70" s="1"/>
  <c r="U85" i="70" s="1"/>
  <c r="P75" i="70"/>
  <c r="T76" i="70" s="1"/>
  <c r="T92" i="70" s="1"/>
  <c r="U92" i="70" s="1"/>
  <c r="P69" i="30"/>
  <c r="T70" i="30" s="1"/>
  <c r="P78" i="30"/>
  <c r="T79" i="30" s="1"/>
  <c r="T85" i="30" s="1"/>
  <c r="U85" i="30" s="1"/>
  <c r="P81" i="30"/>
  <c r="T82" i="30" s="1"/>
  <c r="T90" i="30" s="1"/>
  <c r="U90" i="30" s="1"/>
  <c r="P75" i="30"/>
  <c r="T76" i="30" s="1"/>
  <c r="T92" i="30" s="1"/>
  <c r="U92" i="30" s="1"/>
  <c r="P69" i="69"/>
  <c r="T70" i="69" s="1"/>
  <c r="P81" i="69"/>
  <c r="T82" i="69" s="1"/>
  <c r="T90" i="69" s="1"/>
  <c r="U90" i="69" s="1"/>
  <c r="P75" i="69"/>
  <c r="T76" i="69" s="1"/>
  <c r="T92" i="69" s="1"/>
  <c r="U92" i="69" s="1"/>
  <c r="P78" i="69"/>
  <c r="T79" i="69" s="1"/>
  <c r="T85" i="69" s="1"/>
  <c r="U85" i="69" s="1"/>
  <c r="P69" i="23"/>
  <c r="T70" i="23" s="1"/>
  <c r="P81" i="23"/>
  <c r="T82" i="23" s="1"/>
  <c r="T90" i="23" s="1"/>
  <c r="U90" i="23" s="1"/>
  <c r="P78" i="23"/>
  <c r="T79" i="23" s="1"/>
  <c r="T85" i="23" s="1"/>
  <c r="U85" i="23" s="1"/>
  <c r="P75" i="23"/>
  <c r="T76" i="23" s="1"/>
  <c r="T92" i="23" s="1"/>
  <c r="U92" i="23" s="1"/>
  <c r="P69" i="17"/>
  <c r="T70" i="17" s="1"/>
  <c r="P75" i="17"/>
  <c r="T76" i="17" s="1"/>
  <c r="T92" i="17" s="1"/>
  <c r="U92" i="17" s="1"/>
  <c r="P78" i="17"/>
  <c r="T79" i="17" s="1"/>
  <c r="T85" i="17" s="1"/>
  <c r="U85" i="17" s="1"/>
  <c r="P81" i="17"/>
  <c r="T82" i="17" s="1"/>
  <c r="T90" i="17" s="1"/>
  <c r="U90" i="17" s="1"/>
  <c r="P69" i="71"/>
  <c r="T70" i="71" s="1"/>
  <c r="P81" i="71"/>
  <c r="T82" i="71" s="1"/>
  <c r="T90" i="71" s="1"/>
  <c r="U90" i="71" s="1"/>
  <c r="P78" i="71"/>
  <c r="T79" i="71" s="1"/>
  <c r="T85" i="71" s="1"/>
  <c r="U85" i="71" s="1"/>
  <c r="P75" i="71"/>
  <c r="T76" i="71" s="1"/>
  <c r="T92" i="71" s="1"/>
  <c r="U92" i="71" s="1"/>
  <c r="P69" i="57"/>
  <c r="T70" i="57" s="1"/>
  <c r="P81" i="57"/>
  <c r="T82" i="57" s="1"/>
  <c r="T90" i="57" s="1"/>
  <c r="U90" i="57" s="1"/>
  <c r="P75" i="57"/>
  <c r="T76" i="57" s="1"/>
  <c r="T92" i="57" s="1"/>
  <c r="U92" i="57" s="1"/>
  <c r="P78" i="57"/>
  <c r="T79" i="57" s="1"/>
  <c r="T85" i="57" s="1"/>
  <c r="U85" i="57" s="1"/>
  <c r="P69" i="31"/>
  <c r="T70" i="31" s="1"/>
  <c r="P81" i="31"/>
  <c r="T82" i="31" s="1"/>
  <c r="T90" i="31" s="1"/>
  <c r="U90" i="31" s="1"/>
  <c r="P75" i="31"/>
  <c r="T76" i="31" s="1"/>
  <c r="T92" i="31" s="1"/>
  <c r="U92" i="31" s="1"/>
  <c r="P78" i="31"/>
  <c r="T79" i="31" s="1"/>
  <c r="T85" i="31" s="1"/>
  <c r="U85" i="31" s="1"/>
  <c r="P69" i="26"/>
  <c r="T70" i="26" s="1"/>
  <c r="T98" i="26" s="1"/>
  <c r="U98" i="26" s="1"/>
  <c r="P75" i="26"/>
  <c r="T76" i="26" s="1"/>
  <c r="T92" i="26" s="1"/>
  <c r="U92" i="26" s="1"/>
  <c r="P78" i="26"/>
  <c r="T79" i="26" s="1"/>
  <c r="T85" i="26" s="1"/>
  <c r="U85" i="26" s="1"/>
  <c r="P81" i="26"/>
  <c r="T82" i="26" s="1"/>
  <c r="T90" i="26" s="1"/>
  <c r="U90" i="26" s="1"/>
  <c r="R46" i="34"/>
  <c r="P72" i="34"/>
  <c r="P69" i="28"/>
  <c r="T70" i="28" s="1"/>
  <c r="P75" i="28"/>
  <c r="T76" i="28" s="1"/>
  <c r="T92" i="28" s="1"/>
  <c r="U92" i="28" s="1"/>
  <c r="P81" i="28"/>
  <c r="T82" i="28" s="1"/>
  <c r="T90" i="28" s="1"/>
  <c r="U90" i="28" s="1"/>
  <c r="P78" i="28"/>
  <c r="T79" i="28" s="1"/>
  <c r="T85" i="28" s="1"/>
  <c r="U85" i="28" s="1"/>
  <c r="P69" i="68"/>
  <c r="T70" i="68" s="1"/>
  <c r="P78" i="68"/>
  <c r="T79" i="68" s="1"/>
  <c r="T85" i="68" s="1"/>
  <c r="U85" i="68" s="1"/>
  <c r="P81" i="68"/>
  <c r="T82" i="68" s="1"/>
  <c r="T90" i="68" s="1"/>
  <c r="U90" i="68" s="1"/>
  <c r="P75" i="68"/>
  <c r="T76" i="68" s="1"/>
  <c r="T92" i="68" s="1"/>
  <c r="U92" i="68" s="1"/>
  <c r="P69" i="76"/>
  <c r="T70" i="76" s="1"/>
  <c r="P75" i="76"/>
  <c r="T76" i="76" s="1"/>
  <c r="T92" i="76" s="1"/>
  <c r="U92" i="76" s="1"/>
  <c r="P78" i="76"/>
  <c r="T79" i="76" s="1"/>
  <c r="T85" i="76" s="1"/>
  <c r="U85" i="76" s="1"/>
  <c r="P81" i="76"/>
  <c r="T82" i="76" s="1"/>
  <c r="T90" i="76" s="1"/>
  <c r="U90" i="76" s="1"/>
  <c r="P69" i="55"/>
  <c r="T70" i="55" s="1"/>
  <c r="P78" i="55"/>
  <c r="T79" i="55" s="1"/>
  <c r="T85" i="55" s="1"/>
  <c r="U85" i="55" s="1"/>
  <c r="P81" i="55"/>
  <c r="T82" i="55" s="1"/>
  <c r="T90" i="55" s="1"/>
  <c r="U90" i="55" s="1"/>
  <c r="P75" i="55"/>
  <c r="T76" i="55" s="1"/>
  <c r="T92" i="55" s="1"/>
  <c r="U92" i="55" s="1"/>
  <c r="P69" i="7"/>
  <c r="T70" i="7" s="1"/>
  <c r="P75" i="7"/>
  <c r="T76" i="7" s="1"/>
  <c r="T92" i="7" s="1"/>
  <c r="U92" i="7" s="1"/>
  <c r="I53" i="75"/>
  <c r="T30" i="28"/>
  <c r="P72" i="28" s="1"/>
  <c r="U30" i="28"/>
  <c r="O104" i="28"/>
  <c r="T104" i="28" s="1"/>
  <c r="T30" i="43"/>
  <c r="O104" i="43"/>
  <c r="T104" i="43" s="1"/>
  <c r="U30" i="43"/>
  <c r="O104" i="23"/>
  <c r="T104" i="23" s="1"/>
  <c r="T30" i="23"/>
  <c r="U30" i="23"/>
  <c r="T30" i="22"/>
  <c r="O104" i="22"/>
  <c r="T104" i="22" s="1"/>
  <c r="U30" i="22"/>
  <c r="U30" i="25"/>
  <c r="T30" i="25"/>
  <c r="O104" i="25"/>
  <c r="T104" i="25" s="1"/>
  <c r="U30" i="39"/>
  <c r="O104" i="39"/>
  <c r="T104" i="39" s="1"/>
  <c r="T30" i="39"/>
  <c r="O104" i="51"/>
  <c r="T104" i="51" s="1"/>
  <c r="T30" i="51"/>
  <c r="U30" i="51"/>
  <c r="T30" i="44"/>
  <c r="U30" i="44"/>
  <c r="O104" i="44"/>
  <c r="T104" i="44" s="1"/>
  <c r="T30" i="37"/>
  <c r="U30" i="37"/>
  <c r="O104" i="37"/>
  <c r="T104" i="37" s="1"/>
  <c r="O104" i="66"/>
  <c r="T104" i="66" s="1"/>
  <c r="U30" i="66"/>
  <c r="T30" i="66"/>
  <c r="U30" i="32"/>
  <c r="O104" i="32"/>
  <c r="T104" i="32" s="1"/>
  <c r="T30" i="32"/>
  <c r="U30" i="47"/>
  <c r="O104" i="47"/>
  <c r="T104" i="47" s="1"/>
  <c r="T30" i="47"/>
  <c r="T30" i="48"/>
  <c r="U30" i="48"/>
  <c r="O104" i="48"/>
  <c r="T104" i="48" s="1"/>
  <c r="U30" i="70"/>
  <c r="T30" i="70"/>
  <c r="O104" i="70"/>
  <c r="T104" i="70" s="1"/>
  <c r="T30" i="21"/>
  <c r="O104" i="21"/>
  <c r="T104" i="21" s="1"/>
  <c r="U30" i="21"/>
  <c r="U30" i="30"/>
  <c r="O104" i="30"/>
  <c r="T104" i="30" s="1"/>
  <c r="T30" i="30"/>
  <c r="T30" i="24"/>
  <c r="U30" i="24"/>
  <c r="O104" i="24"/>
  <c r="T104" i="24" s="1"/>
  <c r="T30" i="77"/>
  <c r="U30" i="77"/>
  <c r="O104" i="77"/>
  <c r="T104" i="77" s="1"/>
  <c r="U30" i="33"/>
  <c r="O104" i="33"/>
  <c r="T104" i="33" s="1"/>
  <c r="T30" i="33"/>
  <c r="T30" i="55"/>
  <c r="U30" i="55"/>
  <c r="O104" i="55"/>
  <c r="T104" i="55" s="1"/>
  <c r="T30" i="38"/>
  <c r="O104" i="38"/>
  <c r="T104" i="38" s="1"/>
  <c r="U30" i="38"/>
  <c r="T30" i="31"/>
  <c r="U30" i="31"/>
  <c r="O104" i="31"/>
  <c r="T104" i="31" s="1"/>
  <c r="U30" i="26"/>
  <c r="O104" i="26"/>
  <c r="T104" i="26" s="1"/>
  <c r="T30" i="26"/>
  <c r="U30" i="20"/>
  <c r="O104" i="20"/>
  <c r="T104" i="20" s="1"/>
  <c r="T30" i="20"/>
  <c r="U30" i="76"/>
  <c r="O104" i="76"/>
  <c r="T104" i="76" s="1"/>
  <c r="T30" i="76"/>
  <c r="T30" i="35"/>
  <c r="U30" i="35"/>
  <c r="O104" i="35"/>
  <c r="T104" i="35" s="1"/>
  <c r="U30" i="78"/>
  <c r="O104" i="78"/>
  <c r="T104" i="78" s="1"/>
  <c r="T30" i="78"/>
  <c r="U30" i="27"/>
  <c r="O104" i="27"/>
  <c r="T104" i="27" s="1"/>
  <c r="T30" i="27"/>
  <c r="T30" i="67"/>
  <c r="U30" i="67"/>
  <c r="O104" i="67"/>
  <c r="T104" i="67" s="1"/>
  <c r="O104" i="71"/>
  <c r="T104" i="71" s="1"/>
  <c r="U30" i="71"/>
  <c r="T30" i="71"/>
  <c r="U30" i="68"/>
  <c r="O104" i="68"/>
  <c r="T104" i="68" s="1"/>
  <c r="T30" i="68"/>
  <c r="U30" i="7"/>
  <c r="O104" i="7"/>
  <c r="T104" i="7" s="1"/>
  <c r="T30" i="7"/>
  <c r="T30" i="58"/>
  <c r="U30" i="58"/>
  <c r="O104" i="58"/>
  <c r="T104" i="58" s="1"/>
  <c r="T30" i="50"/>
  <c r="U30" i="50"/>
  <c r="O104" i="50"/>
  <c r="T104" i="50" s="1"/>
  <c r="O104" i="17"/>
  <c r="T104" i="17" s="1"/>
  <c r="T30" i="17"/>
  <c r="U30" i="17"/>
  <c r="T30" i="42"/>
  <c r="U30" i="42"/>
  <c r="O104" i="42"/>
  <c r="T104" i="42" s="1"/>
  <c r="U30" i="18"/>
  <c r="O104" i="18"/>
  <c r="T104" i="18" s="1"/>
  <c r="U107" i="18" s="1"/>
  <c r="T30" i="18"/>
  <c r="O104" i="56"/>
  <c r="T104" i="56" s="1"/>
  <c r="T30" i="56"/>
  <c r="U30" i="56"/>
  <c r="O104" i="69"/>
  <c r="T104" i="69" s="1"/>
  <c r="T30" i="69"/>
  <c r="U30" i="69"/>
  <c r="O107" i="34"/>
  <c r="U107" i="34"/>
  <c r="T30" i="40"/>
  <c r="O104" i="40"/>
  <c r="T104" i="40" s="1"/>
  <c r="U30" i="40"/>
  <c r="U30" i="57"/>
  <c r="T30" i="57"/>
  <c r="O104" i="57"/>
  <c r="T104" i="57" s="1"/>
  <c r="T30" i="36"/>
  <c r="O104" i="36"/>
  <c r="T104" i="36" s="1"/>
  <c r="U30" i="36"/>
  <c r="O104" i="75"/>
  <c r="T104" i="75" s="1"/>
  <c r="U30" i="75"/>
  <c r="T30" i="75"/>
  <c r="T30" i="45"/>
  <c r="O104" i="45"/>
  <c r="T104" i="45" s="1"/>
  <c r="U30" i="45"/>
  <c r="U30" i="16"/>
  <c r="O104" i="16"/>
  <c r="T104" i="16" s="1"/>
  <c r="T30" i="16"/>
  <c r="T88" i="76" l="1"/>
  <c r="U88" i="76" s="1"/>
  <c r="T98" i="76"/>
  <c r="U98" i="76" s="1"/>
  <c r="T88" i="22"/>
  <c r="U88" i="22" s="1"/>
  <c r="T98" i="22"/>
  <c r="U98" i="22" s="1"/>
  <c r="T88" i="37"/>
  <c r="U88" i="37" s="1"/>
  <c r="T98" i="37"/>
  <c r="U98" i="37" s="1"/>
  <c r="T88" i="27"/>
  <c r="U88" i="27" s="1"/>
  <c r="T98" i="27"/>
  <c r="U98" i="27" s="1"/>
  <c r="T88" i="45"/>
  <c r="U88" i="45" s="1"/>
  <c r="T98" i="45"/>
  <c r="U98" i="45" s="1"/>
  <c r="T88" i="42"/>
  <c r="U88" i="42" s="1"/>
  <c r="T98" i="42"/>
  <c r="U98" i="42" s="1"/>
  <c r="T88" i="24"/>
  <c r="U88" i="24" s="1"/>
  <c r="T98" i="24"/>
  <c r="U98" i="24" s="1"/>
  <c r="T88" i="43"/>
  <c r="U88" i="43" s="1"/>
  <c r="T98" i="43"/>
  <c r="U98" i="43" s="1"/>
  <c r="T88" i="21"/>
  <c r="U88" i="21" s="1"/>
  <c r="T98" i="21"/>
  <c r="U98" i="21" s="1"/>
  <c r="T88" i="67"/>
  <c r="U88" i="67" s="1"/>
  <c r="T98" i="67"/>
  <c r="U98" i="67" s="1"/>
  <c r="T88" i="50"/>
  <c r="U88" i="50" s="1"/>
  <c r="T98" i="50"/>
  <c r="U98" i="50" s="1"/>
  <c r="T88" i="23"/>
  <c r="U88" i="23" s="1"/>
  <c r="T98" i="23"/>
  <c r="U98" i="23" s="1"/>
  <c r="T88" i="71"/>
  <c r="U88" i="71" s="1"/>
  <c r="T98" i="71"/>
  <c r="U98" i="71" s="1"/>
  <c r="T88" i="69"/>
  <c r="U88" i="69" s="1"/>
  <c r="T98" i="69"/>
  <c r="U98" i="69" s="1"/>
  <c r="T88" i="32"/>
  <c r="U88" i="32" s="1"/>
  <c r="T98" i="32"/>
  <c r="U98" i="32" s="1"/>
  <c r="T88" i="57"/>
  <c r="U88" i="57" s="1"/>
  <c r="T98" i="57"/>
  <c r="U98" i="57" s="1"/>
  <c r="T88" i="7"/>
  <c r="U88" i="7" s="1"/>
  <c r="T98" i="7"/>
  <c r="U98" i="7" s="1"/>
  <c r="T88" i="68"/>
  <c r="U88" i="68" s="1"/>
  <c r="T98" i="68"/>
  <c r="U98" i="68" s="1"/>
  <c r="T88" i="78"/>
  <c r="U88" i="78" s="1"/>
  <c r="T98" i="78"/>
  <c r="U98" i="78" s="1"/>
  <c r="T88" i="18"/>
  <c r="U88" i="18" s="1"/>
  <c r="T98" i="18"/>
  <c r="U98" i="18" s="1"/>
  <c r="T88" i="39"/>
  <c r="U88" i="39" s="1"/>
  <c r="T98" i="39"/>
  <c r="U98" i="39" s="1"/>
  <c r="T88" i="44"/>
  <c r="U88" i="44" s="1"/>
  <c r="T98" i="44"/>
  <c r="U98" i="44" s="1"/>
  <c r="T88" i="48"/>
  <c r="U88" i="48" s="1"/>
  <c r="T98" i="48"/>
  <c r="U98" i="48" s="1"/>
  <c r="T88" i="38"/>
  <c r="U88" i="38" s="1"/>
  <c r="T98" i="38"/>
  <c r="U98" i="38" s="1"/>
  <c r="T88" i="36"/>
  <c r="U88" i="36" s="1"/>
  <c r="T98" i="36"/>
  <c r="U98" i="36" s="1"/>
  <c r="T88" i="20"/>
  <c r="U88" i="20" s="1"/>
  <c r="T98" i="20"/>
  <c r="U98" i="20" s="1"/>
  <c r="T88" i="66"/>
  <c r="U88" i="66" s="1"/>
  <c r="T98" i="66"/>
  <c r="U98" i="66" s="1"/>
  <c r="T88" i="58"/>
  <c r="U88" i="58" s="1"/>
  <c r="T98" i="58"/>
  <c r="U98" i="58" s="1"/>
  <c r="T88" i="34"/>
  <c r="U88" i="34" s="1"/>
  <c r="T98" i="34"/>
  <c r="U98" i="34" s="1"/>
  <c r="T88" i="70"/>
  <c r="U88" i="70" s="1"/>
  <c r="T98" i="70"/>
  <c r="U98" i="70" s="1"/>
  <c r="T88" i="31"/>
  <c r="U88" i="31" s="1"/>
  <c r="T98" i="31"/>
  <c r="U98" i="31" s="1"/>
  <c r="T88" i="30"/>
  <c r="U88" i="30" s="1"/>
  <c r="T98" i="30"/>
  <c r="U98" i="30" s="1"/>
  <c r="T88" i="75"/>
  <c r="U88" i="75" s="1"/>
  <c r="T98" i="75"/>
  <c r="U98" i="75" s="1"/>
  <c r="T88" i="55"/>
  <c r="U88" i="55" s="1"/>
  <c r="T98" i="55"/>
  <c r="U98" i="55" s="1"/>
  <c r="T88" i="28"/>
  <c r="U88" i="28" s="1"/>
  <c r="T98" i="28"/>
  <c r="U98" i="28" s="1"/>
  <c r="T88" i="56"/>
  <c r="U88" i="56" s="1"/>
  <c r="T98" i="56"/>
  <c r="U98" i="56" s="1"/>
  <c r="T88" i="51"/>
  <c r="U88" i="51" s="1"/>
  <c r="T98" i="51"/>
  <c r="U98" i="51" s="1"/>
  <c r="T88" i="40"/>
  <c r="U88" i="40" s="1"/>
  <c r="T98" i="40"/>
  <c r="U98" i="40" s="1"/>
  <c r="T88" i="47"/>
  <c r="U88" i="47" s="1"/>
  <c r="T98" i="47"/>
  <c r="U98" i="47" s="1"/>
  <c r="T88" i="25"/>
  <c r="U88" i="25" s="1"/>
  <c r="T98" i="25"/>
  <c r="U98" i="25" s="1"/>
  <c r="T88" i="16"/>
  <c r="U88" i="16" s="1"/>
  <c r="T98" i="16"/>
  <c r="U98" i="16" s="1"/>
  <c r="T88" i="35"/>
  <c r="U88" i="35" s="1"/>
  <c r="T98" i="35"/>
  <c r="U98" i="35" s="1"/>
  <c r="T88" i="77"/>
  <c r="U88" i="77" s="1"/>
  <c r="T98" i="77"/>
  <c r="U98" i="77" s="1"/>
  <c r="T88" i="33"/>
  <c r="U88" i="33" s="1"/>
  <c r="T98" i="33"/>
  <c r="U98" i="33" s="1"/>
  <c r="T88" i="17"/>
  <c r="U88" i="17" s="1"/>
  <c r="T98" i="17"/>
  <c r="U98" i="17" s="1"/>
  <c r="I128" i="23"/>
  <c r="I128" i="67"/>
  <c r="I128" i="58"/>
  <c r="I130" i="58" s="1"/>
  <c r="H135" i="58" s="1"/>
  <c r="I128" i="50"/>
  <c r="I130" i="50" s="1"/>
  <c r="H135" i="50" s="1"/>
  <c r="I128" i="48"/>
  <c r="I130" i="48" s="1"/>
  <c r="H135" i="48" s="1"/>
  <c r="I128" i="70"/>
  <c r="I128" i="26"/>
  <c r="I128" i="69"/>
  <c r="I128" i="47"/>
  <c r="I130" i="47" s="1"/>
  <c r="H135" i="47" s="1"/>
  <c r="I135" i="47" s="1"/>
  <c r="I128" i="66"/>
  <c r="I128" i="30"/>
  <c r="I128" i="77"/>
  <c r="I130" i="77" s="1"/>
  <c r="H135" i="77" s="1"/>
  <c r="I128" i="34"/>
  <c r="I128" i="27"/>
  <c r="I130" i="27" s="1"/>
  <c r="H135" i="27" s="1"/>
  <c r="I128" i="44"/>
  <c r="I130" i="44" s="1"/>
  <c r="H135" i="44" s="1"/>
  <c r="I128" i="28"/>
  <c r="I53" i="70"/>
  <c r="I53" i="67"/>
  <c r="I128" i="20"/>
  <c r="I128" i="55"/>
  <c r="I130" i="55" s="1"/>
  <c r="H135" i="55" s="1"/>
  <c r="I135" i="55" s="1"/>
  <c r="I128" i="25"/>
  <c r="I128" i="21"/>
  <c r="I128" i="78"/>
  <c r="I53" i="16"/>
  <c r="O107" i="52"/>
  <c r="T104" i="52"/>
  <c r="U107" i="52" s="1"/>
  <c r="I53" i="26"/>
  <c r="I53" i="32"/>
  <c r="I130" i="32" s="1"/>
  <c r="H135" i="32" s="1"/>
  <c r="I135" i="32" s="1"/>
  <c r="I53" i="17"/>
  <c r="I128" i="42"/>
  <c r="I130" i="42" s="1"/>
  <c r="H135" i="42" s="1"/>
  <c r="I128" i="40"/>
  <c r="I53" i="23"/>
  <c r="I53" i="20"/>
  <c r="I53" i="30"/>
  <c r="I128" i="37"/>
  <c r="I130" i="37" s="1"/>
  <c r="H135" i="37" s="1"/>
  <c r="I128" i="52"/>
  <c r="I128" i="31"/>
  <c r="I130" i="31" s="1"/>
  <c r="I128" i="71"/>
  <c r="I130" i="71" s="1"/>
  <c r="I128" i="45"/>
  <c r="I130" i="45" s="1"/>
  <c r="H135" i="45" s="1"/>
  <c r="I135" i="45" s="1"/>
  <c r="I128" i="51"/>
  <c r="I128" i="17"/>
  <c r="I128" i="18"/>
  <c r="I128" i="38"/>
  <c r="I53" i="18"/>
  <c r="I128" i="22"/>
  <c r="I130" i="22" s="1"/>
  <c r="I128" i="35"/>
  <c r="I130" i="35" s="1"/>
  <c r="H135" i="35" s="1"/>
  <c r="I128" i="76"/>
  <c r="I130" i="76" s="1"/>
  <c r="H135" i="76" s="1"/>
  <c r="I128" i="24"/>
  <c r="I130" i="24" s="1"/>
  <c r="I128" i="68"/>
  <c r="I128" i="39"/>
  <c r="I130" i="39" s="1"/>
  <c r="H135" i="39" s="1"/>
  <c r="I128" i="36"/>
  <c r="I130" i="36" s="1"/>
  <c r="I128" i="75"/>
  <c r="I130" i="75" s="1"/>
  <c r="H135" i="75" s="1"/>
  <c r="I128" i="57"/>
  <c r="I130" i="57" s="1"/>
  <c r="H135" i="57" s="1"/>
  <c r="I135" i="57" s="1"/>
  <c r="I53" i="66"/>
  <c r="R46" i="28"/>
  <c r="T73" i="28" s="1"/>
  <c r="T94" i="28" s="1"/>
  <c r="U94" i="28" s="1"/>
  <c r="R46" i="52"/>
  <c r="I53" i="60"/>
  <c r="I53" i="7"/>
  <c r="I95" i="60"/>
  <c r="F53" i="60"/>
  <c r="F54" i="60"/>
  <c r="I54" i="60"/>
  <c r="U46" i="39"/>
  <c r="R51" i="39"/>
  <c r="U51" i="39" s="1"/>
  <c r="R52" i="39"/>
  <c r="U52" i="39" s="1"/>
  <c r="U46" i="56"/>
  <c r="R52" i="56"/>
  <c r="U52" i="56" s="1"/>
  <c r="R51" i="56"/>
  <c r="U51" i="56" s="1"/>
  <c r="U46" i="67"/>
  <c r="R51" i="67"/>
  <c r="U51" i="67" s="1"/>
  <c r="R52" i="67"/>
  <c r="U52" i="67" s="1"/>
  <c r="U46" i="55"/>
  <c r="R51" i="55"/>
  <c r="U51" i="55" s="1"/>
  <c r="R52" i="55"/>
  <c r="U52" i="55" s="1"/>
  <c r="U46" i="68"/>
  <c r="R51" i="68"/>
  <c r="U51" i="68" s="1"/>
  <c r="R52" i="68"/>
  <c r="U52" i="68" s="1"/>
  <c r="U46" i="75"/>
  <c r="R51" i="75"/>
  <c r="U51" i="75" s="1"/>
  <c r="R52" i="75"/>
  <c r="U52" i="75" s="1"/>
  <c r="U46" i="57"/>
  <c r="R52" i="57"/>
  <c r="U52" i="57" s="1"/>
  <c r="R51" i="57"/>
  <c r="U51" i="57" s="1"/>
  <c r="U46" i="50"/>
  <c r="R51" i="50"/>
  <c r="U51" i="50" s="1"/>
  <c r="R52" i="50"/>
  <c r="U52" i="50" s="1"/>
  <c r="U46" i="76"/>
  <c r="R51" i="76"/>
  <c r="U51" i="76" s="1"/>
  <c r="R52" i="76"/>
  <c r="U52" i="76" s="1"/>
  <c r="U46" i="33"/>
  <c r="R51" i="33"/>
  <c r="U51" i="33" s="1"/>
  <c r="R52" i="33"/>
  <c r="U52" i="33" s="1"/>
  <c r="U46" i="24"/>
  <c r="R51" i="24"/>
  <c r="U51" i="24" s="1"/>
  <c r="R52" i="24"/>
  <c r="U52" i="24" s="1"/>
  <c r="U46" i="66"/>
  <c r="R51" i="66"/>
  <c r="U51" i="66" s="1"/>
  <c r="R52" i="66"/>
  <c r="U52" i="66" s="1"/>
  <c r="U46" i="35"/>
  <c r="R51" i="35"/>
  <c r="U51" i="35" s="1"/>
  <c r="R52" i="35"/>
  <c r="U52" i="35" s="1"/>
  <c r="U46" i="40"/>
  <c r="R51" i="40"/>
  <c r="U51" i="40" s="1"/>
  <c r="R52" i="40"/>
  <c r="U52" i="40" s="1"/>
  <c r="U46" i="17"/>
  <c r="R51" i="17"/>
  <c r="U51" i="17" s="1"/>
  <c r="R52" i="17"/>
  <c r="U52" i="17" s="1"/>
  <c r="U46" i="47"/>
  <c r="R51" i="47"/>
  <c r="U51" i="47" s="1"/>
  <c r="R52" i="47"/>
  <c r="U52" i="47" s="1"/>
  <c r="U46" i="23"/>
  <c r="R51" i="23"/>
  <c r="U51" i="23" s="1"/>
  <c r="R52" i="23"/>
  <c r="U52" i="23" s="1"/>
  <c r="U46" i="25"/>
  <c r="R51" i="25"/>
  <c r="U51" i="25" s="1"/>
  <c r="R52" i="25"/>
  <c r="U52" i="25" s="1"/>
  <c r="U46" i="18"/>
  <c r="R51" i="18"/>
  <c r="U51" i="18" s="1"/>
  <c r="R52" i="18"/>
  <c r="U52" i="18" s="1"/>
  <c r="U46" i="45"/>
  <c r="R51" i="45"/>
  <c r="U51" i="45" s="1"/>
  <c r="R52" i="45"/>
  <c r="U52" i="45" s="1"/>
  <c r="U46" i="58"/>
  <c r="R51" i="58"/>
  <c r="U51" i="58" s="1"/>
  <c r="R52" i="58"/>
  <c r="U52" i="58" s="1"/>
  <c r="U46" i="71"/>
  <c r="R51" i="71"/>
  <c r="U51" i="71" s="1"/>
  <c r="R52" i="71"/>
  <c r="U52" i="71" s="1"/>
  <c r="U46" i="27"/>
  <c r="R51" i="27"/>
  <c r="U51" i="27" s="1"/>
  <c r="R52" i="27"/>
  <c r="U52" i="27" s="1"/>
  <c r="U46" i="20"/>
  <c r="R51" i="20"/>
  <c r="U51" i="20" s="1"/>
  <c r="R52" i="20"/>
  <c r="U52" i="20" s="1"/>
  <c r="U46" i="70"/>
  <c r="R51" i="70"/>
  <c r="U51" i="70" s="1"/>
  <c r="R52" i="70"/>
  <c r="U52" i="70" s="1"/>
  <c r="U46" i="37"/>
  <c r="R51" i="37"/>
  <c r="U51" i="37" s="1"/>
  <c r="R52" i="37"/>
  <c r="U52" i="37" s="1"/>
  <c r="U46" i="51"/>
  <c r="R51" i="51"/>
  <c r="U51" i="51" s="1"/>
  <c r="R52" i="51"/>
  <c r="U52" i="51" s="1"/>
  <c r="U46" i="43"/>
  <c r="R52" i="43"/>
  <c r="U52" i="43" s="1"/>
  <c r="R51" i="43"/>
  <c r="U51" i="43" s="1"/>
  <c r="U46" i="78"/>
  <c r="R51" i="78"/>
  <c r="U51" i="78" s="1"/>
  <c r="R52" i="78"/>
  <c r="U52" i="78" s="1"/>
  <c r="U46" i="77"/>
  <c r="R51" i="77"/>
  <c r="U51" i="77" s="1"/>
  <c r="R52" i="77"/>
  <c r="U52" i="77" s="1"/>
  <c r="U46" i="28"/>
  <c r="R52" i="28"/>
  <c r="U52" i="28" s="1"/>
  <c r="R51" i="28"/>
  <c r="U51" i="28" s="1"/>
  <c r="U46" i="32"/>
  <c r="R51" i="32"/>
  <c r="U51" i="32" s="1"/>
  <c r="R52" i="32"/>
  <c r="U52" i="32" s="1"/>
  <c r="U46" i="38"/>
  <c r="R51" i="38"/>
  <c r="U51" i="38" s="1"/>
  <c r="R52" i="38"/>
  <c r="U52" i="38" s="1"/>
  <c r="U46" i="22"/>
  <c r="R51" i="22"/>
  <c r="U51" i="22" s="1"/>
  <c r="R52" i="22"/>
  <c r="U52" i="22" s="1"/>
  <c r="U46" i="21"/>
  <c r="R51" i="21"/>
  <c r="U51" i="21" s="1"/>
  <c r="R52" i="21"/>
  <c r="U52" i="21" s="1"/>
  <c r="U46" i="42"/>
  <c r="R52" i="42"/>
  <c r="U52" i="42" s="1"/>
  <c r="R51" i="42"/>
  <c r="U51" i="42" s="1"/>
  <c r="U46" i="69"/>
  <c r="R51" i="69"/>
  <c r="U51" i="69" s="1"/>
  <c r="R52" i="69"/>
  <c r="U52" i="69" s="1"/>
  <c r="U46" i="26"/>
  <c r="R51" i="26"/>
  <c r="U51" i="26" s="1"/>
  <c r="R52" i="26"/>
  <c r="U52" i="26" s="1"/>
  <c r="U46" i="48"/>
  <c r="R51" i="48"/>
  <c r="U51" i="48" s="1"/>
  <c r="R52" i="48"/>
  <c r="U52" i="48" s="1"/>
  <c r="U46" i="44"/>
  <c r="R51" i="44"/>
  <c r="U51" i="44" s="1"/>
  <c r="R52" i="44"/>
  <c r="U52" i="44" s="1"/>
  <c r="U46" i="16"/>
  <c r="R51" i="16"/>
  <c r="U51" i="16" s="1"/>
  <c r="R52" i="16"/>
  <c r="U52" i="16" s="1"/>
  <c r="U46" i="31"/>
  <c r="R52" i="31"/>
  <c r="U52" i="31" s="1"/>
  <c r="R51" i="31"/>
  <c r="U51" i="31" s="1"/>
  <c r="U46" i="36"/>
  <c r="R51" i="36"/>
  <c r="U51" i="36" s="1"/>
  <c r="R52" i="36"/>
  <c r="U52" i="36" s="1"/>
  <c r="U46" i="30"/>
  <c r="R51" i="30"/>
  <c r="U51" i="30" s="1"/>
  <c r="R52" i="30"/>
  <c r="U52" i="30" s="1"/>
  <c r="U53" i="34"/>
  <c r="U53" i="52"/>
  <c r="U46" i="7"/>
  <c r="R52" i="7"/>
  <c r="U52" i="7" s="1"/>
  <c r="R51" i="7"/>
  <c r="U51" i="7" s="1"/>
  <c r="T88" i="26"/>
  <c r="U88" i="26" s="1"/>
  <c r="R46" i="57"/>
  <c r="P72" i="57"/>
  <c r="R46" i="56"/>
  <c r="P72" i="56"/>
  <c r="R46" i="67"/>
  <c r="P72" i="67"/>
  <c r="R46" i="38"/>
  <c r="P72" i="38"/>
  <c r="R46" i="37"/>
  <c r="P72" i="37"/>
  <c r="R46" i="51"/>
  <c r="P72" i="51"/>
  <c r="R46" i="35"/>
  <c r="P72" i="35"/>
  <c r="R46" i="32"/>
  <c r="P72" i="32"/>
  <c r="R46" i="18"/>
  <c r="P72" i="18"/>
  <c r="R46" i="76"/>
  <c r="P72" i="76"/>
  <c r="R46" i="48"/>
  <c r="P72" i="48"/>
  <c r="R46" i="39"/>
  <c r="P72" i="39"/>
  <c r="R46" i="43"/>
  <c r="P72" i="43"/>
  <c r="R46" i="50"/>
  <c r="P72" i="50"/>
  <c r="R46" i="55"/>
  <c r="P72" i="55"/>
  <c r="R46" i="33"/>
  <c r="P72" i="33"/>
  <c r="R46" i="44"/>
  <c r="P72" i="44"/>
  <c r="R46" i="71"/>
  <c r="P72" i="71"/>
  <c r="R46" i="78"/>
  <c r="P72" i="78"/>
  <c r="R46" i="21"/>
  <c r="P72" i="21"/>
  <c r="R46" i="22"/>
  <c r="P72" i="22"/>
  <c r="R46" i="40"/>
  <c r="P72" i="40"/>
  <c r="R46" i="17"/>
  <c r="P72" i="17"/>
  <c r="R46" i="27"/>
  <c r="P72" i="27"/>
  <c r="R46" i="45"/>
  <c r="P72" i="45"/>
  <c r="R46" i="20"/>
  <c r="P72" i="20"/>
  <c r="R46" i="58"/>
  <c r="P72" i="58"/>
  <c r="R46" i="47"/>
  <c r="P72" i="47"/>
  <c r="R46" i="23"/>
  <c r="P72" i="23"/>
  <c r="R46" i="42"/>
  <c r="P72" i="42"/>
  <c r="R46" i="24"/>
  <c r="P72" i="24"/>
  <c r="R46" i="66"/>
  <c r="P72" i="66"/>
  <c r="T73" i="52"/>
  <c r="T94" i="52" s="1"/>
  <c r="U94" i="52" s="1"/>
  <c r="R46" i="26"/>
  <c r="P72" i="26"/>
  <c r="R46" i="31"/>
  <c r="P72" i="31"/>
  <c r="R46" i="69"/>
  <c r="P72" i="69"/>
  <c r="R46" i="70"/>
  <c r="P72" i="70"/>
  <c r="R46" i="25"/>
  <c r="P72" i="25"/>
  <c r="T73" i="34"/>
  <c r="T94" i="34" s="1"/>
  <c r="U94" i="34" s="1"/>
  <c r="R46" i="36"/>
  <c r="P72" i="36"/>
  <c r="R46" i="68"/>
  <c r="P72" i="68"/>
  <c r="R46" i="16"/>
  <c r="P72" i="16"/>
  <c r="R46" i="75"/>
  <c r="P72" i="75"/>
  <c r="R46" i="77"/>
  <c r="P72" i="77"/>
  <c r="R46" i="30"/>
  <c r="P72" i="30"/>
  <c r="R46" i="7"/>
  <c r="P72" i="7"/>
  <c r="I137" i="43"/>
  <c r="I141" i="43" s="1"/>
  <c r="I145" i="43" s="1"/>
  <c r="I147" i="43"/>
  <c r="U107" i="69"/>
  <c r="O107" i="69"/>
  <c r="U107" i="7"/>
  <c r="O107" i="7"/>
  <c r="U107" i="35"/>
  <c r="O107" i="35"/>
  <c r="O107" i="26"/>
  <c r="U107" i="26"/>
  <c r="U107" i="38"/>
  <c r="O107" i="38"/>
  <c r="O107" i="24"/>
  <c r="U107" i="24"/>
  <c r="O107" i="21"/>
  <c r="U107" i="21"/>
  <c r="O107" i="28"/>
  <c r="U107" i="28"/>
  <c r="U107" i="31"/>
  <c r="O107" i="31"/>
  <c r="U107" i="77"/>
  <c r="O107" i="77"/>
  <c r="U107" i="43"/>
  <c r="O107" i="43"/>
  <c r="O107" i="55"/>
  <c r="U107" i="55"/>
  <c r="U107" i="48"/>
  <c r="O107" i="48"/>
  <c r="U107" i="22"/>
  <c r="O107" i="22"/>
  <c r="U107" i="57"/>
  <c r="O107" i="57"/>
  <c r="O107" i="39"/>
  <c r="U107" i="39"/>
  <c r="O107" i="56"/>
  <c r="U107" i="56"/>
  <c r="O107" i="17"/>
  <c r="U107" i="17"/>
  <c r="U107" i="50"/>
  <c r="O107" i="50"/>
  <c r="U107" i="71"/>
  <c r="O107" i="71"/>
  <c r="U107" i="32"/>
  <c r="O107" i="32"/>
  <c r="U107" i="66"/>
  <c r="O107" i="66"/>
  <c r="U107" i="25"/>
  <c r="O107" i="25"/>
  <c r="U107" i="23"/>
  <c r="O107" i="23"/>
  <c r="O107" i="42"/>
  <c r="U107" i="42"/>
  <c r="O107" i="27"/>
  <c r="U107" i="27"/>
  <c r="O107" i="76"/>
  <c r="U107" i="76"/>
  <c r="O107" i="37"/>
  <c r="U107" i="37"/>
  <c r="U107" i="67"/>
  <c r="O107" i="67"/>
  <c r="U107" i="47"/>
  <c r="O107" i="47"/>
  <c r="O107" i="58"/>
  <c r="U107" i="58"/>
  <c r="O107" i="68"/>
  <c r="U107" i="68"/>
  <c r="O107" i="33"/>
  <c r="U107" i="33"/>
  <c r="O107" i="16"/>
  <c r="U107" i="16"/>
  <c r="U107" i="45"/>
  <c r="O107" i="45"/>
  <c r="I137" i="33"/>
  <c r="I141" i="33" s="1"/>
  <c r="I145" i="33" s="1"/>
  <c r="O107" i="20"/>
  <c r="U107" i="20"/>
  <c r="O107" i="36"/>
  <c r="U107" i="36"/>
  <c r="I147" i="33"/>
  <c r="O107" i="18"/>
  <c r="O107" i="78"/>
  <c r="U107" i="78"/>
  <c r="O107" i="30"/>
  <c r="U107" i="30"/>
  <c r="O107" i="51"/>
  <c r="U107" i="51"/>
  <c r="O107" i="75"/>
  <c r="U107" i="75"/>
  <c r="O107" i="40"/>
  <c r="U107" i="40"/>
  <c r="O107" i="70"/>
  <c r="U107" i="70"/>
  <c r="U107" i="44"/>
  <c r="O107" i="44"/>
  <c r="Q19" i="79" l="1"/>
  <c r="Q29" i="79"/>
  <c r="I130" i="66"/>
  <c r="H135" i="66" s="1"/>
  <c r="I135" i="66" s="1"/>
  <c r="I130" i="28"/>
  <c r="H135" i="28" s="1"/>
  <c r="T96" i="28"/>
  <c r="U96" i="28" s="1"/>
  <c r="U128" i="28" s="1"/>
  <c r="I147" i="45"/>
  <c r="I135" i="75"/>
  <c r="I147" i="75" s="1"/>
  <c r="I135" i="39"/>
  <c r="I147" i="39" s="1"/>
  <c r="I135" i="42"/>
  <c r="I147" i="42" s="1"/>
  <c r="I135" i="44"/>
  <c r="I135" i="77"/>
  <c r="I137" i="77" s="1"/>
  <c r="I141" i="77" s="1"/>
  <c r="I145" i="77" s="1"/>
  <c r="I135" i="76"/>
  <c r="I147" i="76" s="1"/>
  <c r="I135" i="58"/>
  <c r="I135" i="35"/>
  <c r="I147" i="35" s="1"/>
  <c r="I135" i="48"/>
  <c r="I137" i="48" s="1"/>
  <c r="I141" i="48" s="1"/>
  <c r="I145" i="48" s="1"/>
  <c r="I130" i="51"/>
  <c r="H135" i="51" s="1"/>
  <c r="I135" i="27"/>
  <c r="I147" i="27" s="1"/>
  <c r="I135" i="50"/>
  <c r="I147" i="50" s="1"/>
  <c r="I135" i="37"/>
  <c r="I147" i="37" s="1"/>
  <c r="I130" i="78"/>
  <c r="H135" i="78" s="1"/>
  <c r="I55" i="60"/>
  <c r="I130" i="34"/>
  <c r="H135" i="34" s="1"/>
  <c r="I135" i="34" s="1"/>
  <c r="I130" i="18"/>
  <c r="I130" i="38"/>
  <c r="H135" i="38" s="1"/>
  <c r="U53" i="76"/>
  <c r="U53" i="17"/>
  <c r="U53" i="66"/>
  <c r="U53" i="43"/>
  <c r="I130" i="69"/>
  <c r="H135" i="69" s="1"/>
  <c r="U53" i="58"/>
  <c r="I130" i="7"/>
  <c r="I97" i="60"/>
  <c r="I130" i="52"/>
  <c r="H135" i="52" s="1"/>
  <c r="I135" i="52" s="1"/>
  <c r="U53" i="51"/>
  <c r="U53" i="27"/>
  <c r="U53" i="22"/>
  <c r="U53" i="37"/>
  <c r="U53" i="30"/>
  <c r="U53" i="38"/>
  <c r="U53" i="42"/>
  <c r="U53" i="40"/>
  <c r="U53" i="33"/>
  <c r="U53" i="75"/>
  <c r="U53" i="7"/>
  <c r="U53" i="23"/>
  <c r="U53" i="67"/>
  <c r="U53" i="20"/>
  <c r="U53" i="45"/>
  <c r="U53" i="56"/>
  <c r="U53" i="36"/>
  <c r="U53" i="31"/>
  <c r="U53" i="44"/>
  <c r="U53" i="69"/>
  <c r="U53" i="28"/>
  <c r="I130" i="20"/>
  <c r="U53" i="55"/>
  <c r="I130" i="70"/>
  <c r="H135" i="70" s="1"/>
  <c r="U53" i="39"/>
  <c r="I130" i="67"/>
  <c r="H135" i="67" s="1"/>
  <c r="U53" i="70"/>
  <c r="U53" i="71"/>
  <c r="U53" i="18"/>
  <c r="U53" i="24"/>
  <c r="U53" i="50"/>
  <c r="U53" i="68"/>
  <c r="U53" i="48"/>
  <c r="I130" i="17"/>
  <c r="U53" i="57"/>
  <c r="U53" i="16"/>
  <c r="U53" i="77"/>
  <c r="U53" i="47"/>
  <c r="U53" i="35"/>
  <c r="I130" i="68"/>
  <c r="H135" i="68" s="1"/>
  <c r="I130" i="23"/>
  <c r="I130" i="30"/>
  <c r="H135" i="30" s="1"/>
  <c r="U53" i="26"/>
  <c r="U53" i="21"/>
  <c r="U53" i="25"/>
  <c r="I130" i="40"/>
  <c r="H135" i="40" s="1"/>
  <c r="I135" i="40" s="1"/>
  <c r="U53" i="32"/>
  <c r="I130" i="21"/>
  <c r="H135" i="21" s="1"/>
  <c r="I135" i="21" s="1"/>
  <c r="I130" i="26"/>
  <c r="U53" i="78"/>
  <c r="I130" i="25"/>
  <c r="H135" i="25" s="1"/>
  <c r="I135" i="25" s="1"/>
  <c r="T73" i="30"/>
  <c r="T94" i="30" s="1"/>
  <c r="U94" i="30" s="1"/>
  <c r="T73" i="66"/>
  <c r="T94" i="66" s="1"/>
  <c r="U94" i="66" s="1"/>
  <c r="T73" i="58"/>
  <c r="T94" i="58" s="1"/>
  <c r="U94" i="58" s="1"/>
  <c r="T73" i="22"/>
  <c r="T94" i="22" s="1"/>
  <c r="U94" i="22" s="1"/>
  <c r="T73" i="55"/>
  <c r="T73" i="18"/>
  <c r="T73" i="69"/>
  <c r="T73" i="77"/>
  <c r="T73" i="24"/>
  <c r="T73" i="20"/>
  <c r="T73" i="21"/>
  <c r="T73" i="50"/>
  <c r="T73" i="75"/>
  <c r="T73" i="31"/>
  <c r="T73" i="16"/>
  <c r="T94" i="16" s="1"/>
  <c r="U94" i="16" s="1"/>
  <c r="T73" i="23"/>
  <c r="T94" i="23" s="1"/>
  <c r="U94" i="23" s="1"/>
  <c r="T73" i="27"/>
  <c r="T94" i="27" s="1"/>
  <c r="U94" i="27" s="1"/>
  <c r="T73" i="71"/>
  <c r="T94" i="71" s="1"/>
  <c r="U94" i="71" s="1"/>
  <c r="T73" i="39"/>
  <c r="T94" i="39" s="1"/>
  <c r="U94" i="39" s="1"/>
  <c r="T73" i="51"/>
  <c r="T94" i="51" s="1"/>
  <c r="U94" i="51" s="1"/>
  <c r="T73" i="68"/>
  <c r="T94" i="68" s="1"/>
  <c r="U94" i="68" s="1"/>
  <c r="T73" i="17"/>
  <c r="T94" i="17" s="1"/>
  <c r="U94" i="17" s="1"/>
  <c r="T73" i="44"/>
  <c r="T94" i="44" s="1"/>
  <c r="U94" i="44" s="1"/>
  <c r="T73" i="48"/>
  <c r="T94" i="48" s="1"/>
  <c r="U94" i="48" s="1"/>
  <c r="T73" i="37"/>
  <c r="T94" i="37" s="1"/>
  <c r="U94" i="37" s="1"/>
  <c r="T73" i="26"/>
  <c r="T94" i="26" s="1"/>
  <c r="U94" i="26" s="1"/>
  <c r="T73" i="36"/>
  <c r="T94" i="36" s="1"/>
  <c r="U94" i="36" s="1"/>
  <c r="T96" i="52"/>
  <c r="U96" i="52" s="1"/>
  <c r="T73" i="47"/>
  <c r="T94" i="47" s="1"/>
  <c r="U94" i="47" s="1"/>
  <c r="T73" i="40"/>
  <c r="T94" i="40" s="1"/>
  <c r="U94" i="40" s="1"/>
  <c r="T73" i="33"/>
  <c r="T94" i="33" s="1"/>
  <c r="U94" i="33" s="1"/>
  <c r="T73" i="76"/>
  <c r="T94" i="76" s="1"/>
  <c r="U94" i="76" s="1"/>
  <c r="T73" i="38"/>
  <c r="T94" i="38" s="1"/>
  <c r="U94" i="38" s="1"/>
  <c r="T96" i="34"/>
  <c r="U96" i="34" s="1"/>
  <c r="T73" i="67"/>
  <c r="T94" i="67" s="1"/>
  <c r="U94" i="67" s="1"/>
  <c r="T73" i="25"/>
  <c r="T94" i="25" s="1"/>
  <c r="U94" i="25" s="1"/>
  <c r="T73" i="32"/>
  <c r="T94" i="32" s="1"/>
  <c r="U94" i="32" s="1"/>
  <c r="T73" i="56"/>
  <c r="T94" i="56" s="1"/>
  <c r="U94" i="56" s="1"/>
  <c r="T73" i="70"/>
  <c r="T94" i="70" s="1"/>
  <c r="U94" i="70" s="1"/>
  <c r="T73" i="42"/>
  <c r="T94" i="42" s="1"/>
  <c r="U94" i="42" s="1"/>
  <c r="T73" i="45"/>
  <c r="T94" i="45" s="1"/>
  <c r="U94" i="45" s="1"/>
  <c r="T73" i="78"/>
  <c r="T94" i="78" s="1"/>
  <c r="U94" i="78" s="1"/>
  <c r="T73" i="43"/>
  <c r="T94" i="43" s="1"/>
  <c r="U94" i="43" s="1"/>
  <c r="T73" i="35"/>
  <c r="T94" i="35" s="1"/>
  <c r="U94" i="35" s="1"/>
  <c r="T73" i="57"/>
  <c r="T94" i="57" s="1"/>
  <c r="U94" i="57" s="1"/>
  <c r="T73" i="7"/>
  <c r="T94" i="7" s="1"/>
  <c r="U94" i="7" s="1"/>
  <c r="I137" i="57"/>
  <c r="I141" i="57" s="1"/>
  <c r="I145" i="57" s="1"/>
  <c r="I147" i="57"/>
  <c r="E243" i="64"/>
  <c r="G243" i="64" s="1"/>
  <c r="E152" i="64"/>
  <c r="G152" i="64" s="1"/>
  <c r="I137" i="47"/>
  <c r="I141" i="47" s="1"/>
  <c r="I145" i="47" s="1"/>
  <c r="I147" i="47"/>
  <c r="I137" i="55"/>
  <c r="I141" i="55" s="1"/>
  <c r="I145" i="55" s="1"/>
  <c r="I137" i="56"/>
  <c r="I141" i="56" s="1"/>
  <c r="I145" i="56" s="1"/>
  <c r="I147" i="56"/>
  <c r="I147" i="55"/>
  <c r="I137" i="32"/>
  <c r="I141" i="32" s="1"/>
  <c r="I145" i="32" s="1"/>
  <c r="I147" i="32"/>
  <c r="Q49" i="79" l="1"/>
  <c r="Q41" i="79"/>
  <c r="Q40" i="79"/>
  <c r="Q39" i="79"/>
  <c r="Q32" i="79"/>
  <c r="Q18" i="79"/>
  <c r="I135" i="67"/>
  <c r="I147" i="67" s="1"/>
  <c r="I147" i="66"/>
  <c r="Q33" i="79"/>
  <c r="I135" i="28"/>
  <c r="I147" i="28" s="1"/>
  <c r="I137" i="76"/>
  <c r="I141" i="76" s="1"/>
  <c r="I145" i="76" s="1"/>
  <c r="I137" i="75"/>
  <c r="I141" i="75" s="1"/>
  <c r="I145" i="75" s="1"/>
  <c r="I137" i="27"/>
  <c r="I141" i="27" s="1"/>
  <c r="I145" i="27" s="1"/>
  <c r="I137" i="42"/>
  <c r="I141" i="42" s="1"/>
  <c r="I145" i="42" s="1"/>
  <c r="I137" i="39"/>
  <c r="I141" i="39" s="1"/>
  <c r="I145" i="39" s="1"/>
  <c r="I137" i="37"/>
  <c r="I141" i="37" s="1"/>
  <c r="I145" i="37" s="1"/>
  <c r="I137" i="50"/>
  <c r="I141" i="50" s="1"/>
  <c r="I145" i="50" s="1"/>
  <c r="I147" i="77"/>
  <c r="I137" i="44"/>
  <c r="I141" i="44" s="1"/>
  <c r="I145" i="44" s="1"/>
  <c r="U130" i="28"/>
  <c r="I133" i="28" s="1"/>
  <c r="I147" i="44"/>
  <c r="I137" i="45"/>
  <c r="I141" i="45" s="1"/>
  <c r="I145" i="45" s="1"/>
  <c r="I137" i="35"/>
  <c r="I141" i="35" s="1"/>
  <c r="I145" i="35" s="1"/>
  <c r="I137" i="58"/>
  <c r="I141" i="58" s="1"/>
  <c r="I145" i="58" s="1"/>
  <c r="I147" i="48"/>
  <c r="E423" i="64"/>
  <c r="G423" i="64" s="1"/>
  <c r="I135" i="69"/>
  <c r="I135" i="30"/>
  <c r="I137" i="30" s="1"/>
  <c r="I141" i="30" s="1"/>
  <c r="I145" i="30" s="1"/>
  <c r="I135" i="38"/>
  <c r="I135" i="70"/>
  <c r="I147" i="70" s="1"/>
  <c r="I147" i="58"/>
  <c r="I135" i="68"/>
  <c r="I147" i="68" s="1"/>
  <c r="I137" i="66"/>
  <c r="I141" i="66" s="1"/>
  <c r="I145" i="66" s="1"/>
  <c r="I135" i="78"/>
  <c r="I147" i="78" s="1"/>
  <c r="I135" i="51"/>
  <c r="U128" i="34"/>
  <c r="U130" i="34" s="1"/>
  <c r="I133" i="34" s="1"/>
  <c r="U128" i="52"/>
  <c r="U130" i="52" s="1"/>
  <c r="I133" i="52" s="1"/>
  <c r="E278" i="64"/>
  <c r="G278" i="64" s="1"/>
  <c r="I147" i="34"/>
  <c r="I147" i="52"/>
  <c r="I137" i="52"/>
  <c r="I141" i="52" s="1"/>
  <c r="T96" i="30"/>
  <c r="T96" i="58"/>
  <c r="T96" i="66"/>
  <c r="U96" i="66" s="1"/>
  <c r="T96" i="22"/>
  <c r="U96" i="22" s="1"/>
  <c r="I147" i="21"/>
  <c r="I147" i="40"/>
  <c r="I137" i="40"/>
  <c r="I141" i="40" s="1"/>
  <c r="I145" i="40" s="1"/>
  <c r="I147" i="25"/>
  <c r="T94" i="69"/>
  <c r="U94" i="69" s="1"/>
  <c r="T96" i="69"/>
  <c r="U96" i="69" s="1"/>
  <c r="T94" i="18"/>
  <c r="U94" i="18" s="1"/>
  <c r="T96" i="18"/>
  <c r="U96" i="18" s="1"/>
  <c r="T94" i="55"/>
  <c r="U94" i="55" s="1"/>
  <c r="T96" i="55"/>
  <c r="U96" i="55" s="1"/>
  <c r="T94" i="31"/>
  <c r="T96" i="31"/>
  <c r="U96" i="31" s="1"/>
  <c r="T94" i="75"/>
  <c r="U94" i="75" s="1"/>
  <c r="T96" i="75"/>
  <c r="U96" i="75" s="1"/>
  <c r="T94" i="50"/>
  <c r="U94" i="50" s="1"/>
  <c r="T96" i="50"/>
  <c r="U96" i="50" s="1"/>
  <c r="T94" i="21"/>
  <c r="U94" i="21" s="1"/>
  <c r="T96" i="21"/>
  <c r="U96" i="21" s="1"/>
  <c r="T94" i="20"/>
  <c r="U94" i="20" s="1"/>
  <c r="T96" i="20"/>
  <c r="U96" i="20" s="1"/>
  <c r="T94" i="24"/>
  <c r="U94" i="24" s="1"/>
  <c r="T96" i="24"/>
  <c r="U96" i="24" s="1"/>
  <c r="T94" i="77"/>
  <c r="T96" i="77"/>
  <c r="U96" i="77" s="1"/>
  <c r="T96" i="45"/>
  <c r="U96" i="45" s="1"/>
  <c r="T96" i="76"/>
  <c r="U96" i="76" s="1"/>
  <c r="T96" i="44"/>
  <c r="T96" i="42"/>
  <c r="T96" i="33"/>
  <c r="T96" i="17"/>
  <c r="U96" i="17" s="1"/>
  <c r="T96" i="70"/>
  <c r="U96" i="70" s="1"/>
  <c r="T96" i="40"/>
  <c r="U96" i="40" s="1"/>
  <c r="T96" i="56"/>
  <c r="U96" i="56" s="1"/>
  <c r="T96" i="47"/>
  <c r="U96" i="47" s="1"/>
  <c r="T96" i="68"/>
  <c r="U96" i="68" s="1"/>
  <c r="T96" i="32"/>
  <c r="U96" i="32" s="1"/>
  <c r="T96" i="25"/>
  <c r="T96" i="51"/>
  <c r="T96" i="67"/>
  <c r="T96" i="39"/>
  <c r="U96" i="39" s="1"/>
  <c r="T96" i="71"/>
  <c r="T96" i="57"/>
  <c r="U96" i="57" s="1"/>
  <c r="T96" i="36"/>
  <c r="U96" i="36" s="1"/>
  <c r="T96" i="27"/>
  <c r="T96" i="35"/>
  <c r="U96" i="35" s="1"/>
  <c r="T96" i="26"/>
  <c r="U96" i="26" s="1"/>
  <c r="T96" i="23"/>
  <c r="U96" i="23" s="1"/>
  <c r="T96" i="43"/>
  <c r="U96" i="43" s="1"/>
  <c r="T96" i="37"/>
  <c r="U96" i="37" s="1"/>
  <c r="T96" i="16"/>
  <c r="T96" i="78"/>
  <c r="U96" i="78" s="1"/>
  <c r="T96" i="38"/>
  <c r="T96" i="48"/>
  <c r="T96" i="7"/>
  <c r="E352" i="64"/>
  <c r="G352" i="64" s="1"/>
  <c r="E334" i="64"/>
  <c r="G334" i="64" s="1"/>
  <c r="E269" i="64"/>
  <c r="G269" i="64" s="1"/>
  <c r="E142" i="64"/>
  <c r="G142" i="64" s="1"/>
  <c r="E345" i="64"/>
  <c r="G345" i="64" s="1"/>
  <c r="Q51" i="79" l="1"/>
  <c r="I137" i="67"/>
  <c r="Q43" i="79"/>
  <c r="Q27" i="79"/>
  <c r="U128" i="18"/>
  <c r="E253" i="64"/>
  <c r="G253" i="64" s="1"/>
  <c r="Q30" i="79"/>
  <c r="E115" i="64"/>
  <c r="G115" i="64" s="1"/>
  <c r="Q15" i="79"/>
  <c r="I137" i="28"/>
  <c r="I141" i="28" s="1"/>
  <c r="I145" i="28" s="1"/>
  <c r="E124" i="64" s="1"/>
  <c r="E361" i="64"/>
  <c r="G361" i="64" s="1"/>
  <c r="Q42" i="79"/>
  <c r="E169" i="64"/>
  <c r="G169" i="64" s="1"/>
  <c r="Q21" i="79"/>
  <c r="E261" i="64"/>
  <c r="G261" i="64" s="1"/>
  <c r="Q31" i="79"/>
  <c r="E288" i="64"/>
  <c r="G288" i="64" s="1"/>
  <c r="Q34" i="79"/>
  <c r="E233" i="64"/>
  <c r="G233" i="64" s="1"/>
  <c r="Q28" i="79"/>
  <c r="E195" i="64"/>
  <c r="G195" i="64" s="1"/>
  <c r="Q24" i="79"/>
  <c r="E314" i="64"/>
  <c r="G314" i="64" s="1"/>
  <c r="Q37" i="79"/>
  <c r="I141" i="67"/>
  <c r="I145" i="67" s="1"/>
  <c r="E324" i="64"/>
  <c r="G324" i="64" s="1"/>
  <c r="Q38" i="79"/>
  <c r="E214" i="64"/>
  <c r="G214" i="64" s="1"/>
  <c r="Q26" i="79"/>
  <c r="I145" i="52"/>
  <c r="U96" i="30"/>
  <c r="U128" i="30" s="1"/>
  <c r="U130" i="30" s="1"/>
  <c r="I133" i="30" s="1"/>
  <c r="U94" i="77"/>
  <c r="U128" i="77" s="1"/>
  <c r="U130" i="77" s="1"/>
  <c r="I133" i="77" s="1"/>
  <c r="U94" i="31"/>
  <c r="U128" i="31" s="1"/>
  <c r="U130" i="31" s="1"/>
  <c r="I133" i="31" s="1"/>
  <c r="H135" i="31" s="1"/>
  <c r="U96" i="27"/>
  <c r="U128" i="27" s="1"/>
  <c r="U130" i="27" s="1"/>
  <c r="I133" i="27" s="1"/>
  <c r="U96" i="7"/>
  <c r="U128" i="7" s="1"/>
  <c r="U130" i="7" s="1"/>
  <c r="I133" i="7" s="1"/>
  <c r="U96" i="48"/>
  <c r="U128" i="48" s="1"/>
  <c r="U130" i="48" s="1"/>
  <c r="I133" i="48" s="1"/>
  <c r="U96" i="71"/>
  <c r="U128" i="71" s="1"/>
  <c r="U130" i="71" s="1"/>
  <c r="I133" i="71" s="1"/>
  <c r="H135" i="71" s="1"/>
  <c r="I147" i="38"/>
  <c r="U96" i="38"/>
  <c r="U128" i="38" s="1"/>
  <c r="U130" i="38" s="1"/>
  <c r="I133" i="38" s="1"/>
  <c r="U96" i="33"/>
  <c r="U128" i="33" s="1"/>
  <c r="U130" i="33" s="1"/>
  <c r="I133" i="33" s="1"/>
  <c r="U96" i="67"/>
  <c r="U128" i="67" s="1"/>
  <c r="U130" i="67" s="1"/>
  <c r="I133" i="67" s="1"/>
  <c r="U96" i="42"/>
  <c r="U128" i="42" s="1"/>
  <c r="U130" i="42" s="1"/>
  <c r="I133" i="42" s="1"/>
  <c r="U96" i="16"/>
  <c r="U128" i="16" s="1"/>
  <c r="U130" i="16" s="1"/>
  <c r="I133" i="16" s="1"/>
  <c r="U96" i="51"/>
  <c r="U128" i="51" s="1"/>
  <c r="U130" i="51" s="1"/>
  <c r="I133" i="51" s="1"/>
  <c r="U96" i="44"/>
  <c r="U128" i="44" s="1"/>
  <c r="U130" i="44" s="1"/>
  <c r="I133" i="44" s="1"/>
  <c r="U96" i="58"/>
  <c r="U128" i="58" s="1"/>
  <c r="U130" i="58" s="1"/>
  <c r="I133" i="58" s="1"/>
  <c r="I147" i="69"/>
  <c r="U96" i="25"/>
  <c r="U128" i="25" s="1"/>
  <c r="U130" i="25" s="1"/>
  <c r="I133" i="25" s="1"/>
  <c r="I137" i="69"/>
  <c r="I141" i="69" s="1"/>
  <c r="I145" i="69" s="1"/>
  <c r="I137" i="38"/>
  <c r="I141" i="38" s="1"/>
  <c r="I145" i="38" s="1"/>
  <c r="I137" i="68"/>
  <c r="I141" i="68" s="1"/>
  <c r="I147" i="30"/>
  <c r="I137" i="70"/>
  <c r="I141" i="70" s="1"/>
  <c r="I145" i="70" s="1"/>
  <c r="E442" i="64"/>
  <c r="G442" i="64" s="1"/>
  <c r="I137" i="51"/>
  <c r="I141" i="51" s="1"/>
  <c r="I145" i="51" s="1"/>
  <c r="I147" i="51"/>
  <c r="I137" i="78"/>
  <c r="I141" i="78" s="1"/>
  <c r="I145" i="78" s="1"/>
  <c r="E370" i="64"/>
  <c r="G370" i="64" s="1"/>
  <c r="U128" i="24"/>
  <c r="U130" i="24" s="1"/>
  <c r="I133" i="24" s="1"/>
  <c r="H135" i="24" s="1"/>
  <c r="U128" i="55"/>
  <c r="U130" i="55" s="1"/>
  <c r="I133" i="55" s="1"/>
  <c r="U128" i="21"/>
  <c r="U130" i="21" s="1"/>
  <c r="I133" i="21" s="1"/>
  <c r="U128" i="75"/>
  <c r="U130" i="75" s="1"/>
  <c r="I133" i="75" s="1"/>
  <c r="U128" i="43"/>
  <c r="U130" i="43" s="1"/>
  <c r="I133" i="43" s="1"/>
  <c r="U128" i="68"/>
  <c r="U130" i="68" s="1"/>
  <c r="I133" i="68" s="1"/>
  <c r="U128" i="76"/>
  <c r="U130" i="76" s="1"/>
  <c r="I133" i="76" s="1"/>
  <c r="U128" i="22"/>
  <c r="U128" i="47"/>
  <c r="U130" i="47" s="1"/>
  <c r="I133" i="47" s="1"/>
  <c r="U128" i="35"/>
  <c r="U130" i="35" s="1"/>
  <c r="I133" i="35" s="1"/>
  <c r="U128" i="20"/>
  <c r="U128" i="23"/>
  <c r="U128" i="45"/>
  <c r="U130" i="45" s="1"/>
  <c r="I133" i="45" s="1"/>
  <c r="U128" i="56"/>
  <c r="U130" i="56" s="1"/>
  <c r="I133" i="56" s="1"/>
  <c r="U128" i="36"/>
  <c r="U128" i="66"/>
  <c r="U130" i="66" s="1"/>
  <c r="I133" i="66" s="1"/>
  <c r="U128" i="69"/>
  <c r="U130" i="69" s="1"/>
  <c r="I133" i="69" s="1"/>
  <c r="U128" i="70"/>
  <c r="U130" i="70" s="1"/>
  <c r="I133" i="70" s="1"/>
  <c r="U128" i="39"/>
  <c r="U130" i="39" s="1"/>
  <c r="I133" i="39" s="1"/>
  <c r="U128" i="57"/>
  <c r="U130" i="57" s="1"/>
  <c r="I133" i="57" s="1"/>
  <c r="U128" i="37"/>
  <c r="U130" i="37" s="1"/>
  <c r="I133" i="37" s="1"/>
  <c r="U128" i="40"/>
  <c r="U130" i="40" s="1"/>
  <c r="I133" i="40" s="1"/>
  <c r="U128" i="17"/>
  <c r="U128" i="32"/>
  <c r="U130" i="32" s="1"/>
  <c r="I133" i="32" s="1"/>
  <c r="U128" i="50"/>
  <c r="U130" i="50" s="1"/>
  <c r="I133" i="50" s="1"/>
  <c r="U128" i="78"/>
  <c r="U130" i="78" s="1"/>
  <c r="I133" i="78" s="1"/>
  <c r="U128" i="26"/>
  <c r="U130" i="26" s="1"/>
  <c r="I133" i="26" s="1"/>
  <c r="H135" i="26" s="1"/>
  <c r="I137" i="34"/>
  <c r="I141" i="34" s="1"/>
  <c r="I145" i="34" s="1"/>
  <c r="E224" i="64"/>
  <c r="G224" i="64" s="1"/>
  <c r="I137" i="21"/>
  <c r="I141" i="21" s="1"/>
  <c r="I145" i="21" s="1"/>
  <c r="I137" i="25"/>
  <c r="I141" i="25" s="1"/>
  <c r="I145" i="25" s="1"/>
  <c r="E305" i="64" l="1"/>
  <c r="G305" i="64" s="1"/>
  <c r="Q35" i="79"/>
  <c r="Q20" i="79"/>
  <c r="Q11" i="79"/>
  <c r="Q10" i="79"/>
  <c r="Q44" i="79"/>
  <c r="E377" i="64"/>
  <c r="G377" i="64" s="1"/>
  <c r="G415" i="64"/>
  <c r="Q48" i="79"/>
  <c r="E203" i="64"/>
  <c r="G203" i="64" s="1"/>
  <c r="Q25" i="79"/>
  <c r="E386" i="64"/>
  <c r="G386" i="64" s="1"/>
  <c r="Q45" i="79"/>
  <c r="E433" i="64"/>
  <c r="G433" i="64" s="1"/>
  <c r="Q50" i="79"/>
  <c r="G124" i="64"/>
  <c r="Q16" i="79"/>
  <c r="Q46" i="79"/>
  <c r="E396" i="64"/>
  <c r="G396" i="64" s="1"/>
  <c r="I135" i="24"/>
  <c r="E296" i="64"/>
  <c r="G296" i="64" s="1"/>
  <c r="I135" i="31"/>
  <c r="I137" i="31" s="1"/>
  <c r="I141" i="31" s="1"/>
  <c r="I145" i="31" s="1"/>
  <c r="I135" i="26"/>
  <c r="I137" i="26" s="1"/>
  <c r="I141" i="26" s="1"/>
  <c r="I145" i="26" s="1"/>
  <c r="I135" i="71"/>
  <c r="I147" i="71" s="1"/>
  <c r="U130" i="20"/>
  <c r="I133" i="20" s="1"/>
  <c r="H135" i="20" s="1"/>
  <c r="I135" i="20" s="1"/>
  <c r="H135" i="36"/>
  <c r="U130" i="36"/>
  <c r="I133" i="36" s="1"/>
  <c r="U130" i="17"/>
  <c r="I133" i="17" s="1"/>
  <c r="H135" i="17" s="1"/>
  <c r="U130" i="22"/>
  <c r="I133" i="22" s="1"/>
  <c r="H135" i="22" s="1"/>
  <c r="I135" i="22" s="1"/>
  <c r="U130" i="23"/>
  <c r="I133" i="23" s="1"/>
  <c r="H135" i="23" s="1"/>
  <c r="I135" i="23" s="1"/>
  <c r="U130" i="18"/>
  <c r="I133" i="18" s="1"/>
  <c r="E161" i="64"/>
  <c r="G161" i="64" s="1"/>
  <c r="E80" i="64"/>
  <c r="G80" i="64" s="1"/>
  <c r="E70" i="64"/>
  <c r="G70" i="64" s="1"/>
  <c r="Q14" i="79" l="1"/>
  <c r="E133" i="64"/>
  <c r="G133" i="64" s="1"/>
  <c r="Q17" i="79"/>
  <c r="Q36" i="79"/>
  <c r="I147" i="31"/>
  <c r="I137" i="24"/>
  <c r="I141" i="24" s="1"/>
  <c r="I145" i="24" s="1"/>
  <c r="I147" i="24"/>
  <c r="I137" i="71"/>
  <c r="I141" i="71" s="1"/>
  <c r="I145" i="71" s="1"/>
  <c r="I147" i="26"/>
  <c r="E108" i="64"/>
  <c r="G108" i="64" s="1"/>
  <c r="I135" i="17"/>
  <c r="I135" i="36"/>
  <c r="I147" i="23"/>
  <c r="I137" i="22"/>
  <c r="I141" i="22" s="1"/>
  <c r="I145" i="22" s="1"/>
  <c r="I147" i="20"/>
  <c r="H135" i="18"/>
  <c r="I135" i="18" s="1"/>
  <c r="I147" i="22"/>
  <c r="I137" i="17" l="1"/>
  <c r="I141" i="17" s="1"/>
  <c r="I145" i="17" s="1"/>
  <c r="E100" i="64"/>
  <c r="G100" i="64" s="1"/>
  <c r="Q13" i="79"/>
  <c r="E406" i="64"/>
  <c r="G406" i="64" s="1"/>
  <c r="Q47" i="79"/>
  <c r="E91" i="64"/>
  <c r="G91" i="64" s="1"/>
  <c r="Q12" i="79"/>
  <c r="I137" i="36"/>
  <c r="I141" i="36" s="1"/>
  <c r="I145" i="36" s="1"/>
  <c r="I147" i="36"/>
  <c r="I147" i="17"/>
  <c r="I147" i="18"/>
  <c r="I137" i="20"/>
  <c r="I141" i="20" s="1"/>
  <c r="I145" i="20" s="1"/>
  <c r="Q9" i="79" s="1"/>
  <c r="I137" i="23"/>
  <c r="I141" i="23" s="1"/>
  <c r="I145" i="23" s="1"/>
  <c r="H135" i="7"/>
  <c r="I135" i="7" s="1"/>
  <c r="Q23" i="79" l="1"/>
  <c r="Q22" i="79"/>
  <c r="E184" i="64"/>
  <c r="G184" i="64" s="1"/>
  <c r="E176" i="64"/>
  <c r="G176" i="64" s="1"/>
  <c r="E62" i="64"/>
  <c r="G62" i="64" s="1"/>
  <c r="I137" i="18"/>
  <c r="I141" i="18" s="1"/>
  <c r="I145" i="18" s="1"/>
  <c r="Q8" i="79" l="1"/>
  <c r="E43" i="64"/>
  <c r="G43" i="64" s="1"/>
  <c r="Q7" i="79"/>
  <c r="E50" i="64"/>
  <c r="G50" i="64" l="1"/>
  <c r="I121" i="16" l="1"/>
  <c r="I122" i="16"/>
  <c r="I123" i="16"/>
  <c r="I124" i="16" l="1"/>
  <c r="I128" i="16" l="1"/>
  <c r="I126" i="60" s="1"/>
  <c r="I130" i="16" l="1"/>
  <c r="H135" i="16"/>
  <c r="I135" i="16" s="1"/>
  <c r="I133" i="60" s="1"/>
  <c r="I131" i="60" l="1"/>
  <c r="I128" i="60"/>
  <c r="H133" i="60" s="1"/>
  <c r="I147" i="16" l="1"/>
  <c r="I137" i="16"/>
  <c r="I135" i="60" l="1"/>
  <c r="I141" i="16"/>
  <c r="I145" i="16" l="1"/>
  <c r="J55" i="79" l="1"/>
  <c r="E27" i="64"/>
  <c r="Q6" i="79" l="1"/>
  <c r="G27" i="64"/>
  <c r="I137" i="60"/>
  <c r="I139" i="60"/>
  <c r="I143" i="60" l="1"/>
  <c r="E5" i="64" l="1"/>
  <c r="E459" i="64"/>
  <c r="G5" i="64"/>
  <c r="G452" i="64" s="1"/>
  <c r="E452" i="64"/>
  <c r="N53" i="79"/>
  <c r="Q53" i="79"/>
  <c r="G459" i="64" l="1"/>
  <c r="G482" i="64" s="1"/>
  <c r="G484" i="64" s="1"/>
  <c r="E482" i="64"/>
  <c r="G453" i="64"/>
</calcChain>
</file>

<file path=xl/sharedStrings.xml><?xml version="1.0" encoding="utf-8"?>
<sst xmlns="http://schemas.openxmlformats.org/spreadsheetml/2006/main" count="17850" uniqueCount="527">
  <si>
    <t xml:space="preserve">School District: </t>
  </si>
  <si>
    <t>Program</t>
  </si>
  <si>
    <t>FTE</t>
  </si>
  <si>
    <t>(b)</t>
  </si>
  <si>
    <t>(c)</t>
  </si>
  <si>
    <t>Totals</t>
  </si>
  <si>
    <t>x</t>
  </si>
  <si>
    <t>NOTES:</t>
  </si>
  <si>
    <t>Total</t>
  </si>
  <si>
    <t>Palm Beach</t>
  </si>
  <si>
    <t>Base Student Allocation</t>
  </si>
  <si>
    <t>Revenues flow to districts from state sources and from county tax collectors on various distribution schedules.</t>
  </si>
  <si>
    <t>=</t>
  </si>
  <si>
    <t>4-8</t>
  </si>
  <si>
    <t>9-12</t>
  </si>
  <si>
    <t>(Insert district number in cell A1, enter, then strike F9. Your district data then pulls from Calculation Detail Sheets)</t>
  </si>
  <si>
    <t>Total Class Size Reduction Funds</t>
  </si>
  <si>
    <t>PK - 3</t>
  </si>
  <si>
    <t xml:space="preserve"> Revenue Estimate Worksheet for___________Charter School </t>
  </si>
  <si>
    <t>Number of FTE</t>
  </si>
  <si>
    <t>101 Basic K-3</t>
  </si>
  <si>
    <t>111 Basic K-3 with ESE Services</t>
  </si>
  <si>
    <t>102 Basic 4-8</t>
  </si>
  <si>
    <t>112 Basic 4-8 with ESE Services</t>
  </si>
  <si>
    <t>103 Basic 9-12</t>
  </si>
  <si>
    <t>113 Basic 9-12 with ESE Services</t>
  </si>
  <si>
    <t>Letters Refer to Notes At Bottom:</t>
  </si>
  <si>
    <t>Base Funding</t>
  </si>
  <si>
    <t>Allocation</t>
  </si>
  <si>
    <t>Student</t>
  </si>
  <si>
    <t xml:space="preserve"> x</t>
  </si>
  <si>
    <t>Allocation factors</t>
  </si>
  <si>
    <t>(h)</t>
  </si>
  <si>
    <t>Total Funding for Calculating the Administrative fee of Charters with More Than 75% ESE Students.</t>
  </si>
  <si>
    <t>(j)</t>
  </si>
  <si>
    <t>Weighted FTE (not including Add-On)</t>
  </si>
  <si>
    <t>(1)</t>
  </si>
  <si>
    <t>(2)</t>
  </si>
  <si>
    <t>(3)</t>
  </si>
  <si>
    <t>(4)</t>
  </si>
  <si>
    <t>(5)</t>
  </si>
  <si>
    <t>Small District ESE Supplement</t>
  </si>
  <si>
    <t>Total Base Funding</t>
  </si>
  <si>
    <t>Total Additional FTE</t>
  </si>
  <si>
    <t xml:space="preserve">Total Funded Weighted FTE </t>
  </si>
  <si>
    <t>Advanced Placement</t>
  </si>
  <si>
    <t>International Baccalaureate</t>
  </si>
  <si>
    <t>Advanced International Certificate</t>
  </si>
  <si>
    <t>Industry Certified Career Education</t>
  </si>
  <si>
    <t>Early High School Graduation</t>
  </si>
  <si>
    <t>Additional FTE (a)</t>
  </si>
  <si>
    <t>Additional Base Funds</t>
  </si>
  <si>
    <t>Enter All Adjusted Fundable Riders</t>
  </si>
  <si>
    <t>Impact Aide Student Type</t>
  </si>
  <si>
    <t>Exempt Property Allocation</t>
  </si>
  <si>
    <t>Impact Aide Student Allocation</t>
  </si>
  <si>
    <t>Military and Indian Lands</t>
  </si>
  <si>
    <t>Civilians on Federal Lands</t>
  </si>
  <si>
    <t>Students with Disabilities</t>
  </si>
  <si>
    <t>(2) x (3)</t>
  </si>
  <si>
    <t>Weighted FTE</t>
  </si>
  <si>
    <t>2015-16</t>
  </si>
  <si>
    <t>(WFTE x BSA x DCD)</t>
  </si>
  <si>
    <t>Cost Factor</t>
  </si>
  <si>
    <t>Enter All Adjusted ESE Riders</t>
  </si>
  <si>
    <t>(*Total FTE should equal total in Section 1, column (4) and should not include any additional FTE from Section 1.)</t>
  </si>
  <si>
    <t>Number of Students</t>
  </si>
  <si>
    <t>Administrative fees:</t>
  </si>
  <si>
    <t>Other:</t>
  </si>
  <si>
    <t>Impact Aid Student Type</t>
  </si>
  <si>
    <t>If you have more than a 75% ESE student population, please place a 1 in the following box:</t>
  </si>
  <si>
    <t>5.   Discretionary Millage Compression Allocation</t>
  </si>
  <si>
    <t>Letters in Parentheses Refer to Notes at Bottom of Worksheet:</t>
  </si>
  <si>
    <t>Less Administrative Fee (5% for up to 250 students of Un-Weighted FTE)</t>
  </si>
  <si>
    <t>Total Estimated Revenue</t>
  </si>
  <si>
    <t>Previous Charter School Payments Made</t>
  </si>
  <si>
    <t>Current month's payment amount</t>
  </si>
  <si>
    <t>This tab of the worksheet is Set up to show estimated funding based on Unweighted FTE for charter schools with ESE populations of more</t>
  </si>
  <si>
    <t>than 75% so that the proper administrative fee can be estimated. It should not be necessary to enter data on this page.</t>
  </si>
  <si>
    <r>
      <t xml:space="preserve">254 ESE Level 4 </t>
    </r>
    <r>
      <rPr>
        <b/>
        <i/>
        <sz val="12"/>
        <rFont val="Calibri"/>
        <family val="2"/>
      </rPr>
      <t>(Grade Level PK-3</t>
    </r>
    <r>
      <rPr>
        <b/>
        <sz val="12"/>
        <rFont val="Calibri"/>
        <family val="2"/>
      </rPr>
      <t>)</t>
    </r>
  </si>
  <si>
    <r>
      <t xml:space="preserve">254 ESE Level 4 </t>
    </r>
    <r>
      <rPr>
        <b/>
        <i/>
        <sz val="12"/>
        <rFont val="Calibri"/>
        <family val="2"/>
      </rPr>
      <t>(Grade Level 4-8)</t>
    </r>
  </si>
  <si>
    <r>
      <t>254 ESE Level 4</t>
    </r>
    <r>
      <rPr>
        <b/>
        <i/>
        <sz val="12"/>
        <rFont val="Calibri"/>
        <family val="2"/>
      </rPr>
      <t xml:space="preserve"> (Grade Level 9-12)</t>
    </r>
  </si>
  <si>
    <r>
      <t xml:space="preserve">255 ESE Level 5 </t>
    </r>
    <r>
      <rPr>
        <b/>
        <i/>
        <sz val="12"/>
        <rFont val="Calibri"/>
        <family val="2"/>
      </rPr>
      <t>(Grade Level PK-3</t>
    </r>
    <r>
      <rPr>
        <b/>
        <sz val="12"/>
        <rFont val="Calibri"/>
        <family val="2"/>
      </rPr>
      <t>)</t>
    </r>
  </si>
  <si>
    <r>
      <t xml:space="preserve">255 ESE Level 5 </t>
    </r>
    <r>
      <rPr>
        <b/>
        <i/>
        <sz val="12"/>
        <rFont val="Calibri"/>
        <family val="2"/>
      </rPr>
      <t>(Grade Level 4-8)</t>
    </r>
  </si>
  <si>
    <r>
      <t>255 ESE Level 5</t>
    </r>
    <r>
      <rPr>
        <b/>
        <i/>
        <sz val="12"/>
        <rFont val="Calibri"/>
        <family val="2"/>
      </rPr>
      <t xml:space="preserve"> (Grade Level 9-12)</t>
    </r>
  </si>
  <si>
    <r>
      <t xml:space="preserve">130 ESOL </t>
    </r>
    <r>
      <rPr>
        <b/>
        <i/>
        <sz val="12"/>
        <rFont val="Calibri"/>
        <family val="2"/>
      </rPr>
      <t>(Grade Level PK-3)</t>
    </r>
  </si>
  <si>
    <r>
      <t xml:space="preserve">130 ESOL </t>
    </r>
    <r>
      <rPr>
        <b/>
        <i/>
        <sz val="12"/>
        <rFont val="Calibri"/>
        <family val="2"/>
      </rPr>
      <t>(Grade Level 4-8)</t>
    </r>
  </si>
  <si>
    <r>
      <t xml:space="preserve">130 ESOL </t>
    </r>
    <r>
      <rPr>
        <b/>
        <i/>
        <sz val="12"/>
        <rFont val="Calibri"/>
        <family val="2"/>
      </rPr>
      <t>(Grade Level 9-12)</t>
    </r>
  </si>
  <si>
    <r>
      <t xml:space="preserve">300 Career Education </t>
    </r>
    <r>
      <rPr>
        <b/>
        <i/>
        <sz val="12"/>
        <rFont val="Calibri"/>
        <family val="2"/>
      </rPr>
      <t>(Grades 9-12)</t>
    </r>
  </si>
  <si>
    <r>
      <t xml:space="preserve">Total </t>
    </r>
    <r>
      <rPr>
        <b/>
        <sz val="12"/>
        <color indexed="30"/>
        <rFont val="Calibri"/>
        <family val="2"/>
      </rPr>
      <t>*</t>
    </r>
  </si>
  <si>
    <t>Excess of Administrative Fees to be Allocated to Capital Expenditures</t>
  </si>
  <si>
    <t xml:space="preserve">District Cost Differential:   </t>
  </si>
  <si>
    <t xml:space="preserve">Base Student Allocation:   </t>
  </si>
  <si>
    <t>Oct 2014</t>
  </si>
  <si>
    <t>Feb 2015</t>
  </si>
  <si>
    <t xml:space="preserve">Total Additional FTE   </t>
  </si>
  <si>
    <t xml:space="preserve">Total Funded Weighted FTE   </t>
  </si>
  <si>
    <t xml:space="preserve">Additional Base Funds  </t>
  </si>
  <si>
    <t xml:space="preserve">Total Base Funding  </t>
  </si>
  <si>
    <t xml:space="preserve">        .748 Mills (UFTE share)</t>
  </si>
  <si>
    <t xml:space="preserve">Total Class Size Reduction Funds  </t>
  </si>
  <si>
    <t>(not including Add-On)</t>
  </si>
  <si>
    <r>
      <t xml:space="preserve">Total </t>
    </r>
    <r>
      <rPr>
        <b/>
        <sz val="12"/>
        <color indexed="30"/>
        <rFont val="Calibri"/>
        <family val="2"/>
      </rPr>
      <t xml:space="preserve">*   </t>
    </r>
  </si>
  <si>
    <t xml:space="preserve">9-12       </t>
  </si>
  <si>
    <t xml:space="preserve">4-8       </t>
  </si>
  <si>
    <t xml:space="preserve">PK - 3      </t>
  </si>
  <si>
    <t>Factors</t>
  </si>
  <si>
    <t>Average</t>
  </si>
  <si>
    <t>Impact Aide</t>
  </si>
  <si>
    <t>Exempt Property</t>
  </si>
  <si>
    <t>Revenue Estimate Worksheet: South Tech Charter Academy - 1571</t>
  </si>
  <si>
    <t>Revenue Estimate Worksheet: Ed Venture Charter School - 2521</t>
  </si>
  <si>
    <t>Revenue Estimate Worksheet: Potentials Charter School - 2531</t>
  </si>
  <si>
    <t>Revenue Estimate Worksheet: Believers Academy - 3400</t>
  </si>
  <si>
    <t>Revenue Estimate Worksheet: Western Academy Charter School - 2911</t>
  </si>
  <si>
    <t>Revenue Estimate Worksheet: Palm Beach School for Autism - 2941</t>
  </si>
  <si>
    <t>Revenue Estimate Worksheet: Imagine Schools - Chancellor Campus - 3381</t>
  </si>
  <si>
    <t>Revenue Estimate Worksheet: Glades Academy - 3382</t>
  </si>
  <si>
    <t>Revenue Estimate Worksheet: Seagull Academy for Independent Living - 3391</t>
  </si>
  <si>
    <t>Revenue Estimate Worksheet: Montessori Academy of Early Enrichment - 3394</t>
  </si>
  <si>
    <t>Revenue Estimate Worksheet: G-Star School of the Arts for Motion Pictures &amp; Television - 3396</t>
  </si>
  <si>
    <t>Revenue Estimate Worksheet: Everglades Preparatory Academy - 3398</t>
  </si>
  <si>
    <t>Revenue Estimate Worksheet: Quantum High School - 3401</t>
  </si>
  <si>
    <t>Revenue Estimate Worksheet: Somerset Academy Boca East - 3413</t>
  </si>
  <si>
    <t>Revenue Estimate Worksheet: Worthington High School - 3421</t>
  </si>
  <si>
    <t>Revenue Estimate Worksheet: Renaissance Charter School at West Palm Beach - 3431</t>
  </si>
  <si>
    <t>Revenue Estimate Worksheet: SouthTech Preparatory Academy - 3441</t>
  </si>
  <si>
    <t>Revenue Estimate Worksheet: Ben Gamla Charter School - 3941</t>
  </si>
  <si>
    <t>Revenue Estimate Worksheet: Gardens School of Technology Arts - 3961</t>
  </si>
  <si>
    <t>Revenue Estimate Worksheet: Renaissance Charter School at Wellington - 4001</t>
  </si>
  <si>
    <t>Revenue Estimate Worksheet: Renaissance Charter School at Summit - 4002</t>
  </si>
  <si>
    <t>Revenue Estimate Worksheet: Somerset Academy Canyons Middle School - 4012</t>
  </si>
  <si>
    <t>Revenue Estimate Worksheet: Somerset Academy Canyons High School - 4013</t>
  </si>
  <si>
    <t>Revenue Estimate Worksheet: Somerset Academy Boca Middle School - 4041</t>
  </si>
  <si>
    <t>Revenue Estimate Worksheet: Renaissance Charter School at Cypress - 4050</t>
  </si>
  <si>
    <t>Revenue Estimate Worksheet: Renaissance Charter School at Central Palm - 4051</t>
  </si>
  <si>
    <t>School District:</t>
  </si>
  <si>
    <t>District Funding</t>
  </si>
  <si>
    <t>0.748 Discretionary Local Effort</t>
  </si>
  <si>
    <t>0.748 Mills Compression</t>
  </si>
  <si>
    <t>Reading Allocation</t>
  </si>
  <si>
    <t>Instructional Materials</t>
  </si>
  <si>
    <t>Funding Per FTE</t>
  </si>
  <si>
    <t>Virtual Education Contribution Per FTE</t>
  </si>
  <si>
    <t>Total Funding Per FTE</t>
  </si>
  <si>
    <t>Total FTE</t>
  </si>
  <si>
    <t>Total Virtual Funding</t>
  </si>
  <si>
    <t>Total Virtual Funding net of Completion Factor</t>
  </si>
  <si>
    <t>Less: Administrative Fee (5% for Virtual)</t>
  </si>
  <si>
    <t>Base FEFP Funding</t>
  </si>
  <si>
    <t>District Total Unweighted FTE</t>
  </si>
  <si>
    <t>(a)</t>
  </si>
  <si>
    <t>(a) / (b)</t>
  </si>
  <si>
    <t>Estimated Completion Factor - Based on K-12 state-wide average</t>
  </si>
  <si>
    <t>Totals non-virtual schools</t>
  </si>
  <si>
    <t>Virtual schools ($5,476.28/FTE)</t>
  </si>
  <si>
    <t>Totals all schools</t>
  </si>
  <si>
    <t>School #</t>
  </si>
  <si>
    <t>Description</t>
  </si>
  <si>
    <t>1461</t>
  </si>
  <si>
    <t>1571</t>
  </si>
  <si>
    <t>2521</t>
  </si>
  <si>
    <t>2531</t>
  </si>
  <si>
    <t>2791</t>
  </si>
  <si>
    <t>2801</t>
  </si>
  <si>
    <t>2911</t>
  </si>
  <si>
    <t>2941</t>
  </si>
  <si>
    <t>3083</t>
  </si>
  <si>
    <t>3345</t>
  </si>
  <si>
    <t>3381</t>
  </si>
  <si>
    <t>3382</t>
  </si>
  <si>
    <t>3391</t>
  </si>
  <si>
    <t>3394</t>
  </si>
  <si>
    <t>3395</t>
  </si>
  <si>
    <t>3396</t>
  </si>
  <si>
    <t>3398</t>
  </si>
  <si>
    <t>3400</t>
  </si>
  <si>
    <t>3401</t>
  </si>
  <si>
    <t>3413</t>
  </si>
  <si>
    <t>3421</t>
  </si>
  <si>
    <t>3431</t>
  </si>
  <si>
    <t>3941</t>
  </si>
  <si>
    <t>3961</t>
  </si>
  <si>
    <t>3971</t>
  </si>
  <si>
    <t>4001</t>
  </si>
  <si>
    <t>Net payments</t>
  </si>
  <si>
    <t>Palm Beach County Charter Schools</t>
  </si>
  <si>
    <t>Sorted by School Name</t>
  </si>
  <si>
    <t>Dept #</t>
  </si>
  <si>
    <t>Charter School Name</t>
  </si>
  <si>
    <t>Believers Academy</t>
  </si>
  <si>
    <t>Inlet Grove Community High School</t>
  </si>
  <si>
    <t>Ben Gamla Charter School</t>
  </si>
  <si>
    <t>South Tech Charter Academy</t>
  </si>
  <si>
    <t>Ed Venture</t>
  </si>
  <si>
    <t>Potentials Charter School</t>
  </si>
  <si>
    <t>Everglades Preparatory Academy</t>
  </si>
  <si>
    <t>Western Academy Charter School</t>
  </si>
  <si>
    <t>Palm Beach School for Autism</t>
  </si>
  <si>
    <t>4020</t>
  </si>
  <si>
    <t>4061</t>
  </si>
  <si>
    <t>Imagine Schools - Chancellor Campus</t>
  </si>
  <si>
    <t>Gardens School of Technology Arts</t>
  </si>
  <si>
    <t xml:space="preserve">Glades Academy </t>
  </si>
  <si>
    <t>G-Star School of the Arts for Motion Pictures and Television</t>
  </si>
  <si>
    <t>Seagull Academy for Independent Living</t>
  </si>
  <si>
    <t>Montessori Academy of Early Enrichment</t>
  </si>
  <si>
    <t>Quantum High School</t>
  </si>
  <si>
    <t>Somerset Academy Boca</t>
  </si>
  <si>
    <t>Worthington High School</t>
  </si>
  <si>
    <t>3924</t>
  </si>
  <si>
    <t>Renaissance Charter School at WPB</t>
  </si>
  <si>
    <t>3441</t>
  </si>
  <si>
    <t>South Tech Preparatory Academy (Middle School)</t>
  </si>
  <si>
    <t>4051</t>
  </si>
  <si>
    <t>Renaissance Charter School at Central Palm</t>
  </si>
  <si>
    <t>4050</t>
  </si>
  <si>
    <t>Renaissance Charter School at Cypress</t>
  </si>
  <si>
    <t>4002</t>
  </si>
  <si>
    <t xml:space="preserve">Renaissance Charter School at Summit </t>
  </si>
  <si>
    <t>Renaissance Charter School at Wellington</t>
  </si>
  <si>
    <t>4012</t>
  </si>
  <si>
    <t xml:space="preserve">Somerset Academy Canyons Middle School </t>
  </si>
  <si>
    <t>4013</t>
  </si>
  <si>
    <t xml:space="preserve">Somerset Academy Canyons High School </t>
  </si>
  <si>
    <t>4041</t>
  </si>
  <si>
    <t xml:space="preserve">Somerset Academy Boca Middle School </t>
  </si>
  <si>
    <t>School Name</t>
  </si>
  <si>
    <t xml:space="preserve">G-Star School of the Arts </t>
  </si>
  <si>
    <t>South Tech Preparatory Academy (MS)</t>
  </si>
  <si>
    <t>School Police</t>
  </si>
  <si>
    <t>AT&amp;T</t>
  </si>
  <si>
    <t>Net</t>
  </si>
  <si>
    <t>Charter schools should contact their school district sponsor regarding eligible FTE. Please note that “Number of FTE” is NOT equivalent to number of students enrolled in these courses or programs. Please refer to footnote (a) below.</t>
  </si>
  <si>
    <t>4081</t>
  </si>
  <si>
    <t>Florida Futures Academy - North Campus</t>
  </si>
  <si>
    <t>Revenue Estimate Worksheet: Florida Futures Academy - North Campus - 4081</t>
  </si>
  <si>
    <t>State Funded Discretionary Contribution</t>
  </si>
  <si>
    <t>University Preparatory Academy</t>
  </si>
  <si>
    <t>4080</t>
  </si>
  <si>
    <t>H</t>
  </si>
  <si>
    <t>Current month's payment amount - Additional</t>
  </si>
  <si>
    <t>Previous Charter School Payments Made (July-Oct 2015 before this revised Oct revenue calculation)</t>
  </si>
  <si>
    <t>University Prep Palm Beach</t>
  </si>
  <si>
    <t>Revenue Estimate Worksheet: University Prep Palm Beach - 4080</t>
  </si>
  <si>
    <t>October 2015 FTE</t>
  </si>
  <si>
    <t>February 2016 FTE</t>
  </si>
  <si>
    <t>Remaining Estimated Revenue</t>
  </si>
  <si>
    <t>Number of Remaining Months</t>
  </si>
  <si>
    <t>Number of remaining months</t>
  </si>
  <si>
    <t xml:space="preserve">Totals per payment approval sheet  </t>
  </si>
  <si>
    <t>Adjustments</t>
  </si>
  <si>
    <t>Letters in Parentheses Refer to Notes at Bottom of Worksheet</t>
  </si>
  <si>
    <t>Revenue Estimate Worksheet: Inlet Grove Community High School - 1461</t>
  </si>
  <si>
    <t>Revenue Estimate Worksheet: All Charter Schools (Consolidated Tab)</t>
  </si>
  <si>
    <t xml:space="preserve">Total current month's FTE payment amount per Consolidated tab  </t>
  </si>
  <si>
    <t>The Learning Center at The Els Center of Excellence</t>
  </si>
  <si>
    <t>Revenue Estimate Worksheet: The Learning Center at The Els Center of Excellence - 2791</t>
  </si>
  <si>
    <t>Class Size Cat.</t>
  </si>
  <si>
    <t>Based on the 2015-16 FEFP 4th Calculation</t>
  </si>
  <si>
    <t>(a) Additional FTE includes FTE earned through Advanced Placement, International Baccalaureate, Advanced International Certificate of Education, Industry Certified Career</t>
  </si>
  <si>
    <t>"All Adjusted ESE Riders" should include only ESE Riders.</t>
  </si>
  <si>
    <t xml:space="preserve">unweighted full-time equivalent students. </t>
  </si>
  <si>
    <t xml:space="preserve">Administrative fees charged by the school district pursuant to s. 1002.33(20)(a), F.S., shall be calculated based upon 5% of available funds from the FEFP and categorical </t>
  </si>
  <si>
    <t>FEFP and categorical funding are recalculated during the year to reflect the revised number of full-time equivalent students reported during the survey periods designated</t>
  </si>
  <si>
    <t>by the Commissioner of Education.</t>
  </si>
  <si>
    <t>Revenue Estimate Worksheet: Connections Education Center of the Palm Beaches - 4100</t>
  </si>
  <si>
    <t>Pg 41/52 - 1st Calc</t>
  </si>
  <si>
    <t>Connections Education Center of the Palm Beaches</t>
  </si>
  <si>
    <t>4100</t>
  </si>
  <si>
    <t>In a letter dated 08/01/16, the school's governing board elected to voluntarily terminate the</t>
  </si>
  <si>
    <t>school's Charter effective 08/01/16.</t>
  </si>
  <si>
    <t>Revenue Estimate Worksheet: Somerset Academy Lakes - 4091</t>
  </si>
  <si>
    <t>Revenue Estimate Worksheet: Sports Leadership &amp; Management Middle School (SLAM) - 4090</t>
  </si>
  <si>
    <t>Revenue Estimate Worksheet: Virtual - 4XXX</t>
  </si>
  <si>
    <t>Sports Leadership &amp; Management MS (SLAM)</t>
  </si>
  <si>
    <t>Somerset Academy Lakes</t>
  </si>
  <si>
    <t>Sports Leadership &amp; Management (SLAM) MS</t>
  </si>
  <si>
    <t>NOTES TO ALL CHARTER SCHOOLS</t>
  </si>
  <si>
    <t>PY Final FEFP</t>
  </si>
  <si>
    <t>PY Dig C/R A/R</t>
  </si>
  <si>
    <t>PY Digital C/R</t>
  </si>
  <si>
    <t>4102</t>
  </si>
  <si>
    <t>BridgePrep Academy of PB</t>
  </si>
  <si>
    <t>Revenue Estimate Worksheet: BridgePrep Academy of PB - 4102</t>
  </si>
  <si>
    <t xml:space="preserve">Transportation </t>
  </si>
  <si>
    <t>Revenue Estimate Worksheet: Somerset Academy JFK Charter School - 3395</t>
  </si>
  <si>
    <t>Somerset Academy JFK Charter School</t>
  </si>
  <si>
    <t xml:space="preserve">(j) Funding based on student eligibility and meals provided, if participating in the National School Lunch Program. </t>
  </si>
  <si>
    <t>PY Class Size Cat.</t>
  </si>
  <si>
    <t>Net Revenue</t>
  </si>
  <si>
    <t>The Learning Center @ The Els Center of Excl</t>
  </si>
  <si>
    <t>Somerset Academy Charter School</t>
  </si>
  <si>
    <t>Sports Leadership Academy (SLAM)</t>
  </si>
  <si>
    <t>Connections Education Center of the PBs</t>
  </si>
  <si>
    <t>BridgePrep Academy of Palm Beach</t>
  </si>
  <si>
    <t>MS Course Recovery</t>
  </si>
  <si>
    <t>Feb 2018</t>
  </si>
  <si>
    <t>K-12 Initiative Grant</t>
  </si>
  <si>
    <t>(e)</t>
  </si>
  <si>
    <t>(i)</t>
  </si>
  <si>
    <t>funding for which charter students may be eligible.  To calculate the administrative fee to be withheld for schools with more than 250 students, divide the school</t>
  </si>
  <si>
    <t xml:space="preserve">For high performing charter schools, administrative fees charged by the school district shall be calculated based upon 2% of available funds from the FEFP and categorical </t>
  </si>
  <si>
    <t xml:space="preserve">population into 250. Multiply that fraction times the funds available, then times 2%.  </t>
  </si>
  <si>
    <t>2018-19</t>
  </si>
  <si>
    <t>Revenue Estimate Worksheet: Sports Leadership &amp; Management (SLAM) MHS (Boca) - 4103</t>
  </si>
  <si>
    <t>Sports Leadership Arts Management (SLAM) - Boca</t>
  </si>
  <si>
    <t>SLAM Boca</t>
  </si>
  <si>
    <t>4103</t>
  </si>
  <si>
    <t>Sports Leadership Arts Management (SLAM) Acdemy MHS (Boca)</t>
  </si>
  <si>
    <t xml:space="preserve"> </t>
  </si>
  <si>
    <t>Oct 2018</t>
  </si>
  <si>
    <t>Please go to the bottom of the page.</t>
  </si>
  <si>
    <t>Sorted by School Number</t>
  </si>
  <si>
    <t>Revenue Estimate Worksheet: Olympus International Academy - 4030</t>
  </si>
  <si>
    <t>Revenue Estimate Worksheet: Sports Leadership &amp; Management (SLAM) Academy High School - 4111</t>
  </si>
  <si>
    <t>Projected</t>
  </si>
  <si>
    <t>Olympus International Academy</t>
  </si>
  <si>
    <t>The Learning Academy at The Els Center of Excellence</t>
  </si>
  <si>
    <t>LAN &amp; Internet</t>
  </si>
  <si>
    <t>4030</t>
  </si>
  <si>
    <t>Disallowed IDEA</t>
  </si>
  <si>
    <t>Palm Beach Preparatory Charter Academy</t>
  </si>
  <si>
    <t>Palm Beach Perparatory Charter Academy</t>
  </si>
  <si>
    <t>SLAM HS Palm Beach</t>
  </si>
  <si>
    <t>Revenue Estimate Worksheet: Palm Beach Preparatory Charter Academy - 3971</t>
  </si>
  <si>
    <t>FL AG - FY18</t>
  </si>
  <si>
    <t>WPB-</t>
  </si>
  <si>
    <t>Revenue Estimate Worksheet: The Learning Academy at The Els Center of Excellence - 3083</t>
  </si>
  <si>
    <t>Franklin Academy - Boynton Beach</t>
  </si>
  <si>
    <t>Revenue Estimate Worksheet: Franklin Academy - Boynton Beach - 4020</t>
  </si>
  <si>
    <t>Franklin Academy - Palm Beach Gardens</t>
  </si>
  <si>
    <t>Revenue Estimate Worksheet: Franklin Academy - Palm Beach Gardens - 4061</t>
  </si>
  <si>
    <t>(k)</t>
  </si>
  <si>
    <t>Somerset Academy Wellington</t>
  </si>
  <si>
    <t>Revenue Estimate Worksheet: Somerset Academy Wellington - 4031</t>
  </si>
  <si>
    <t>PY Safe Schl Alloc</t>
  </si>
  <si>
    <t>WPB-229862</t>
  </si>
  <si>
    <t>SWA Fees</t>
  </si>
  <si>
    <t>FL AG - FY20</t>
  </si>
  <si>
    <t>FY21 TSIA</t>
  </si>
  <si>
    <t>WPB-241201</t>
  </si>
  <si>
    <t>WPB-242343</t>
  </si>
  <si>
    <t>FY21 CSTAG Training</t>
  </si>
  <si>
    <t>TSIA deducted 07/21</t>
  </si>
  <si>
    <t>Unused FY21 TSIA Funds</t>
  </si>
  <si>
    <t>Unused FY21 TSIA add'l adj</t>
  </si>
  <si>
    <t>WPB-245095</t>
  </si>
  <si>
    <t>WPB-248085</t>
  </si>
  <si>
    <t>WPB-248086</t>
  </si>
  <si>
    <t>WPB-248087</t>
  </si>
  <si>
    <t>Ends June 2022</t>
  </si>
  <si>
    <t>WPB-249234</t>
  </si>
  <si>
    <t>TSIA deducted 02/22</t>
  </si>
  <si>
    <t>Revenue Estimate Worksheet: Somerset Academy Wellington HS - 4131</t>
  </si>
  <si>
    <t>4131</t>
  </si>
  <si>
    <t>Somerset Academy Wellington HS</t>
  </si>
  <si>
    <t>WPB-255421</t>
  </si>
  <si>
    <t>Palm Beach Maritime Academy Secondary</t>
  </si>
  <si>
    <t>Palm Beach Maritime Academy Elementary</t>
  </si>
  <si>
    <t>Oct 2022</t>
  </si>
  <si>
    <t>Feb 2023</t>
  </si>
  <si>
    <t>Revenue Estimate Worksheet: Career Academy of the Palm Beaches - 3345</t>
  </si>
  <si>
    <t>Revenue Estimate Worksheet: Palm Beach Maritime Academy Secondary - 3924</t>
  </si>
  <si>
    <t>Revenue Estimate Worksheet: Palm Beach Maritime Academy Elementary - 2801</t>
  </si>
  <si>
    <t>Career Academy of the Palm Beaches</t>
  </si>
  <si>
    <t>The Learning Academy @ The Els Center of Excl</t>
  </si>
  <si>
    <t>WPB-260215</t>
  </si>
  <si>
    <t>WPB-263848</t>
  </si>
  <si>
    <t>WPB-264048</t>
  </si>
  <si>
    <t>WPB-264049</t>
  </si>
  <si>
    <t>WPB-265762</t>
  </si>
  <si>
    <t xml:space="preserve">Education (CAPE), Early High School Graduation and the small district ESE Supplement, pursuant to s. 1011.62(1)(i-p), F.S. </t>
  </si>
  <si>
    <t>(b) District allocations multiplied by percentage from item 2A.</t>
  </si>
  <si>
    <t>(c) District allocations multiplied by percentage from item 2B.</t>
  </si>
  <si>
    <t>(d) District allocations multiplied by percentage from item 2C.</t>
  </si>
  <si>
    <t>(e) District allocations multiplied by percentage from item 2D.</t>
  </si>
  <si>
    <t>(f) District allocations multiplied by percentage from item 2E.</t>
  </si>
  <si>
    <t xml:space="preserve">reconnended not to be recalculated with fluctuations in student enrollment later in the year. </t>
  </si>
  <si>
    <t>(g) This allocation will be frozen as of the 2023-24 FEFP Conference Calculation and will not be recalculated throughout the year. Charter school allocations are</t>
  </si>
  <si>
    <t>(h) Numbers entered here will be multiplied by the district level transportation funding per rider. "All Adjusted Fundable Riders" should include both basic and ESE Riders.</t>
  </si>
  <si>
    <t xml:space="preserve">All Adjusted Fundable Riders  </t>
  </si>
  <si>
    <t xml:space="preserve">All Adjusted ESE Riders (Member Cat L)  </t>
  </si>
  <si>
    <t xml:space="preserve">(i) The Federally Connected Student Supplement provides additional funding for students on federal lands that receive Section 8003 impact aide pursuant to s. 1011.62(13), F.S. </t>
  </si>
  <si>
    <t xml:space="preserve">allocated by the Legislature for teacher compensation. </t>
  </si>
  <si>
    <t xml:space="preserve">(k) Consistent with s. 1002.33(20)(a)3, F.S., a school's sponsor may not charge or withhold any administrative fee against a charter school for any funds specfically </t>
  </si>
  <si>
    <t>(l) Consistent with s. 1002.33(20)(a), F.S., for charter schools with a population of 75% or more ESE students, the administrative fee shall be calculated based on</t>
  </si>
  <si>
    <t xml:space="preserve">multiplied by the greater of $1,951.26 or the district's prior year ESE Guaranteed funds per-FTE student. </t>
  </si>
  <si>
    <t xml:space="preserve">(m) Consistent with s. 1011.62(8), F.S., the calculation of the ESE Guaranteed Allocation calculation is based on the school's basic ESE FTE, less program 113 gifted FTE, </t>
  </si>
  <si>
    <t xml:space="preserve">population into 250. Multiply that fraction times the funds available, then times 5%.  For charter schools within a charter school system that meets the requirements </t>
  </si>
  <si>
    <t>in s. 1002.33(20)(a)2.a.(II), F.S., do the same calculation based on up to and including 500 students.</t>
  </si>
  <si>
    <t xml:space="preserve">Small District Factor:   </t>
  </si>
  <si>
    <t>Small District Factor:</t>
  </si>
  <si>
    <t xml:space="preserve">Comparable Wage Factor:   </t>
  </si>
  <si>
    <t xml:space="preserve">Comparable Wage Factor: </t>
  </si>
  <si>
    <t>(WFTE x BSA x CWF x SDF)</t>
  </si>
  <si>
    <t>1B. Classroom Teacher &amp; Other Instructional Personnel Salary Increase</t>
  </si>
  <si>
    <t>Maintenance and Growth Portions of the Salary Increase funds are part of the total Base Funding and are not treated as a separate allocation.</t>
  </si>
  <si>
    <t>Amounts are split out here for informative purposes and for the purposes of providing a total that may be used for calculating the adminstrative fee.</t>
  </si>
  <si>
    <t>Maintenance Portion (4.52% of Base Funding)</t>
  </si>
  <si>
    <t>(g) (k)</t>
  </si>
  <si>
    <t>Growth Portion (1.41% of Base Funding)</t>
  </si>
  <si>
    <t>Total Salary Increase</t>
  </si>
  <si>
    <t xml:space="preserve">          UFTE share.                          CS UFTE: </t>
  </si>
  <si>
    <t xml:space="preserve">          WFTE share.                       CS WFTE: </t>
  </si>
  <si>
    <r>
      <t xml:space="preserve">         </t>
    </r>
    <r>
      <rPr>
        <b/>
        <sz val="11"/>
        <rFont val="Calibri"/>
        <family val="2"/>
        <scheme val="minor"/>
      </rPr>
      <t xml:space="preserve"> UFTE share. </t>
    </r>
    <r>
      <rPr>
        <b/>
        <sz val="12"/>
        <rFont val="Calibri"/>
        <family val="2"/>
        <scheme val="minor"/>
      </rPr>
      <t xml:space="preserve">                           CS UFTE: </t>
    </r>
  </si>
  <si>
    <r>
      <t xml:space="preserve">         </t>
    </r>
    <r>
      <rPr>
        <b/>
        <sz val="11"/>
        <rFont val="Calibri"/>
        <family val="2"/>
        <scheme val="minor"/>
      </rPr>
      <t xml:space="preserve"> school's UFTE share. </t>
    </r>
    <r>
      <rPr>
        <b/>
        <sz val="12"/>
        <rFont val="Calibri"/>
        <family val="2"/>
        <scheme val="minor"/>
      </rPr>
      <t xml:space="preserve">                    CS UFTE: </t>
    </r>
  </si>
  <si>
    <t xml:space="preserve">          school's UFTE share.                  CS UFTE: </t>
  </si>
  <si>
    <t xml:space="preserve">          school's WFTE share.               CS WFTE: </t>
  </si>
  <si>
    <t xml:space="preserve">     /        District's total UFTE:</t>
  </si>
  <si>
    <t xml:space="preserve">     /        District's total WFTE:</t>
  </si>
  <si>
    <t xml:space="preserve"> /  District's total non-scholarship UFTE:</t>
  </si>
  <si>
    <t>/ by district's total non-virtual UFTE:</t>
  </si>
  <si>
    <r>
      <t xml:space="preserve">         </t>
    </r>
    <r>
      <rPr>
        <b/>
        <sz val="11"/>
        <rFont val="Calibri"/>
        <family val="2"/>
        <scheme val="minor"/>
      </rPr>
      <t xml:space="preserve"> school's UFTE share. </t>
    </r>
    <r>
      <rPr>
        <b/>
        <sz val="12"/>
        <rFont val="Calibri"/>
        <family val="2"/>
        <scheme val="minor"/>
      </rPr>
      <t xml:space="preserve">             CS UFTE: </t>
    </r>
  </si>
  <si>
    <t xml:space="preserve">    ÷                    District's total UFTE</t>
  </si>
  <si>
    <t xml:space="preserve">    ÷                    District's total WFTE</t>
  </si>
  <si>
    <t xml:space="preserve">    ÷     District's total non-scholarship UFTE    </t>
  </si>
  <si>
    <t xml:space="preserve">               ÷                  District's total non-virtual UFTE  </t>
  </si>
  <si>
    <t xml:space="preserve">÷   Dististict's total non-scholarship/virtual UFTE  </t>
  </si>
  <si>
    <r>
      <t xml:space="preserve">         </t>
    </r>
    <r>
      <rPr>
        <b/>
        <sz val="11"/>
        <rFont val="Calibri"/>
        <family val="2"/>
        <scheme val="minor"/>
      </rPr>
      <t xml:space="preserve"> obtain school's UFTE share. </t>
    </r>
    <r>
      <rPr>
        <b/>
        <sz val="12"/>
        <rFont val="Calibri"/>
        <family val="2"/>
        <scheme val="minor"/>
      </rPr>
      <t xml:space="preserve">         CS UFTE: </t>
    </r>
  </si>
  <si>
    <t>/ Dist total non-scholarship/virtual UFTE:</t>
  </si>
  <si>
    <t>(f)</t>
  </si>
  <si>
    <t>8.   Discretionary Local Effort (WFTE share)</t>
  </si>
  <si>
    <t>9.   Proration to Funds Available (WFTE share)</t>
  </si>
  <si>
    <t>10.  Class Size Reduction Funds:</t>
  </si>
  <si>
    <r>
      <rPr>
        <b/>
        <sz val="12"/>
        <rFont val="Calibri"/>
        <family val="2"/>
      </rPr>
      <t xml:space="preserve">  X  </t>
    </r>
    <r>
      <rPr>
        <b/>
        <u/>
        <sz val="12"/>
        <rFont val="Calibri"/>
        <family val="2"/>
      </rPr>
      <t>CWF</t>
    </r>
    <r>
      <rPr>
        <b/>
        <sz val="12"/>
        <rFont val="Calibri"/>
        <family val="2"/>
      </rPr>
      <t xml:space="preserve">  X</t>
    </r>
  </si>
  <si>
    <r>
      <t xml:space="preserve">  X  </t>
    </r>
    <r>
      <rPr>
        <b/>
        <u/>
        <sz val="12"/>
        <rFont val="Calibri"/>
        <family val="2"/>
      </rPr>
      <t>CWF</t>
    </r>
    <r>
      <rPr>
        <b/>
        <sz val="12"/>
        <rFont val="Calibri"/>
        <family val="2"/>
      </rPr>
      <t xml:space="preserve">  X</t>
    </r>
  </si>
  <si>
    <r>
      <rPr>
        <b/>
        <sz val="12"/>
        <rFont val="Calibri"/>
        <family val="2"/>
      </rPr>
      <t>X             CWF</t>
    </r>
    <r>
      <rPr>
        <b/>
        <sz val="12"/>
        <rFont val="Calibri"/>
        <family val="2"/>
      </rPr>
      <t xml:space="preserve">            X</t>
    </r>
  </si>
  <si>
    <t>X             CWF            X</t>
  </si>
  <si>
    <t>11.  Student Transportation</t>
  </si>
  <si>
    <t>12.  Federally Connected Student Supplement</t>
  </si>
  <si>
    <t>12.  Federally Connected Student Supplement (i)</t>
  </si>
  <si>
    <t>13.  Food Service Allocation</t>
  </si>
  <si>
    <t>1A.   2023-24 FEFP State and Local Funding</t>
  </si>
  <si>
    <t>14. Total Less Total Salary Increase - Item 1B. (for administrative fee calculation)</t>
  </si>
  <si>
    <t>14A.  Funding for the purpose of calculating the administrative fee for ESE charter schools.</t>
  </si>
  <si>
    <t>Avaya Maintenance</t>
  </si>
  <si>
    <t>WPB-268128</t>
  </si>
  <si>
    <t>WPB-268356</t>
  </si>
  <si>
    <t>PK-3</t>
  </si>
  <si>
    <t>Grade</t>
  </si>
  <si>
    <t>Matrix</t>
  </si>
  <si>
    <t>Guarantee</t>
  </si>
  <si>
    <t>2.   ESE Guaranteed Allocation:</t>
  </si>
  <si>
    <t>Level</t>
  </si>
  <si>
    <t>Per Student</t>
  </si>
  <si>
    <t/>
  </si>
  <si>
    <t>Additional Funding from the ESE Guaranteed Allocation. Enter the FTE from 111,112 and 113 by grade and matrix level.  Students who do not have a matrix level should be considered 251.  This total should equal all FTE from programs 111, 112 and 113 above.</t>
  </si>
  <si>
    <t>Total ESE Guarantee</t>
  </si>
  <si>
    <t>Grade Level</t>
  </si>
  <si>
    <t>3A.   Divide school's Unweighted FTE (UFTE) total computed in Section 1, cell E30 above by the district's total UFTE to obtain school's</t>
  </si>
  <si>
    <t>3B.   Divide school's Weighted FTE (WFTE) total computed in Section 1, cell H30 above by the district's total WFTE to obtain school's</t>
  </si>
  <si>
    <t>3C.   Divide school's Unweighted FTE (UFTE) total computed in Section 1, cell E30 above by the District's total non-scholarship UFTE to obtain school's</t>
  </si>
  <si>
    <t>3D.   Divide school's Unweighted FTE (UFTE) total computed in Section 1, cell E30 above by the District's total non-virtual UFTE to obtain school's</t>
  </si>
  <si>
    <t xml:space="preserve">3E.   Divide school's Unweighted FTE (UFTE) total computed in Section 1, cell E30 above by the district's total non-scholarship/virtual UFTE to obtain </t>
  </si>
  <si>
    <t>4.   Educational Enrichment Share (Non-virtual UFTE share)</t>
  </si>
  <si>
    <t>6.   Safe Schools Allocation (Non-scholarship/virtual UFTE share)</t>
  </si>
  <si>
    <r>
      <t xml:space="preserve">7.   </t>
    </r>
    <r>
      <rPr>
        <b/>
        <sz val="11"/>
        <rFont val="Calibri"/>
        <family val="2"/>
        <scheme val="minor"/>
      </rPr>
      <t>Mental Health Assistance Allocation (Non-scholarship UFTE share)</t>
    </r>
  </si>
  <si>
    <t>3A.   Divide school's Unweighted FTE (UFTE) total computed in Section 1, cell E30 above by the District's total UFTE to obtain</t>
  </si>
  <si>
    <t>3B.   Divide school's Weighted FTE (WFTE) total computed in Section 1, cell H30 above by the District's total WFTE to obtain</t>
  </si>
  <si>
    <t>3C.   Divide school's Unweighted FTE (UFTE) total computed in Section 1, cell E30 above by the District's total non-scholarship UFTE to obtain</t>
  </si>
  <si>
    <t>3D.   Divide school's Unweighted FTE (UFTE) total computed in Section 1, cell E30 above by the District's total non-virtual UFTE to obtain</t>
  </si>
  <si>
    <t>3E.   Divide school's Unweighted FTE (UFTE) total computed in Section 1, cell E30 above by the District's total non-scholarship/virtual UFTE to</t>
  </si>
  <si>
    <t>5.   Discretionary Millage Compression Allocation (UFTE share)</t>
  </si>
  <si>
    <t>Total Less Total Salary Increase - Item 1B. (for administrative fee calculation)</t>
  </si>
  <si>
    <t>Funding for the purpose of calculating the administrative fee for ESE charter schools.</t>
  </si>
  <si>
    <t xml:space="preserve">(a) Additional FTE includes FTE earned through Advanced Placement, International Baccalaureate, Advanced International Certificate of Education, Industry Certified Career Education (CAPE), Early High School Graduation, the small district ESE Supplement and Dual Enrollment pursuant to s. 1011.62(1)(i-p), F.S. </t>
  </si>
  <si>
    <t xml:space="preserve">(g) This allocation will be frozen as of the 2023-24 FEFP Conference Calculation and will not be recalculated throughout the year. Charter school allocations are recommended not to be recalculated with fluctuations in student enrollment later in the year. </t>
  </si>
  <si>
    <t>(h)  Numbers entered here will be multiplied by the district level transportation funding per rider. "All Adjusted Fundable Riders" should include both basic and ESE Riders. "All Adjusted ESE Riders" should include only ESE Riders.</t>
  </si>
  <si>
    <t xml:space="preserve">(k) Consistent with s. 1002.33(20)(a)3, F.S., a school's sponsor may not charge or withhold any administrative fee against a charter school for any funds specfically allocated by the Legislature for teacher compensation. </t>
  </si>
  <si>
    <t xml:space="preserve">(l) Consistent with s. 1002.33(20)(a), F.S., for charter schools with a population of 75% or more ESE students, the administrative fee shall be calculated based on unweighted full-time equivalent students. </t>
  </si>
  <si>
    <t xml:space="preserve">Administrative fees charged by the school district pursuant to s. 1002.33(20)(a), F.S., shall be calculated based upon 5% of available funds from the FEFP and categorical funding for which charter students may be eligible. To calculate the administrative fee to be withheld for schools with more than 250 students, divide the school population into 250. Multiply that fraction times the funds available, then times 5%. For charter schools within a charter school system that meets the requirements in s. 1002.33(20)(a)2.a.(II), F.S., do the same calculation based for up to and including 500 students. </t>
  </si>
  <si>
    <t xml:space="preserve">For high performing charter schools, administrative fees charged by the school district shall be calculated based upon 2% of available funds from the FEFP and  categorical funding for which charter students may be eligible. To calculate the administrative fee to be withheld for schools with more than 250 students, divide the school population into 250. Multiply that fraction times the funds available, then times 2%.  </t>
  </si>
  <si>
    <t>FEFP and categorical funding are recalculated during the year to reflect the revised number of full-time equivalent students reported during the survey periods designated by the Commissioner of Education.</t>
  </si>
  <si>
    <t>WPB-271562</t>
  </si>
  <si>
    <t>Sep Teacher Supplies Retract</t>
  </si>
  <si>
    <t>WPB- 274470</t>
  </si>
  <si>
    <t>July</t>
  </si>
  <si>
    <t>August</t>
  </si>
  <si>
    <t>Sept</t>
  </si>
  <si>
    <t>Oct</t>
  </si>
  <si>
    <t>Nov</t>
  </si>
  <si>
    <t>Dec</t>
  </si>
  <si>
    <t>Jan</t>
  </si>
  <si>
    <t>Feb</t>
  </si>
  <si>
    <t>March</t>
  </si>
  <si>
    <t>April</t>
  </si>
  <si>
    <t>May</t>
  </si>
  <si>
    <t>June</t>
  </si>
  <si>
    <t>rounding diff</t>
  </si>
  <si>
    <t>Payments excluding current month</t>
  </si>
  <si>
    <t>Net Revenue - Previous Pmts</t>
  </si>
  <si>
    <t>Calculated Current Payment</t>
  </si>
  <si>
    <t>Actual Current Payment</t>
  </si>
  <si>
    <t>Oct 2023</t>
  </si>
  <si>
    <t>Feb 2024</t>
  </si>
  <si>
    <t>Cumulative Payments</t>
  </si>
  <si>
    <t>10.  Educational Enrollment Stabilization Program (UFTE Share)</t>
  </si>
  <si>
    <t>11.  Class Size Reduction Funds:</t>
  </si>
  <si>
    <t>12.  Student Transportation</t>
  </si>
  <si>
    <t>13.  Federally Connected Student Supplement</t>
  </si>
  <si>
    <t>13.  Federally Connected Student Supplement (i)</t>
  </si>
  <si>
    <t>15.  Funding for the purpose of calculating the administrative fee for ESE charter schools.</t>
  </si>
  <si>
    <t>15. Total Funding for Calculating the Administrative fee of Charters with More Than 75% ESE Students.</t>
  </si>
  <si>
    <t>15  Funding for the purpose of calculating the administrative fee for ESE charter schools.</t>
  </si>
  <si>
    <t>12.  Food Service Allocation</t>
  </si>
  <si>
    <t>Receiveable Collection</t>
  </si>
  <si>
    <t>Oversight web page.</t>
  </si>
  <si>
    <t>1. The FLDOE released the Feb 2023 FTE Survey 3 report on 03/11/24. FTE counts from this report are used in</t>
  </si>
  <si>
    <t>WPB-XXX</t>
  </si>
  <si>
    <t>*Use this for each tab in worksheet, current month is excluded for  calc.</t>
  </si>
  <si>
    <t>WPB-281592</t>
  </si>
  <si>
    <t>WPB- 281736</t>
  </si>
  <si>
    <t>WPB-283704</t>
  </si>
  <si>
    <t>Based on the FLDOE 2024-25 Conference Calculation</t>
  </si>
  <si>
    <t>2024-25</t>
  </si>
  <si>
    <t>July 2024</t>
  </si>
  <si>
    <t>Bridgeprep will be excluded in actual payment (included in this exercise to tie out).</t>
  </si>
  <si>
    <r>
      <t xml:space="preserve">July </t>
    </r>
    <r>
      <rPr>
        <b/>
        <sz val="10"/>
        <color indexed="12"/>
        <rFont val="Calibri"/>
        <family val="2"/>
      </rPr>
      <t xml:space="preserve">2024 - </t>
    </r>
    <r>
      <rPr>
        <b/>
        <sz val="10"/>
        <rFont val="Calibri"/>
        <family val="2"/>
      </rPr>
      <t xml:space="preserve">FY </t>
    </r>
    <r>
      <rPr>
        <b/>
        <sz val="10"/>
        <color indexed="12"/>
        <rFont val="Calibri"/>
        <family val="2"/>
      </rPr>
      <t xml:space="preserve">2025 </t>
    </r>
    <r>
      <rPr>
        <b/>
        <sz val="10"/>
        <rFont val="Calibri"/>
        <family val="2"/>
      </rPr>
      <t>Charter School FTE Payment</t>
    </r>
  </si>
  <si>
    <t>FTE July 2024</t>
  </si>
  <si>
    <t>the July 2024 payment calculations. This report has been uploaded to the District's Charter School Fiscal</t>
  </si>
  <si>
    <t>2. As of 07/03/24, 9:45am, the FLDOE has not released the 2023-24 Foruth Calculation Charter School Revenue</t>
  </si>
  <si>
    <t>Worksheet. The July 2024 payments are based on the 2023-24 Third Calculation.</t>
  </si>
  <si>
    <t xml:space="preserve">3. As of 07/03/2024, the FDOE has issued the 2024-25 Conference Revenue Worksheet for Charter Schools, </t>
  </si>
  <si>
    <t xml:space="preserve"> which was used in the July 2024 calculation,  FY 25.</t>
  </si>
  <si>
    <t xml:space="preserve"> Rev WPB-283704</t>
  </si>
  <si>
    <t>WPB- 285642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</si>
</sst>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7" formatCode="&quot;$&quot;#,##0.00_);\(&quot;$&quot;#,##0.00\)"/>
    <numFmt numFmtId="41" formatCode="_(* #,##0_);_(* \(#,##0\);_(* &quot;-&quot;_);_(@_)"/>
    <numFmt numFmtId="44" formatCode="_(&quot;$&quot;* #,##0.00_);_(&quot;$&quot;* \(#,##0.00\);_(&quot;$&quot;* &quot;-&quot;??_);_(@_)"/>
    <numFmt numFmtId="43" formatCode="_(* #,##0.00_);_(* \(#,##0.00\);_(* &quot;-&quot;??_);_(@_)"/>
    <numFmt numFmtId="164" formatCode="_-&quot;$&quot;* #,##0.00_-;\-&quot;$&quot;* #,##0.00_-;_-&quot;$&quot;* &quot;-&quot;??_-;_-@_-"/>
    <numFmt numFmtId="165" formatCode="_-* #,##0.00_-;\-* #,##0.00_-;_-* &quot;-&quot;??_-;_-@_-"/>
    <numFmt numFmtId="166" formatCode="0.0000%"/>
    <numFmt numFmtId="167" formatCode="#,##0.0000"/>
    <numFmt numFmtId="168" formatCode="0.000"/>
    <numFmt numFmtId="169" formatCode="0.0000"/>
    <numFmt numFmtId="170" formatCode="_-&quot;$&quot;* #,##0_-;\-&quot;$&quot;* #,##0_-;_-&quot;$&quot;* &quot;-&quot;??_-;_-@_-"/>
    <numFmt numFmtId="171" formatCode="0."/>
    <numFmt numFmtId="172" formatCode="#,##0.0000\ \ \ _);\(#,##0.0000\)"/>
    <numFmt numFmtId="173" formatCode="_(* #,##0.0000_);_(* \(#,##0.0000\);_(* &quot;-&quot;????_);_(@_)"/>
    <numFmt numFmtId="174" formatCode="#,##0.0000\ \ \ \ \ \ \ \ \ \ _);\(#,##0.0000\ \ \ \ \ \ \ \ \ \ \)"/>
    <numFmt numFmtId="175" formatCode="#,##0.00\ \ \ \ _);\(#,##0.00\)"/>
    <numFmt numFmtId="176" formatCode="#,##0._);\(#,##0.\)"/>
    <numFmt numFmtId="177" formatCode="#,##0;[Red]\(#,##0\)"/>
    <numFmt numFmtId="178" formatCode="_(* #,##0.0000_);_(* \(#,##0.0000\);_(* &quot;-&quot;??_);_(@_)"/>
  </numFmts>
  <fonts count="57" x14ac:knownFonts="1">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Calibri"/>
      <family val="2"/>
    </font>
    <font>
      <b/>
      <i/>
      <sz val="12"/>
      <name val="Calibri"/>
      <family val="2"/>
    </font>
    <font>
      <b/>
      <u/>
      <sz val="12"/>
      <name val="Calibri"/>
      <family val="2"/>
    </font>
    <font>
      <b/>
      <sz val="12"/>
      <color indexed="30"/>
      <name val="Calibri"/>
      <family val="2"/>
    </font>
    <font>
      <b/>
      <sz val="10"/>
      <name val="Calibri"/>
      <family val="2"/>
    </font>
    <font>
      <b/>
      <sz val="8"/>
      <name val="Arial"/>
      <family val="2"/>
    </font>
    <font>
      <b/>
      <sz val="10"/>
      <color indexed="12"/>
      <name val="Calibri"/>
      <family val="2"/>
    </font>
    <font>
      <sz val="11"/>
      <color theme="1"/>
      <name val="Calibri"/>
      <family val="2"/>
      <scheme val="minor"/>
    </font>
    <font>
      <b/>
      <sz val="16"/>
      <name val="Calibri"/>
      <family val="2"/>
      <scheme val="minor"/>
    </font>
    <font>
      <b/>
      <sz val="12"/>
      <name val="Calibri"/>
      <family val="2"/>
      <scheme val="minor"/>
    </font>
    <font>
      <b/>
      <sz val="12"/>
      <color indexed="12"/>
      <name val="Calibri"/>
      <family val="2"/>
      <scheme val="minor"/>
    </font>
    <font>
      <sz val="12"/>
      <name val="Calibri"/>
      <family val="2"/>
      <scheme val="minor"/>
    </font>
    <font>
      <sz val="10"/>
      <name val="Calibri"/>
      <family val="2"/>
      <scheme val="minor"/>
    </font>
    <font>
      <b/>
      <sz val="10"/>
      <name val="Calibri"/>
      <family val="2"/>
      <scheme val="minor"/>
    </font>
    <font>
      <b/>
      <sz val="12"/>
      <color rgb="FF00B050"/>
      <name val="Calibri"/>
      <family val="2"/>
      <scheme val="minor"/>
    </font>
    <font>
      <b/>
      <sz val="12"/>
      <color rgb="FFFF0000"/>
      <name val="Calibri"/>
      <family val="2"/>
      <scheme val="minor"/>
    </font>
    <font>
      <b/>
      <sz val="12"/>
      <color indexed="10"/>
      <name val="Calibri"/>
      <family val="2"/>
      <scheme val="minor"/>
    </font>
    <font>
      <b/>
      <sz val="12"/>
      <color rgb="FF0000FF"/>
      <name val="Calibri"/>
      <family val="2"/>
      <scheme val="minor"/>
    </font>
    <font>
      <b/>
      <u/>
      <sz val="12"/>
      <name val="Calibri"/>
      <family val="2"/>
      <scheme val="minor"/>
    </font>
    <font>
      <i/>
      <sz val="12"/>
      <name val="Calibri"/>
      <family val="2"/>
      <scheme val="minor"/>
    </font>
    <font>
      <b/>
      <sz val="12"/>
      <color theme="0"/>
      <name val="Calibri"/>
      <family val="2"/>
      <scheme val="minor"/>
    </font>
    <font>
      <sz val="12"/>
      <color rgb="FF0000FF"/>
      <name val="Calibri"/>
      <family val="2"/>
      <scheme val="minor"/>
    </font>
    <font>
      <sz val="12"/>
      <color theme="1"/>
      <name val="Calibri"/>
      <family val="2"/>
      <scheme val="minor"/>
    </font>
    <font>
      <b/>
      <sz val="12"/>
      <color theme="1"/>
      <name val="Calibri"/>
      <family val="2"/>
      <scheme val="minor"/>
    </font>
    <font>
      <sz val="10"/>
      <color theme="1"/>
      <name val="Calibri"/>
      <family val="2"/>
      <scheme val="minor"/>
    </font>
    <font>
      <b/>
      <sz val="10"/>
      <color rgb="FF0000FF"/>
      <name val="Calibri"/>
      <family val="2"/>
      <scheme val="minor"/>
    </font>
    <font>
      <sz val="10"/>
      <color rgb="FF0000FF"/>
      <name val="Calibri"/>
      <family val="2"/>
      <scheme val="minor"/>
    </font>
    <font>
      <b/>
      <i/>
      <sz val="10"/>
      <name val="Calibri"/>
      <family val="2"/>
      <scheme val="minor"/>
    </font>
    <font>
      <b/>
      <sz val="10"/>
      <color rgb="FFFF0000"/>
      <name val="Calibri"/>
      <family val="2"/>
      <scheme val="minor"/>
    </font>
    <font>
      <b/>
      <sz val="8"/>
      <color rgb="FFFFFF00"/>
      <name val="Arial"/>
      <family val="2"/>
    </font>
    <font>
      <b/>
      <u/>
      <sz val="10"/>
      <name val="Calibri"/>
      <family val="2"/>
      <scheme val="minor"/>
    </font>
    <font>
      <sz val="10"/>
      <color rgb="FFFFFF00"/>
      <name val="Calibri"/>
      <family val="2"/>
      <scheme val="minor"/>
    </font>
    <font>
      <b/>
      <sz val="11"/>
      <name val="Calibri"/>
      <family val="2"/>
      <scheme val="minor"/>
    </font>
    <font>
      <b/>
      <sz val="11"/>
      <color indexed="12"/>
      <name val="Calibri"/>
      <family val="2"/>
      <scheme val="minor"/>
    </font>
    <font>
      <i/>
      <sz val="10"/>
      <name val="Calibri"/>
      <family val="2"/>
      <scheme val="minor"/>
    </font>
    <font>
      <sz val="8"/>
      <color rgb="FFFF0000"/>
      <name val="Calibri"/>
      <family val="2"/>
      <scheme val="minor"/>
    </font>
    <font>
      <sz val="8"/>
      <color indexed="10"/>
      <name val="Calibri"/>
      <family val="2"/>
      <scheme val="minor"/>
    </font>
    <font>
      <b/>
      <sz val="8"/>
      <name val="Calibri"/>
      <family val="2"/>
      <scheme val="minor"/>
    </font>
    <font>
      <b/>
      <sz val="9"/>
      <name val="Calibri"/>
      <family val="2"/>
      <scheme val="minor"/>
    </font>
    <font>
      <sz val="12"/>
      <color rgb="FFFF0000"/>
      <name val="Calibri"/>
      <family val="2"/>
      <scheme val="minor"/>
    </font>
    <font>
      <sz val="12"/>
      <color indexed="8"/>
      <name val="Calibri"/>
      <family val="2"/>
      <scheme val="minor"/>
    </font>
    <font>
      <b/>
      <sz val="12"/>
      <color indexed="8"/>
      <name val="Calibri"/>
      <family val="2"/>
      <scheme val="minor"/>
    </font>
    <font>
      <b/>
      <sz val="8"/>
      <color rgb="FFFF0000"/>
      <name val="Calibri"/>
      <family val="2"/>
      <scheme val="minor"/>
    </font>
    <font>
      <b/>
      <sz val="10"/>
      <name val="Times New Roman"/>
      <family val="1"/>
    </font>
    <font>
      <b/>
      <u/>
      <sz val="10"/>
      <name val="Times New Roman"/>
      <family val="1"/>
    </font>
    <font>
      <b/>
      <i/>
      <sz val="10"/>
      <name val="Times New Roman"/>
      <family val="1"/>
    </font>
    <font>
      <b/>
      <sz val="11"/>
      <color theme="1"/>
      <name val="Calibri"/>
      <family val="2"/>
      <scheme val="minor"/>
    </font>
    <font>
      <sz val="10"/>
      <color theme="1"/>
      <name val="Arial"/>
      <family val="2"/>
    </font>
    <font>
      <b/>
      <sz val="10"/>
      <name val="Arial"/>
      <family val="2"/>
    </font>
    <font>
      <b/>
      <sz val="10"/>
      <color theme="1"/>
      <name val="Arial"/>
      <family val="2"/>
    </font>
    <font>
      <sz val="10"/>
      <color rgb="FFFF0000"/>
      <name val="Arial"/>
      <family val="2"/>
    </font>
    <font>
      <b/>
      <sz val="11"/>
      <color rgb="FFFF0000"/>
      <name val="Calibri"/>
      <family val="2"/>
      <scheme val="minor"/>
    </font>
  </fonts>
  <fills count="10">
    <fill>
      <patternFill patternType="none"/>
    </fill>
    <fill>
      <patternFill patternType="gray125"/>
    </fill>
    <fill>
      <patternFill patternType="solid">
        <fgColor rgb="FFFFFF99"/>
        <bgColor indexed="64"/>
      </patternFill>
    </fill>
    <fill>
      <patternFill patternType="solid">
        <fgColor rgb="FFFFFF00"/>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rgb="FFFFFF66"/>
        <bgColor indexed="64"/>
      </patternFill>
    </fill>
    <fill>
      <patternFill patternType="solid">
        <fgColor theme="0" tint="-4.9989318521683403E-2"/>
        <bgColor indexed="64"/>
      </patternFill>
    </fill>
    <fill>
      <patternFill patternType="solid">
        <fgColor theme="6" tint="0.39997558519241921"/>
        <bgColor indexed="64"/>
      </patternFill>
    </fill>
    <fill>
      <patternFill patternType="solid">
        <fgColor theme="1"/>
        <bgColor indexed="64"/>
      </patternFill>
    </fill>
  </fills>
  <borders count="24">
    <border>
      <left/>
      <right/>
      <top/>
      <bottom/>
      <diagonal/>
    </border>
    <border>
      <left/>
      <right/>
      <top/>
      <bottom style="thin">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top/>
      <bottom/>
      <diagonal/>
    </border>
    <border>
      <left/>
      <right/>
      <top/>
      <bottom style="double">
        <color indexed="64"/>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diagonal/>
    </border>
    <border>
      <left/>
      <right style="medium">
        <color indexed="64"/>
      </right>
      <top/>
      <bottom style="medium">
        <color indexed="64"/>
      </bottom>
      <diagonal/>
    </border>
    <border>
      <left/>
      <right/>
      <top style="medium">
        <color indexed="64"/>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diagonal/>
    </border>
  </borders>
  <cellStyleXfs count="14">
    <xf numFmtId="0" fontId="0" fillId="0" borderId="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165" fontId="3" fillId="0" borderId="0" applyFont="0" applyFill="0" applyBorder="0" applyAlignment="0" applyProtection="0"/>
    <xf numFmtId="44" fontId="12"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12" fillId="0" borderId="0"/>
    <xf numFmtId="9" fontId="3" fillId="0" borderId="0" applyFont="0" applyFill="0" applyBorder="0" applyAlignment="0" applyProtection="0"/>
    <xf numFmtId="9" fontId="12" fillId="0" borderId="0" applyFont="0" applyFill="0" applyBorder="0" applyAlignment="0" applyProtection="0"/>
    <xf numFmtId="0" fontId="2" fillId="0" borderId="0"/>
    <xf numFmtId="43" fontId="2" fillId="0" borderId="0" applyFont="0" applyFill="0" applyBorder="0" applyAlignment="0" applyProtection="0"/>
  </cellStyleXfs>
  <cellXfs count="676">
    <xf numFmtId="0" fontId="0" fillId="0" borderId="0" xfId="0"/>
    <xf numFmtId="0" fontId="13" fillId="0" borderId="0" xfId="0" quotePrefix="1" applyFont="1" applyAlignment="1">
      <alignment horizontal="left"/>
    </xf>
    <xf numFmtId="0" fontId="13" fillId="0" borderId="0" xfId="0" applyFont="1"/>
    <xf numFmtId="0" fontId="14" fillId="0" borderId="0" xfId="0" applyFont="1"/>
    <xf numFmtId="4" fontId="15" fillId="0" borderId="0" xfId="0" applyNumberFormat="1" applyFont="1"/>
    <xf numFmtId="4" fontId="15" fillId="2" borderId="0" xfId="0" applyNumberFormat="1" applyFont="1" applyFill="1"/>
    <xf numFmtId="4" fontId="15" fillId="2" borderId="0" xfId="0" applyNumberFormat="1" applyFont="1" applyFill="1" applyAlignment="1">
      <alignment horizontal="left"/>
    </xf>
    <xf numFmtId="0" fontId="16" fillId="0" borderId="0" xfId="0" applyFont="1" applyAlignment="1">
      <alignment horizontal="center"/>
    </xf>
    <xf numFmtId="7" fontId="17" fillId="0" borderId="0" xfId="0" applyNumberFormat="1" applyFont="1" applyAlignment="1">
      <alignment horizontal="center"/>
    </xf>
    <xf numFmtId="168" fontId="14" fillId="0" borderId="0" xfId="0" applyNumberFormat="1" applyFont="1" applyAlignment="1">
      <alignment wrapText="1"/>
    </xf>
    <xf numFmtId="4" fontId="14" fillId="0" borderId="0" xfId="0" applyNumberFormat="1" applyFont="1" applyAlignment="1">
      <alignment horizontal="center" wrapText="1"/>
    </xf>
    <xf numFmtId="164" fontId="14" fillId="0" borderId="0" xfId="6" applyFont="1" applyBorder="1" applyAlignment="1">
      <alignment horizontal="center" wrapText="1"/>
    </xf>
    <xf numFmtId="0" fontId="16" fillId="2" borderId="0" xfId="0" applyFont="1" applyFill="1" applyAlignment="1">
      <alignment horizontal="center"/>
    </xf>
    <xf numFmtId="7" fontId="17" fillId="2" borderId="0" xfId="0" applyNumberFormat="1" applyFont="1" applyFill="1" applyAlignment="1">
      <alignment horizontal="center"/>
    </xf>
    <xf numFmtId="168" fontId="14" fillId="2" borderId="0" xfId="0" applyNumberFormat="1" applyFont="1" applyFill="1" applyAlignment="1">
      <alignment wrapText="1"/>
    </xf>
    <xf numFmtId="4" fontId="14" fillId="2" borderId="0" xfId="0" applyNumberFormat="1" applyFont="1" applyFill="1" applyAlignment="1">
      <alignment horizontal="center" wrapText="1"/>
    </xf>
    <xf numFmtId="164" fontId="14" fillId="2" borderId="0" xfId="6" applyFont="1" applyFill="1" applyBorder="1" applyAlignment="1">
      <alignment horizontal="center" wrapText="1"/>
    </xf>
    <xf numFmtId="4" fontId="14" fillId="0" borderId="1" xfId="0" applyNumberFormat="1" applyFont="1" applyBorder="1" applyAlignment="1">
      <alignment horizontal="center" wrapText="1"/>
    </xf>
    <xf numFmtId="4" fontId="14" fillId="2" borderId="1" xfId="0" applyNumberFormat="1" applyFont="1" applyFill="1" applyBorder="1" applyAlignment="1">
      <alignment horizontal="center" wrapText="1"/>
    </xf>
    <xf numFmtId="164" fontId="18" fillId="2" borderId="1" xfId="6" applyFont="1" applyFill="1" applyBorder="1" applyAlignment="1">
      <alignment horizontal="center" wrapText="1"/>
    </xf>
    <xf numFmtId="4" fontId="14" fillId="0" borderId="1" xfId="0" quotePrefix="1" applyNumberFormat="1" applyFont="1" applyBorder="1" applyAlignment="1">
      <alignment horizontal="center"/>
    </xf>
    <xf numFmtId="164" fontId="14" fillId="0" borderId="1" xfId="6" quotePrefix="1" applyFont="1" applyBorder="1" applyAlignment="1">
      <alignment horizontal="center"/>
    </xf>
    <xf numFmtId="4" fontId="14" fillId="2" borderId="1" xfId="0" quotePrefix="1" applyNumberFormat="1" applyFont="1" applyFill="1" applyBorder="1" applyAlignment="1">
      <alignment horizontal="center"/>
    </xf>
    <xf numFmtId="164" fontId="14" fillId="2" borderId="1" xfId="6" quotePrefix="1" applyFont="1" applyFill="1" applyBorder="1" applyAlignment="1">
      <alignment horizontal="center"/>
    </xf>
    <xf numFmtId="170" fontId="14" fillId="0" borderId="0" xfId="6" applyNumberFormat="1" applyFont="1" applyBorder="1" applyAlignment="1">
      <alignment horizontal="center"/>
    </xf>
    <xf numFmtId="170" fontId="14" fillId="2" borderId="0" xfId="6" applyNumberFormat="1" applyFont="1" applyFill="1" applyBorder="1" applyAlignment="1">
      <alignment horizontal="center"/>
    </xf>
    <xf numFmtId="0" fontId="14" fillId="0" borderId="0" xfId="0" applyFont="1" applyAlignment="1">
      <alignment horizontal="right"/>
    </xf>
    <xf numFmtId="2" fontId="14" fillId="0" borderId="0" xfId="0" applyNumberFormat="1" applyFont="1" applyAlignment="1">
      <alignment horizontal="center"/>
    </xf>
    <xf numFmtId="0" fontId="14" fillId="2" borderId="0" xfId="0" applyFont="1" applyFill="1" applyAlignment="1">
      <alignment horizontal="right"/>
    </xf>
    <xf numFmtId="2" fontId="19" fillId="2" borderId="0" xfId="0" applyNumberFormat="1" applyFont="1" applyFill="1" applyAlignment="1">
      <alignment horizontal="center"/>
    </xf>
    <xf numFmtId="2" fontId="14" fillId="2" borderId="0" xfId="0" applyNumberFormat="1" applyFont="1" applyFill="1" applyAlignment="1">
      <alignment horizontal="center"/>
    </xf>
    <xf numFmtId="164" fontId="18" fillId="0" borderId="1" xfId="6" applyFont="1" applyBorder="1" applyAlignment="1">
      <alignment horizontal="center" wrapText="1"/>
    </xf>
    <xf numFmtId="169" fontId="14" fillId="0" borderId="0" xfId="0" applyNumberFormat="1" applyFont="1" applyAlignment="1">
      <alignment horizontal="right"/>
    </xf>
    <xf numFmtId="169" fontId="14" fillId="2" borderId="0" xfId="0" applyNumberFormat="1" applyFont="1" applyFill="1" applyAlignment="1">
      <alignment horizontal="right"/>
    </xf>
    <xf numFmtId="169" fontId="19" fillId="0" borderId="0" xfId="0" applyNumberFormat="1" applyFont="1" applyAlignment="1">
      <alignment horizontal="right"/>
    </xf>
    <xf numFmtId="169" fontId="19" fillId="2" borderId="0" xfId="0" applyNumberFormat="1" applyFont="1" applyFill="1" applyAlignment="1">
      <alignment horizontal="right"/>
    </xf>
    <xf numFmtId="0" fontId="14" fillId="0" borderId="1" xfId="0" applyFont="1" applyBorder="1"/>
    <xf numFmtId="0" fontId="14" fillId="0" borderId="0" xfId="0" applyFont="1" applyAlignment="1">
      <alignment horizontal="center"/>
    </xf>
    <xf numFmtId="0" fontId="14" fillId="2" borderId="0" xfId="0" applyFont="1" applyFill="1" applyAlignment="1">
      <alignment horizontal="center"/>
    </xf>
    <xf numFmtId="0" fontId="14" fillId="0" borderId="0" xfId="0" quotePrefix="1" applyFont="1" applyAlignment="1">
      <alignment horizontal="center"/>
    </xf>
    <xf numFmtId="0" fontId="14" fillId="2" borderId="0" xfId="0" quotePrefix="1" applyFont="1" applyFill="1" applyAlignment="1">
      <alignment horizontal="center"/>
    </xf>
    <xf numFmtId="4" fontId="19" fillId="2" borderId="1" xfId="0" applyNumberFormat="1" applyFont="1" applyFill="1" applyBorder="1" applyAlignment="1">
      <alignment horizontal="center"/>
    </xf>
    <xf numFmtId="0" fontId="16" fillId="0" borderId="0" xfId="0" quotePrefix="1" applyFont="1" applyAlignment="1">
      <alignment horizontal="center"/>
    </xf>
    <xf numFmtId="4" fontId="14" fillId="0" borderId="0" xfId="0" quotePrefix="1" applyNumberFormat="1" applyFont="1" applyAlignment="1">
      <alignment horizontal="center"/>
    </xf>
    <xf numFmtId="4" fontId="14" fillId="2" borderId="0" xfId="0" quotePrefix="1" applyNumberFormat="1" applyFont="1" applyFill="1" applyAlignment="1">
      <alignment horizontal="center"/>
    </xf>
    <xf numFmtId="0" fontId="14" fillId="2" borderId="0" xfId="0" applyFont="1" applyFill="1" applyAlignment="1">
      <alignment horizontal="left"/>
    </xf>
    <xf numFmtId="169" fontId="14" fillId="0" borderId="0" xfId="0" applyNumberFormat="1" applyFont="1" applyAlignment="1">
      <alignment horizontal="center"/>
    </xf>
    <xf numFmtId="169" fontId="14" fillId="2" borderId="0" xfId="0" applyNumberFormat="1" applyFont="1" applyFill="1" applyAlignment="1">
      <alignment horizontal="center"/>
    </xf>
    <xf numFmtId="4" fontId="14" fillId="2" borderId="0" xfId="0" applyNumberFormat="1" applyFont="1" applyFill="1" applyAlignment="1">
      <alignment horizontal="center"/>
    </xf>
    <xf numFmtId="16" fontId="14" fillId="0" borderId="0" xfId="0" quotePrefix="1" applyNumberFormat="1" applyFont="1" applyAlignment="1">
      <alignment horizontal="right"/>
    </xf>
    <xf numFmtId="16" fontId="14" fillId="2" borderId="0" xfId="0" quotePrefix="1" applyNumberFormat="1" applyFont="1" applyFill="1" applyAlignment="1">
      <alignment horizontal="right"/>
    </xf>
    <xf numFmtId="0" fontId="14" fillId="2" borderId="0" xfId="0" applyFont="1" applyFill="1"/>
    <xf numFmtId="0" fontId="14" fillId="0" borderId="0" xfId="0" quotePrefix="1" applyFont="1" applyAlignment="1">
      <alignment horizontal="right"/>
    </xf>
    <xf numFmtId="0" fontId="14" fillId="2" borderId="0" xfId="0" quotePrefix="1" applyFont="1" applyFill="1" applyAlignment="1">
      <alignment horizontal="right"/>
    </xf>
    <xf numFmtId="169" fontId="14" fillId="2" borderId="2" xfId="0" applyNumberFormat="1" applyFont="1" applyFill="1" applyBorder="1" applyAlignment="1">
      <alignment horizontal="center"/>
    </xf>
    <xf numFmtId="165" fontId="14" fillId="0" borderId="0" xfId="4" applyFont="1" applyBorder="1" applyAlignment="1">
      <alignment horizontal="right"/>
    </xf>
    <xf numFmtId="165" fontId="14" fillId="2" borderId="0" xfId="4" applyFont="1" applyFill="1" applyBorder="1" applyAlignment="1">
      <alignment horizontal="right"/>
    </xf>
    <xf numFmtId="169" fontId="14" fillId="2" borderId="3" xfId="0" applyNumberFormat="1" applyFont="1" applyFill="1" applyBorder="1" applyAlignment="1">
      <alignment horizontal="center"/>
    </xf>
    <xf numFmtId="38" fontId="14" fillId="2" borderId="0" xfId="0" quotePrefix="1" applyNumberFormat="1" applyFont="1" applyFill="1"/>
    <xf numFmtId="0" fontId="14" fillId="0" borderId="1" xfId="0" applyFont="1" applyBorder="1" applyAlignment="1">
      <alignment horizontal="center"/>
    </xf>
    <xf numFmtId="0" fontId="14" fillId="2" borderId="1" xfId="0" applyFont="1" applyFill="1" applyBorder="1" applyAlignment="1">
      <alignment horizontal="center"/>
    </xf>
    <xf numFmtId="7" fontId="14" fillId="3" borderId="0" xfId="0" applyNumberFormat="1" applyFont="1" applyFill="1"/>
    <xf numFmtId="7" fontId="14" fillId="2" borderId="0" xfId="0" applyNumberFormat="1" applyFont="1" applyFill="1"/>
    <xf numFmtId="7" fontId="14" fillId="3" borderId="1" xfId="0" applyNumberFormat="1" applyFont="1" applyFill="1" applyBorder="1"/>
    <xf numFmtId="7" fontId="14" fillId="2" borderId="1" xfId="0" applyNumberFormat="1" applyFont="1" applyFill="1" applyBorder="1"/>
    <xf numFmtId="0" fontId="20" fillId="0" borderId="0" xfId="0" applyFont="1"/>
    <xf numFmtId="0" fontId="20" fillId="2" borderId="0" xfId="0" applyFont="1" applyFill="1"/>
    <xf numFmtId="170" fontId="14" fillId="2" borderId="3" xfId="0" applyNumberFormat="1" applyFont="1" applyFill="1" applyBorder="1"/>
    <xf numFmtId="3" fontId="14" fillId="0" borderId="0" xfId="0" quotePrefix="1" applyNumberFormat="1" applyFont="1" applyAlignment="1">
      <alignment horizontal="center"/>
    </xf>
    <xf numFmtId="0" fontId="14" fillId="0" borderId="0" xfId="0" applyFont="1" applyAlignment="1">
      <alignment horizontal="left"/>
    </xf>
    <xf numFmtId="0" fontId="20" fillId="4" borderId="4" xfId="0" applyFont="1" applyFill="1" applyBorder="1" applyAlignment="1">
      <alignment horizontal="center"/>
    </xf>
    <xf numFmtId="0" fontId="18" fillId="2" borderId="0" xfId="0" applyFont="1" applyFill="1"/>
    <xf numFmtId="0" fontId="18" fillId="2" borderId="0" xfId="0" quotePrefix="1" applyFont="1" applyFill="1" applyAlignment="1">
      <alignment horizontal="left"/>
    </xf>
    <xf numFmtId="0" fontId="18" fillId="0" borderId="0" xfId="0" applyFont="1" applyAlignment="1">
      <alignment horizontal="left"/>
    </xf>
    <xf numFmtId="171" fontId="14" fillId="0" borderId="0" xfId="0" applyNumberFormat="1" applyFont="1" applyAlignment="1">
      <alignment horizontal="left"/>
    </xf>
    <xf numFmtId="169" fontId="16" fillId="0" borderId="0" xfId="0" applyNumberFormat="1" applyFont="1"/>
    <xf numFmtId="0" fontId="14" fillId="0" borderId="0" xfId="0" applyFont="1" applyAlignment="1">
      <alignment vertical="center"/>
    </xf>
    <xf numFmtId="170" fontId="14" fillId="0" borderId="0" xfId="0" applyNumberFormat="1" applyFont="1" applyAlignment="1">
      <alignment vertical="center"/>
    </xf>
    <xf numFmtId="171" fontId="14" fillId="0" borderId="0" xfId="0" applyNumberFormat="1" applyFont="1" applyAlignment="1">
      <alignment horizontal="left" vertical="center"/>
    </xf>
    <xf numFmtId="0" fontId="16" fillId="0" borderId="0" xfId="0" applyFont="1" applyAlignment="1">
      <alignment vertical="center"/>
    </xf>
    <xf numFmtId="172" fontId="14" fillId="0" borderId="0" xfId="0" applyNumberFormat="1" applyFont="1"/>
    <xf numFmtId="0" fontId="14" fillId="0" borderId="0" xfId="0" quotePrefix="1" applyFont="1" applyAlignment="1">
      <alignment horizontal="left"/>
    </xf>
    <xf numFmtId="0" fontId="21" fillId="0" borderId="3" xfId="0" applyFont="1" applyBorder="1"/>
    <xf numFmtId="4" fontId="14" fillId="2" borderId="0" xfId="0" applyNumberFormat="1" applyFont="1" applyFill="1" applyAlignment="1">
      <alignment horizontal="left"/>
    </xf>
    <xf numFmtId="0" fontId="16" fillId="0" borderId="0" xfId="0" quotePrefix="1" applyFont="1"/>
    <xf numFmtId="0" fontId="16" fillId="0" borderId="0" xfId="0" quotePrefix="1" applyFont="1" applyAlignment="1">
      <alignment horizontal="right"/>
    </xf>
    <xf numFmtId="49" fontId="16" fillId="0" borderId="0" xfId="0" applyNumberFormat="1" applyFont="1"/>
    <xf numFmtId="49" fontId="16" fillId="0" borderId="0" xfId="0" applyNumberFormat="1" applyFont="1" applyProtection="1">
      <protection locked="0"/>
    </xf>
    <xf numFmtId="7" fontId="20" fillId="0" borderId="0" xfId="0" quotePrefix="1" applyNumberFormat="1" applyFont="1" applyAlignment="1">
      <alignment horizontal="center"/>
    </xf>
    <xf numFmtId="7" fontId="20" fillId="0" borderId="0" xfId="0" applyNumberFormat="1" applyFont="1" applyAlignment="1">
      <alignment horizontal="center"/>
    </xf>
    <xf numFmtId="0" fontId="20" fillId="0" borderId="1" xfId="0" applyFont="1" applyBorder="1" applyAlignment="1">
      <alignment horizontal="center"/>
    </xf>
    <xf numFmtId="0" fontId="21" fillId="0" borderId="1" xfId="0" quotePrefix="1" applyFont="1" applyBorder="1"/>
    <xf numFmtId="0" fontId="14" fillId="0" borderId="1" xfId="0" quotePrefix="1" applyFont="1" applyBorder="1" applyAlignment="1">
      <alignment horizontal="center"/>
    </xf>
    <xf numFmtId="172" fontId="14" fillId="0" borderId="1" xfId="0" applyNumberFormat="1" applyFont="1" applyBorder="1"/>
    <xf numFmtId="43" fontId="14" fillId="0" borderId="1" xfId="1" applyFont="1" applyBorder="1" applyAlignment="1"/>
    <xf numFmtId="167" fontId="14" fillId="2" borderId="1" xfId="0" applyNumberFormat="1" applyFont="1" applyFill="1" applyBorder="1"/>
    <xf numFmtId="170" fontId="14" fillId="2" borderId="1" xfId="6" applyNumberFormat="1" applyFont="1" applyFill="1" applyBorder="1" applyAlignment="1"/>
    <xf numFmtId="43" fontId="14" fillId="0" borderId="5" xfId="1" applyFont="1" applyBorder="1" applyAlignment="1"/>
    <xf numFmtId="170" fontId="14" fillId="2" borderId="5" xfId="6" applyNumberFormat="1" applyFont="1" applyFill="1" applyBorder="1" applyAlignment="1"/>
    <xf numFmtId="172" fontId="14" fillId="0" borderId="5" xfId="0" applyNumberFormat="1" applyFont="1" applyBorder="1"/>
    <xf numFmtId="169" fontId="14" fillId="2" borderId="5" xfId="0" applyNumberFormat="1" applyFont="1" applyFill="1" applyBorder="1"/>
    <xf numFmtId="43" fontId="14" fillId="0" borderId="0" xfId="1" applyFont="1" applyBorder="1" applyAlignment="1"/>
    <xf numFmtId="169" fontId="14" fillId="2" borderId="0" xfId="0" applyNumberFormat="1" applyFont="1" applyFill="1"/>
    <xf numFmtId="170" fontId="14" fillId="2" borderId="0" xfId="6" applyNumberFormat="1" applyFont="1" applyFill="1" applyBorder="1" applyAlignment="1"/>
    <xf numFmtId="169" fontId="14" fillId="0" borderId="0" xfId="0" applyNumberFormat="1" applyFont="1"/>
    <xf numFmtId="2" fontId="20" fillId="0" borderId="1" xfId="0" applyNumberFormat="1" applyFont="1" applyBorder="1"/>
    <xf numFmtId="2" fontId="14" fillId="0" borderId="0" xfId="0" applyNumberFormat="1" applyFont="1"/>
    <xf numFmtId="2" fontId="14" fillId="0" borderId="0" xfId="0" quotePrefix="1" applyNumberFormat="1" applyFont="1" applyAlignment="1">
      <alignment horizontal="right"/>
    </xf>
    <xf numFmtId="170" fontId="14" fillId="2" borderId="3" xfId="6" applyNumberFormat="1" applyFont="1" applyFill="1" applyBorder="1" applyAlignment="1"/>
    <xf numFmtId="2" fontId="14" fillId="0" borderId="0" xfId="0" quotePrefix="1" applyNumberFormat="1" applyFont="1" applyAlignment="1">
      <alignment horizontal="center"/>
    </xf>
    <xf numFmtId="43" fontId="22" fillId="4" borderId="1" xfId="1" applyFont="1" applyFill="1" applyBorder="1" applyAlignment="1"/>
    <xf numFmtId="43" fontId="14" fillId="0" borderId="6" xfId="1" applyFont="1" applyBorder="1" applyAlignment="1"/>
    <xf numFmtId="43" fontId="19" fillId="0" borderId="1" xfId="1" applyFont="1" applyBorder="1" applyAlignment="1">
      <alignment horizontal="center"/>
    </xf>
    <xf numFmtId="4" fontId="23" fillId="0" borderId="0" xfId="0" applyNumberFormat="1" applyFont="1"/>
    <xf numFmtId="166" fontId="19" fillId="0" borderId="0" xfId="0" applyNumberFormat="1" applyFont="1" applyAlignment="1">
      <alignment horizontal="center"/>
    </xf>
    <xf numFmtId="166" fontId="19" fillId="0" borderId="0" xfId="0" applyNumberFormat="1" applyFont="1"/>
    <xf numFmtId="43" fontId="14" fillId="0" borderId="0" xfId="1" applyFont="1" applyFill="1" applyBorder="1" applyAlignment="1"/>
    <xf numFmtId="41" fontId="14" fillId="0" borderId="0" xfId="1" applyNumberFormat="1" applyFont="1" applyFill="1" applyBorder="1" applyAlignment="1"/>
    <xf numFmtId="0" fontId="23" fillId="0" borderId="0" xfId="0" applyFont="1"/>
    <xf numFmtId="0" fontId="23" fillId="0" borderId="0" xfId="0" quotePrefix="1" applyFont="1" applyAlignment="1">
      <alignment horizontal="left"/>
    </xf>
    <xf numFmtId="4" fontId="14" fillId="0" borderId="1" xfId="0" applyNumberFormat="1" applyFont="1" applyBorder="1" applyAlignment="1">
      <alignment horizontal="center"/>
    </xf>
    <xf numFmtId="4" fontId="14" fillId="0" borderId="0" xfId="0" applyNumberFormat="1" applyFont="1"/>
    <xf numFmtId="165" fontId="14" fillId="0" borderId="0" xfId="4" quotePrefix="1" applyFont="1" applyBorder="1" applyAlignment="1">
      <alignment horizontal="right"/>
    </xf>
    <xf numFmtId="165" fontId="14" fillId="0" borderId="0" xfId="4" applyFont="1" applyBorder="1" applyAlignment="1"/>
    <xf numFmtId="165" fontId="14" fillId="0" borderId="7" xfId="4" quotePrefix="1" applyFont="1" applyBorder="1" applyAlignment="1">
      <alignment horizontal="right"/>
    </xf>
    <xf numFmtId="4" fontId="14" fillId="2" borderId="0" xfId="0" quotePrefix="1" applyNumberFormat="1" applyFont="1" applyFill="1" applyAlignment="1">
      <alignment horizontal="left"/>
    </xf>
    <xf numFmtId="4" fontId="14" fillId="0" borderId="0" xfId="0" applyNumberFormat="1" applyFont="1" applyAlignment="1">
      <alignment horizontal="center"/>
    </xf>
    <xf numFmtId="0" fontId="20" fillId="0" borderId="0" xfId="0" applyFont="1" applyAlignment="1">
      <alignment horizontal="right"/>
    </xf>
    <xf numFmtId="4" fontId="14" fillId="0" borderId="0" xfId="0" applyNumberFormat="1" applyFont="1" applyAlignment="1">
      <alignment horizontal="left"/>
    </xf>
    <xf numFmtId="38" fontId="14" fillId="0" borderId="0" xfId="0" quotePrefix="1" applyNumberFormat="1" applyFont="1"/>
    <xf numFmtId="0" fontId="20" fillId="2" borderId="0" xfId="0" applyFont="1" applyFill="1" applyAlignment="1">
      <alignment horizontal="right"/>
    </xf>
    <xf numFmtId="0" fontId="20" fillId="2" borderId="0" xfId="0" applyFont="1" applyFill="1" applyAlignment="1">
      <alignment horizontal="center"/>
    </xf>
    <xf numFmtId="170" fontId="14" fillId="2" borderId="8" xfId="0" applyNumberFormat="1" applyFont="1" applyFill="1" applyBorder="1"/>
    <xf numFmtId="43" fontId="14" fillId="0" borderId="8" xfId="1" applyFont="1" applyBorder="1" applyAlignment="1"/>
    <xf numFmtId="170" fontId="14" fillId="0" borderId="0" xfId="0" applyNumberFormat="1" applyFont="1"/>
    <xf numFmtId="0" fontId="16" fillId="0" borderId="0" xfId="0" applyFont="1"/>
    <xf numFmtId="43" fontId="14" fillId="4" borderId="1" xfId="1" applyFont="1" applyFill="1" applyBorder="1" applyAlignment="1"/>
    <xf numFmtId="7" fontId="14" fillId="0" borderId="0" xfId="0" applyNumberFormat="1" applyFont="1" applyAlignment="1">
      <alignment horizontal="center"/>
    </xf>
    <xf numFmtId="170" fontId="14" fillId="2" borderId="0" xfId="0" applyNumberFormat="1" applyFont="1" applyFill="1"/>
    <xf numFmtId="0" fontId="25" fillId="0" borderId="0" xfId="0" applyFont="1"/>
    <xf numFmtId="0" fontId="22" fillId="0" borderId="0" xfId="0" applyFont="1" applyAlignment="1">
      <alignment horizontal="center"/>
    </xf>
    <xf numFmtId="43" fontId="22" fillId="4" borderId="6" xfId="1" applyFont="1" applyFill="1" applyBorder="1" applyAlignment="1"/>
    <xf numFmtId="43" fontId="14" fillId="4" borderId="6" xfId="1" applyFont="1" applyFill="1" applyBorder="1" applyAlignment="1"/>
    <xf numFmtId="43" fontId="22" fillId="4" borderId="0" xfId="1" applyFont="1" applyFill="1" applyBorder="1" applyAlignment="1"/>
    <xf numFmtId="43" fontId="14" fillId="4" borderId="0" xfId="1" applyFont="1" applyFill="1" applyBorder="1" applyAlignment="1"/>
    <xf numFmtId="172" fontId="14" fillId="0" borderId="6" xfId="0" applyNumberFormat="1" applyFont="1" applyBorder="1"/>
    <xf numFmtId="0" fontId="14" fillId="0" borderId="0" xfId="0" applyFont="1" applyAlignment="1">
      <alignment horizontal="left" indent="1"/>
    </xf>
    <xf numFmtId="43" fontId="26" fillId="4" borderId="6" xfId="1" applyFont="1" applyFill="1" applyBorder="1" applyAlignment="1"/>
    <xf numFmtId="4" fontId="20" fillId="0" borderId="6" xfId="0" applyNumberFormat="1" applyFont="1" applyBorder="1"/>
    <xf numFmtId="43" fontId="26" fillId="4" borderId="1" xfId="1" applyFont="1" applyFill="1" applyBorder="1" applyAlignment="1"/>
    <xf numFmtId="43" fontId="26" fillId="4" borderId="0" xfId="1" applyFont="1" applyFill="1" applyBorder="1" applyAlignment="1"/>
    <xf numFmtId="4" fontId="20" fillId="0" borderId="0" xfId="0" applyNumberFormat="1" applyFont="1"/>
    <xf numFmtId="173" fontId="14" fillId="0" borderId="9" xfId="1" applyNumberFormat="1" applyFont="1" applyBorder="1" applyAlignment="1"/>
    <xf numFmtId="41" fontId="14" fillId="0" borderId="0" xfId="1" applyNumberFormat="1" applyFont="1" applyBorder="1" applyAlignment="1"/>
    <xf numFmtId="43" fontId="14" fillId="0" borderId="1" xfId="1" applyFont="1" applyFill="1" applyBorder="1" applyAlignment="1"/>
    <xf numFmtId="43" fontId="14" fillId="5" borderId="8" xfId="1" applyFont="1" applyFill="1" applyBorder="1" applyAlignment="1"/>
    <xf numFmtId="0" fontId="14" fillId="0" borderId="0" xfId="0" applyFont="1" applyAlignment="1">
      <alignment horizontal="left" indent="2"/>
    </xf>
    <xf numFmtId="0" fontId="14" fillId="0" borderId="0" xfId="7" applyFont="1"/>
    <xf numFmtId="0" fontId="27" fillId="0" borderId="0" xfId="9" applyFont="1"/>
    <xf numFmtId="0" fontId="22" fillId="0" borderId="10" xfId="9" applyFont="1" applyBorder="1" applyAlignment="1">
      <alignment horizontal="right"/>
    </xf>
    <xf numFmtId="0" fontId="20" fillId="0" borderId="11" xfId="9" applyFont="1" applyBorder="1"/>
    <xf numFmtId="0" fontId="14" fillId="0" borderId="0" xfId="9" applyFont="1"/>
    <xf numFmtId="0" fontId="28" fillId="0" borderId="0" xfId="9" applyFont="1"/>
    <xf numFmtId="0" fontId="20" fillId="0" borderId="1" xfId="9" applyFont="1" applyBorder="1" applyAlignment="1">
      <alignment horizontal="center"/>
    </xf>
    <xf numFmtId="0" fontId="28" fillId="0" borderId="10" xfId="9" applyFont="1" applyBorder="1"/>
    <xf numFmtId="0" fontId="28" fillId="0" borderId="11" xfId="9" applyFont="1" applyBorder="1" applyAlignment="1">
      <alignment horizontal="center"/>
    </xf>
    <xf numFmtId="44" fontId="27" fillId="0" borderId="0" xfId="9" applyNumberFormat="1" applyFont="1"/>
    <xf numFmtId="0" fontId="28" fillId="0" borderId="0" xfId="9" applyFont="1" applyAlignment="1">
      <alignment horizontal="right"/>
    </xf>
    <xf numFmtId="43" fontId="20" fillId="0" borderId="1" xfId="3" applyFont="1" applyBorder="1"/>
    <xf numFmtId="9" fontId="16" fillId="0" borderId="1" xfId="11" applyFont="1" applyBorder="1"/>
    <xf numFmtId="43" fontId="16" fillId="0" borderId="1" xfId="3" applyFont="1" applyBorder="1"/>
    <xf numFmtId="49" fontId="13" fillId="0" borderId="0" xfId="9" quotePrefix="1" applyNumberFormat="1" applyFont="1" applyAlignment="1">
      <alignment horizontal="left"/>
    </xf>
    <xf numFmtId="0" fontId="14" fillId="0" borderId="0" xfId="7" quotePrefix="1" applyFont="1" applyAlignment="1">
      <alignment horizontal="left"/>
    </xf>
    <xf numFmtId="0" fontId="28" fillId="0" borderId="0" xfId="9" quotePrefix="1" applyFont="1" applyAlignment="1">
      <alignment horizontal="left"/>
    </xf>
    <xf numFmtId="43" fontId="28" fillId="0" borderId="5" xfId="1" applyFont="1" applyBorder="1"/>
    <xf numFmtId="43" fontId="14" fillId="0" borderId="0" xfId="1" quotePrefix="1" applyFont="1" applyBorder="1" applyAlignment="1"/>
    <xf numFmtId="43" fontId="28" fillId="0" borderId="0" xfId="1" applyFont="1" applyBorder="1"/>
    <xf numFmtId="41" fontId="28" fillId="0" borderId="5" xfId="1" applyNumberFormat="1" applyFont="1" applyBorder="1"/>
    <xf numFmtId="41" fontId="28" fillId="0" borderId="0" xfId="1" applyNumberFormat="1" applyFont="1" applyBorder="1"/>
    <xf numFmtId="41" fontId="28" fillId="0" borderId="1" xfId="1" applyNumberFormat="1" applyFont="1" applyBorder="1"/>
    <xf numFmtId="0" fontId="22" fillId="0" borderId="5" xfId="9" applyFont="1" applyBorder="1" applyAlignment="1">
      <alignment horizontal="right"/>
    </xf>
    <xf numFmtId="0" fontId="28" fillId="0" borderId="5" xfId="9" applyFont="1" applyBorder="1"/>
    <xf numFmtId="43" fontId="20" fillId="0" borderId="0" xfId="3" applyFont="1" applyBorder="1"/>
    <xf numFmtId="43" fontId="27" fillId="0" borderId="0" xfId="1" applyFont="1"/>
    <xf numFmtId="0" fontId="28" fillId="0" borderId="0" xfId="9" quotePrefix="1" applyFont="1" applyAlignment="1">
      <alignment horizontal="left" indent="1"/>
    </xf>
    <xf numFmtId="0" fontId="27" fillId="0" borderId="0" xfId="9" quotePrefix="1" applyFont="1" applyAlignment="1">
      <alignment horizontal="left"/>
    </xf>
    <xf numFmtId="43" fontId="27" fillId="0" borderId="0" xfId="1" applyFont="1" applyBorder="1"/>
    <xf numFmtId="43" fontId="14" fillId="0" borderId="6" xfId="1" applyFont="1" applyFill="1" applyBorder="1" applyAlignment="1"/>
    <xf numFmtId="0" fontId="17" fillId="0" borderId="0" xfId="0" applyFont="1"/>
    <xf numFmtId="0" fontId="17" fillId="0" borderId="0" xfId="0" applyFont="1" applyAlignment="1">
      <alignment horizontal="left"/>
    </xf>
    <xf numFmtId="1" fontId="18" fillId="0" borderId="0" xfId="0" quotePrefix="1" applyNumberFormat="1" applyFont="1" applyAlignment="1">
      <alignment horizontal="left"/>
    </xf>
    <xf numFmtId="1" fontId="17" fillId="0" borderId="0" xfId="0" applyNumberFormat="1" applyFont="1" applyAlignment="1">
      <alignment horizontal="center"/>
    </xf>
    <xf numFmtId="0" fontId="17" fillId="0" borderId="0" xfId="0" applyFont="1" applyAlignment="1">
      <alignment horizontal="center"/>
    </xf>
    <xf numFmtId="1" fontId="18" fillId="0" borderId="4" xfId="0" applyNumberFormat="1" applyFont="1" applyBorder="1" applyAlignment="1">
      <alignment horizontal="center"/>
    </xf>
    <xf numFmtId="0" fontId="18" fillId="0" borderId="10" xfId="0" applyFont="1" applyBorder="1" applyAlignment="1">
      <alignment horizontal="center"/>
    </xf>
    <xf numFmtId="0" fontId="18" fillId="0" borderId="0" xfId="0" applyFont="1" applyAlignment="1">
      <alignment horizontal="center"/>
    </xf>
    <xf numFmtId="1" fontId="17" fillId="0" borderId="0" xfId="7" applyNumberFormat="1" applyFont="1" applyAlignment="1">
      <alignment horizontal="center"/>
    </xf>
    <xf numFmtId="0" fontId="17" fillId="0" borderId="0" xfId="0" quotePrefix="1" applyFont="1"/>
    <xf numFmtId="43" fontId="17" fillId="0" borderId="0" xfId="7" applyNumberFormat="1" applyFont="1"/>
    <xf numFmtId="0" fontId="18" fillId="4" borderId="0" xfId="0" applyFont="1" applyFill="1" applyAlignment="1">
      <alignment horizontal="center"/>
    </xf>
    <xf numFmtId="1" fontId="17" fillId="4" borderId="0" xfId="7" applyNumberFormat="1" applyFont="1" applyFill="1" applyAlignment="1">
      <alignment horizontal="center"/>
    </xf>
    <xf numFmtId="43" fontId="17" fillId="4" borderId="0" xfId="7" applyNumberFormat="1" applyFont="1" applyFill="1"/>
    <xf numFmtId="43" fontId="17" fillId="0" borderId="0" xfId="0" applyNumberFormat="1" applyFont="1"/>
    <xf numFmtId="43" fontId="17" fillId="0" borderId="9" xfId="0" applyNumberFormat="1" applyFont="1" applyBorder="1"/>
    <xf numFmtId="49" fontId="18" fillId="0" borderId="0" xfId="2" quotePrefix="1" applyNumberFormat="1" applyFont="1" applyAlignment="1">
      <alignment horizontal="left"/>
    </xf>
    <xf numFmtId="0" fontId="18" fillId="0" borderId="0" xfId="7" applyFont="1"/>
    <xf numFmtId="49" fontId="18" fillId="0" borderId="0" xfId="7" applyNumberFormat="1" applyFont="1" applyAlignment="1">
      <alignment horizontal="left"/>
    </xf>
    <xf numFmtId="49" fontId="18" fillId="0" borderId="0" xfId="2" applyNumberFormat="1" applyFont="1" applyAlignment="1">
      <alignment horizontal="left"/>
    </xf>
    <xf numFmtId="49" fontId="18" fillId="0" borderId="4" xfId="7" quotePrefix="1" applyNumberFormat="1" applyFont="1" applyBorder="1" applyAlignment="1">
      <alignment horizontal="center"/>
    </xf>
    <xf numFmtId="0" fontId="18" fillId="0" borderId="4" xfId="7" quotePrefix="1" applyFont="1" applyBorder="1" applyAlignment="1">
      <alignment horizontal="center"/>
    </xf>
    <xf numFmtId="49" fontId="29" fillId="0" borderId="0" xfId="7" quotePrefix="1" applyNumberFormat="1" applyFont="1" applyAlignment="1">
      <alignment horizontal="center" vertical="center"/>
    </xf>
    <xf numFmtId="177" fontId="29" fillId="0" borderId="0" xfId="7" quotePrefix="1" applyNumberFormat="1" applyFont="1" applyAlignment="1">
      <alignment horizontal="left"/>
    </xf>
    <xf numFmtId="177" fontId="29" fillId="0" borderId="0" xfId="7" applyNumberFormat="1" applyFont="1"/>
    <xf numFmtId="0" fontId="17" fillId="0" borderId="0" xfId="7" applyFont="1"/>
    <xf numFmtId="49" fontId="29" fillId="0" borderId="0" xfId="7" applyNumberFormat="1" applyFont="1" applyAlignment="1">
      <alignment horizontal="center" vertical="center"/>
    </xf>
    <xf numFmtId="0" fontId="17" fillId="0" borderId="0" xfId="7" quotePrefix="1" applyFont="1" applyAlignment="1">
      <alignment horizontal="left"/>
    </xf>
    <xf numFmtId="176" fontId="17" fillId="0" borderId="0" xfId="0" applyNumberFormat="1" applyFont="1"/>
    <xf numFmtId="1" fontId="18" fillId="0" borderId="0" xfId="0" quotePrefix="1" applyNumberFormat="1" applyFont="1"/>
    <xf numFmtId="1" fontId="17" fillId="0" borderId="0" xfId="0" applyNumberFormat="1" applyFont="1"/>
    <xf numFmtId="1" fontId="17" fillId="0" borderId="0" xfId="7" applyNumberFormat="1" applyFont="1"/>
    <xf numFmtId="1" fontId="17" fillId="4" borderId="0" xfId="7" applyNumberFormat="1" applyFont="1" applyFill="1"/>
    <xf numFmtId="1" fontId="18" fillId="0" borderId="10" xfId="0" applyNumberFormat="1" applyFont="1" applyBorder="1" applyAlignment="1">
      <alignment horizontal="center"/>
    </xf>
    <xf numFmtId="7" fontId="16" fillId="0" borderId="0" xfId="0" applyNumberFormat="1" applyFont="1" applyAlignment="1">
      <alignment horizontal="left"/>
    </xf>
    <xf numFmtId="169" fontId="16" fillId="0" borderId="0" xfId="0" applyNumberFormat="1" applyFont="1" applyAlignment="1">
      <alignment horizontal="center"/>
    </xf>
    <xf numFmtId="7" fontId="14" fillId="0" borderId="0" xfId="0" applyNumberFormat="1" applyFont="1"/>
    <xf numFmtId="7" fontId="14" fillId="0" borderId="1" xfId="0" applyNumberFormat="1" applyFont="1" applyBorder="1"/>
    <xf numFmtId="4" fontId="14" fillId="0" borderId="2" xfId="0" applyNumberFormat="1" applyFont="1" applyBorder="1"/>
    <xf numFmtId="4" fontId="15" fillId="0" borderId="2" xfId="0" applyNumberFormat="1" applyFont="1" applyBorder="1" applyAlignment="1">
      <alignment horizontal="left"/>
    </xf>
    <xf numFmtId="4" fontId="15" fillId="0" borderId="2" xfId="0" applyNumberFormat="1" applyFont="1" applyBorder="1"/>
    <xf numFmtId="1" fontId="17" fillId="4" borderId="0" xfId="7" applyNumberFormat="1" applyFont="1" applyFill="1" applyAlignment="1">
      <alignment horizontal="left" indent="1"/>
    </xf>
    <xf numFmtId="0" fontId="18" fillId="0" borderId="0" xfId="0" quotePrefix="1" applyFont="1" applyAlignment="1">
      <alignment horizontal="center"/>
    </xf>
    <xf numFmtId="1" fontId="17" fillId="0" borderId="0" xfId="7" applyNumberFormat="1" applyFont="1" applyAlignment="1">
      <alignment horizontal="left" indent="1"/>
    </xf>
    <xf numFmtId="0" fontId="17" fillId="0" borderId="0" xfId="0" quotePrefix="1" applyFont="1" applyAlignment="1">
      <alignment horizontal="left" indent="1"/>
    </xf>
    <xf numFmtId="0" fontId="17" fillId="4" borderId="0" xfId="0" quotePrefix="1" applyFont="1" applyFill="1" applyAlignment="1">
      <alignment horizontal="left" indent="1"/>
    </xf>
    <xf numFmtId="0" fontId="18" fillId="0" borderId="4" xfId="0" applyFont="1" applyBorder="1" applyAlignment="1">
      <alignment horizontal="center"/>
    </xf>
    <xf numFmtId="4" fontId="15" fillId="0" borderId="0" xfId="0" applyNumberFormat="1" applyFont="1" applyAlignment="1">
      <alignment horizontal="left"/>
    </xf>
    <xf numFmtId="4" fontId="14" fillId="0" borderId="2" xfId="0" applyNumberFormat="1" applyFont="1" applyBorder="1" applyAlignment="1">
      <alignment horizontal="left"/>
    </xf>
    <xf numFmtId="43" fontId="14" fillId="0" borderId="0" xfId="0" applyNumberFormat="1" applyFont="1"/>
    <xf numFmtId="1" fontId="30" fillId="0" borderId="0" xfId="0" quotePrefix="1" applyNumberFormat="1" applyFont="1" applyAlignment="1">
      <alignment horizontal="left"/>
    </xf>
    <xf numFmtId="43" fontId="17" fillId="0" borderId="0" xfId="1" applyFont="1"/>
    <xf numFmtId="43" fontId="18" fillId="0" borderId="0" xfId="1" quotePrefix="1" applyFont="1" applyFill="1" applyBorder="1" applyAlignment="1">
      <alignment horizontal="center"/>
    </xf>
    <xf numFmtId="43" fontId="17" fillId="0" borderId="0" xfId="1" applyFont="1" applyFill="1" applyBorder="1" applyAlignment="1"/>
    <xf numFmtId="0" fontId="17" fillId="0" borderId="0" xfId="0" quotePrefix="1" applyFont="1" applyAlignment="1">
      <alignment horizontal="left"/>
    </xf>
    <xf numFmtId="0" fontId="17" fillId="0" borderId="0" xfId="0" quotePrefix="1" applyFont="1" applyAlignment="1">
      <alignment horizontal="center"/>
    </xf>
    <xf numFmtId="0" fontId="18" fillId="0" borderId="0" xfId="0" quotePrefix="1" applyFont="1" applyAlignment="1">
      <alignment vertical="center"/>
    </xf>
    <xf numFmtId="41" fontId="22" fillId="0" borderId="0" xfId="1" applyNumberFormat="1" applyFont="1" applyFill="1" applyBorder="1"/>
    <xf numFmtId="43" fontId="22" fillId="0" borderId="1" xfId="1" quotePrefix="1" applyFont="1" applyBorder="1" applyAlignment="1"/>
    <xf numFmtId="43" fontId="26" fillId="0" borderId="0" xfId="9" applyNumberFormat="1" applyFont="1"/>
    <xf numFmtId="43" fontId="26" fillId="0" borderId="1" xfId="9" applyNumberFormat="1" applyFont="1" applyBorder="1"/>
    <xf numFmtId="0" fontId="16" fillId="0" borderId="0" xfId="0" quotePrefix="1" applyFont="1" applyAlignment="1">
      <alignment horizontal="left"/>
    </xf>
    <xf numFmtId="43" fontId="22" fillId="0" borderId="1" xfId="1" applyFont="1" applyBorder="1"/>
    <xf numFmtId="16" fontId="14" fillId="0" borderId="0" xfId="0" applyNumberFormat="1" applyFont="1"/>
    <xf numFmtId="0" fontId="18" fillId="0" borderId="0" xfId="0" applyFont="1"/>
    <xf numFmtId="0" fontId="18" fillId="0" borderId="0" xfId="0" quotePrefix="1" applyFont="1" applyAlignment="1">
      <alignment horizontal="left" indent="4"/>
    </xf>
    <xf numFmtId="0" fontId="22" fillId="0" borderId="0" xfId="0" quotePrefix="1" applyFont="1" applyAlignment="1">
      <alignment horizontal="left"/>
    </xf>
    <xf numFmtId="0" fontId="22" fillId="0" borderId="0" xfId="0" applyFont="1"/>
    <xf numFmtId="0" fontId="22" fillId="0" borderId="0" xfId="0" quotePrefix="1" applyFont="1" applyAlignment="1">
      <alignment horizontal="left" indent="4"/>
    </xf>
    <xf numFmtId="0" fontId="14" fillId="4" borderId="4" xfId="0" applyFont="1" applyFill="1" applyBorder="1" applyAlignment="1">
      <alignment horizontal="left"/>
    </xf>
    <xf numFmtId="0" fontId="14" fillId="4" borderId="4" xfId="0" applyFont="1" applyFill="1" applyBorder="1" applyAlignment="1">
      <alignment horizontal="center"/>
    </xf>
    <xf numFmtId="0" fontId="28" fillId="0" borderId="0" xfId="9" quotePrefix="1" applyFont="1" applyAlignment="1">
      <alignment horizontal="right"/>
    </xf>
    <xf numFmtId="43" fontId="31" fillId="0" borderId="0" xfId="1" applyFont="1"/>
    <xf numFmtId="0" fontId="31" fillId="0" borderId="0" xfId="0" applyFont="1"/>
    <xf numFmtId="1" fontId="17" fillId="0" borderId="0" xfId="7" quotePrefix="1" applyNumberFormat="1" applyFont="1" applyAlignment="1">
      <alignment horizontal="left"/>
    </xf>
    <xf numFmtId="1" fontId="17" fillId="4" borderId="0" xfId="7" quotePrefix="1" applyNumberFormat="1" applyFont="1" applyFill="1" applyAlignment="1">
      <alignment horizontal="left"/>
    </xf>
    <xf numFmtId="1" fontId="17" fillId="0" borderId="0" xfId="2" applyNumberFormat="1" applyFont="1" applyFill="1" applyBorder="1" applyAlignment="1">
      <alignment horizontal="center"/>
    </xf>
    <xf numFmtId="1" fontId="17" fillId="0" borderId="0" xfId="2" applyNumberFormat="1" applyFont="1" applyFill="1" applyBorder="1" applyAlignment="1"/>
    <xf numFmtId="1" fontId="17" fillId="0" borderId="0" xfId="2" quotePrefix="1" applyNumberFormat="1" applyFont="1" applyFill="1" applyBorder="1" applyAlignment="1">
      <alignment horizontal="left"/>
    </xf>
    <xf numFmtId="43" fontId="14" fillId="0" borderId="0" xfId="1" applyFont="1" applyBorder="1" applyAlignment="1">
      <alignment horizontal="center"/>
    </xf>
    <xf numFmtId="43" fontId="22" fillId="0" borderId="0" xfId="1" applyFont="1" applyBorder="1"/>
    <xf numFmtId="43" fontId="14" fillId="5" borderId="9" xfId="1" applyFont="1" applyFill="1" applyBorder="1" applyAlignment="1"/>
    <xf numFmtId="0" fontId="17" fillId="0" borderId="0" xfId="0" quotePrefix="1" applyFont="1" applyAlignment="1">
      <alignment horizontal="right"/>
    </xf>
    <xf numFmtId="43" fontId="18" fillId="0" borderId="4" xfId="1" quotePrefix="1" applyFont="1" applyFill="1" applyBorder="1" applyAlignment="1">
      <alignment horizontal="center"/>
    </xf>
    <xf numFmtId="43" fontId="22" fillId="0" borderId="1" xfId="1" applyFont="1" applyBorder="1" applyAlignment="1"/>
    <xf numFmtId="37" fontId="22" fillId="0" borderId="1" xfId="1" applyNumberFormat="1" applyFont="1" applyBorder="1" applyAlignment="1"/>
    <xf numFmtId="37" fontId="22" fillId="0" borderId="1" xfId="1" applyNumberFormat="1" applyFont="1" applyBorder="1" applyAlignment="1">
      <alignment horizontal="center"/>
    </xf>
    <xf numFmtId="37" fontId="22" fillId="0" borderId="0" xfId="1" applyNumberFormat="1" applyFont="1"/>
    <xf numFmtId="41" fontId="22" fillId="0" borderId="0" xfId="1" applyNumberFormat="1" applyFont="1" applyFill="1" applyBorder="1" applyAlignment="1"/>
    <xf numFmtId="49" fontId="17" fillId="0" borderId="0" xfId="0" quotePrefix="1" applyNumberFormat="1" applyFont="1" applyAlignment="1">
      <alignment horizontal="left" indent="1"/>
    </xf>
    <xf numFmtId="49" fontId="17" fillId="4" borderId="0" xfId="0" quotePrefix="1" applyNumberFormat="1" applyFont="1" applyFill="1"/>
    <xf numFmtId="49" fontId="17" fillId="4" borderId="0" xfId="0" quotePrefix="1" applyNumberFormat="1" applyFont="1" applyFill="1" applyAlignment="1">
      <alignment horizontal="left" indent="1"/>
    </xf>
    <xf numFmtId="49" fontId="17" fillId="4" borderId="0" xfId="7" applyNumberFormat="1" applyFont="1" applyFill="1" applyAlignment="1">
      <alignment horizontal="left" indent="1"/>
    </xf>
    <xf numFmtId="49" fontId="17" fillId="0" borderId="0" xfId="0" applyNumberFormat="1" applyFont="1"/>
    <xf numFmtId="0" fontId="14" fillId="0" borderId="0" xfId="0" quotePrefix="1" applyFont="1" applyAlignment="1">
      <alignment horizontal="left" indent="1"/>
    </xf>
    <xf numFmtId="49" fontId="22" fillId="0" borderId="0" xfId="7" applyNumberFormat="1" applyFont="1"/>
    <xf numFmtId="0" fontId="17" fillId="0" borderId="0" xfId="0" applyFont="1" applyAlignment="1">
      <alignment horizontal="right"/>
    </xf>
    <xf numFmtId="0" fontId="18" fillId="0" borderId="0" xfId="0" quotePrefix="1" applyFont="1" applyAlignment="1">
      <alignment horizontal="left" vertical="top"/>
    </xf>
    <xf numFmtId="0" fontId="13" fillId="0" borderId="0" xfId="0" quotePrefix="1" applyFont="1"/>
    <xf numFmtId="169" fontId="16" fillId="6" borderId="0" xfId="0" applyNumberFormat="1" applyFont="1" applyFill="1" applyAlignment="1">
      <alignment horizontal="center"/>
    </xf>
    <xf numFmtId="4" fontId="22" fillId="6" borderId="1" xfId="0" applyNumberFormat="1" applyFont="1" applyFill="1" applyBorder="1" applyAlignment="1">
      <alignment horizontal="center"/>
    </xf>
    <xf numFmtId="43" fontId="22" fillId="6" borderId="1" xfId="1" applyFont="1" applyFill="1" applyBorder="1" applyAlignment="1"/>
    <xf numFmtId="41" fontId="22" fillId="6" borderId="0" xfId="1" applyNumberFormat="1" applyFont="1" applyFill="1" applyBorder="1" applyAlignment="1"/>
    <xf numFmtId="175" fontId="22" fillId="6" borderId="0" xfId="0" applyNumberFormat="1" applyFont="1" applyFill="1"/>
    <xf numFmtId="38" fontId="22" fillId="6" borderId="0" xfId="0" quotePrefix="1" applyNumberFormat="1" applyFont="1" applyFill="1"/>
    <xf numFmtId="0" fontId="32" fillId="0" borderId="0" xfId="0" applyFont="1"/>
    <xf numFmtId="0" fontId="22" fillId="3" borderId="0" xfId="0" quotePrefix="1" applyFont="1" applyFill="1" applyAlignment="1">
      <alignment horizontal="left"/>
    </xf>
    <xf numFmtId="0" fontId="22" fillId="3" borderId="0" xfId="0" applyFont="1" applyFill="1"/>
    <xf numFmtId="16" fontId="17" fillId="0" borderId="0" xfId="0" applyNumberFormat="1" applyFont="1"/>
    <xf numFmtId="43" fontId="31" fillId="0" borderId="0" xfId="1" applyFont="1" applyFill="1"/>
    <xf numFmtId="43" fontId="17" fillId="0" borderId="0" xfId="1" applyFont="1" applyFill="1"/>
    <xf numFmtId="7" fontId="16" fillId="6" borderId="0" xfId="0" applyNumberFormat="1" applyFont="1" applyFill="1" applyAlignment="1">
      <alignment horizontal="left"/>
    </xf>
    <xf numFmtId="4" fontId="14" fillId="6" borderId="1" xfId="0" applyNumberFormat="1" applyFont="1" applyFill="1" applyBorder="1" applyAlignment="1">
      <alignment horizontal="center"/>
    </xf>
    <xf numFmtId="43" fontId="14" fillId="6" borderId="1" xfId="1" applyFont="1" applyFill="1" applyBorder="1" applyAlignment="1"/>
    <xf numFmtId="41" fontId="14" fillId="6" borderId="0" xfId="1" applyNumberFormat="1" applyFont="1" applyFill="1" applyBorder="1" applyAlignment="1"/>
    <xf numFmtId="4" fontId="14" fillId="6" borderId="0" xfId="0" applyNumberFormat="1" applyFont="1" applyFill="1" applyAlignment="1">
      <alignment horizontal="center"/>
    </xf>
    <xf numFmtId="38" fontId="14" fillId="6" borderId="0" xfId="0" quotePrefix="1" applyNumberFormat="1" applyFont="1" applyFill="1"/>
    <xf numFmtId="164" fontId="14" fillId="0" borderId="0" xfId="6" quotePrefix="1" applyFont="1" applyBorder="1" applyAlignment="1">
      <alignment horizontal="center" wrapText="1"/>
    </xf>
    <xf numFmtId="3" fontId="14" fillId="2" borderId="0" xfId="0" quotePrefix="1" applyNumberFormat="1" applyFont="1" applyFill="1"/>
    <xf numFmtId="0" fontId="10" fillId="0" borderId="0" xfId="0" quotePrefix="1" applyFont="1" applyAlignment="1">
      <alignment horizontal="left"/>
    </xf>
    <xf numFmtId="0" fontId="33" fillId="0" borderId="0" xfId="0" applyFont="1"/>
    <xf numFmtId="0" fontId="14" fillId="7" borderId="0" xfId="0" applyFont="1" applyFill="1"/>
    <xf numFmtId="0" fontId="14" fillId="7" borderId="0" xfId="0" applyFont="1" applyFill="1" applyAlignment="1">
      <alignment horizontal="left"/>
    </xf>
    <xf numFmtId="0" fontId="20" fillId="7" borderId="0" xfId="0" applyFont="1" applyFill="1"/>
    <xf numFmtId="43" fontId="14" fillId="7" borderId="0" xfId="1" applyFont="1" applyFill="1" applyBorder="1" applyAlignment="1"/>
    <xf numFmtId="49" fontId="17" fillId="0" borderId="0" xfId="7" applyNumberFormat="1" applyFont="1"/>
    <xf numFmtId="49" fontId="17" fillId="4" borderId="0" xfId="7" quotePrefix="1" applyNumberFormat="1" applyFont="1" applyFill="1" applyAlignment="1">
      <alignment horizontal="left" indent="1"/>
    </xf>
    <xf numFmtId="9" fontId="15" fillId="0" borderId="0" xfId="11" quotePrefix="1" applyFont="1" applyAlignment="1">
      <alignment horizontal="left"/>
    </xf>
    <xf numFmtId="0" fontId="33" fillId="0" borderId="3" xfId="0" quotePrefix="1" applyFont="1" applyBorder="1" applyAlignment="1">
      <alignment horizontal="center"/>
    </xf>
    <xf numFmtId="0" fontId="34" fillId="0" borderId="0" xfId="0" quotePrefix="1" applyFont="1" applyAlignment="1">
      <alignment horizontal="left"/>
    </xf>
    <xf numFmtId="16" fontId="31" fillId="0" borderId="0" xfId="0" applyNumberFormat="1" applyFont="1"/>
    <xf numFmtId="0" fontId="10" fillId="0" borderId="0" xfId="0" quotePrefix="1" applyFont="1" applyAlignment="1">
      <alignment horizontal="left" indent="1"/>
    </xf>
    <xf numFmtId="0" fontId="18" fillId="0" borderId="0" xfId="0" quotePrefix="1" applyFont="1" applyAlignment="1" applyProtection="1">
      <alignment horizontal="left"/>
      <protection locked="0"/>
    </xf>
    <xf numFmtId="170" fontId="14" fillId="0" borderId="0" xfId="6" quotePrefix="1" applyNumberFormat="1" applyFont="1" applyBorder="1" applyAlignment="1">
      <alignment horizontal="center"/>
    </xf>
    <xf numFmtId="0" fontId="34" fillId="0" borderId="0" xfId="0" quotePrefix="1" applyFont="1" applyAlignment="1">
      <alignment horizontal="left" indent="2"/>
    </xf>
    <xf numFmtId="16" fontId="14" fillId="0" borderId="0" xfId="0" applyNumberFormat="1" applyFont="1" applyAlignment="1">
      <alignment vertical="center"/>
    </xf>
    <xf numFmtId="0" fontId="20" fillId="0" borderId="1" xfId="0" quotePrefix="1" applyFont="1" applyBorder="1" applyAlignment="1">
      <alignment horizontal="center"/>
    </xf>
    <xf numFmtId="164" fontId="22" fillId="0" borderId="0" xfId="6" quotePrefix="1" applyFont="1" applyBorder="1" applyAlignment="1">
      <alignment horizontal="center" wrapText="1"/>
    </xf>
    <xf numFmtId="14" fontId="20" fillId="0" borderId="1" xfId="0" quotePrefix="1" applyNumberFormat="1" applyFont="1" applyBorder="1" applyAlignment="1">
      <alignment horizontal="center"/>
    </xf>
    <xf numFmtId="43" fontId="31" fillId="4" borderId="0" xfId="1" applyFont="1" applyFill="1" applyBorder="1" applyAlignment="1"/>
    <xf numFmtId="43" fontId="31" fillId="0" borderId="0" xfId="1" applyFont="1" applyFill="1" applyBorder="1" applyAlignment="1"/>
    <xf numFmtId="43" fontId="31" fillId="0" borderId="0" xfId="1" applyFont="1" applyFill="1" applyAlignment="1"/>
    <xf numFmtId="43" fontId="31" fillId="0" borderId="0" xfId="1" applyFont="1" applyFill="1" applyBorder="1"/>
    <xf numFmtId="0" fontId="17" fillId="4" borderId="0" xfId="0" applyFont="1" applyFill="1" applyAlignment="1">
      <alignment horizontal="center"/>
    </xf>
    <xf numFmtId="0" fontId="17" fillId="0" borderId="0" xfId="0" quotePrefix="1" applyFont="1" applyAlignment="1">
      <alignment horizontal="left" vertical="top"/>
    </xf>
    <xf numFmtId="17" fontId="20" fillId="0" borderId="0" xfId="0" quotePrefix="1" applyNumberFormat="1" applyFont="1" applyAlignment="1">
      <alignment horizontal="center"/>
    </xf>
    <xf numFmtId="7" fontId="17" fillId="0" borderId="0" xfId="0" quotePrefix="1" applyNumberFormat="1" applyFont="1" applyAlignment="1">
      <alignment horizontal="center"/>
    </xf>
    <xf numFmtId="0" fontId="10" fillId="2" borderId="12" xfId="0" quotePrefix="1" applyFont="1" applyFill="1" applyBorder="1" applyAlignment="1">
      <alignment horizontal="left"/>
    </xf>
    <xf numFmtId="0" fontId="34" fillId="2" borderId="12" xfId="0" quotePrefix="1" applyFont="1" applyFill="1" applyBorder="1" applyAlignment="1">
      <alignment horizontal="left" indent="1"/>
    </xf>
    <xf numFmtId="0" fontId="10" fillId="2" borderId="12" xfId="0" quotePrefix="1" applyFont="1" applyFill="1" applyBorder="1" applyAlignment="1">
      <alignment horizontal="left" indent="1"/>
    </xf>
    <xf numFmtId="0" fontId="34" fillId="2" borderId="12" xfId="0" quotePrefix="1" applyFont="1" applyFill="1" applyBorder="1" applyAlignment="1">
      <alignment horizontal="left" indent="2"/>
    </xf>
    <xf numFmtId="0" fontId="34" fillId="2" borderId="12" xfId="0" quotePrefix="1" applyFont="1" applyFill="1" applyBorder="1" applyAlignment="1">
      <alignment horizontal="left"/>
    </xf>
    <xf numFmtId="0" fontId="10" fillId="2" borderId="13" xfId="0" quotePrefix="1" applyFont="1" applyFill="1" applyBorder="1" applyAlignment="1">
      <alignment horizontal="left"/>
    </xf>
    <xf numFmtId="0" fontId="17" fillId="0" borderId="0" xfId="0" quotePrefix="1" applyFont="1" applyAlignment="1">
      <alignment horizontal="left" vertical="center" indent="1"/>
    </xf>
    <xf numFmtId="49" fontId="17" fillId="0" borderId="0" xfId="7" quotePrefix="1" applyNumberFormat="1" applyFont="1" applyAlignment="1">
      <alignment horizontal="left" indent="1"/>
    </xf>
    <xf numFmtId="0" fontId="32" fillId="0" borderId="0" xfId="0" applyFont="1" applyAlignment="1">
      <alignment horizontal="left"/>
    </xf>
    <xf numFmtId="0" fontId="18" fillId="0" borderId="0" xfId="0" applyFont="1" applyAlignment="1">
      <alignment vertical="center" wrapText="1"/>
    </xf>
    <xf numFmtId="0" fontId="18" fillId="0" borderId="0" xfId="0" quotePrefix="1" applyFont="1" applyAlignment="1" applyProtection="1">
      <alignment horizontal="left" vertical="center"/>
      <protection locked="0"/>
    </xf>
    <xf numFmtId="0" fontId="18" fillId="0" borderId="0" xfId="0" applyFont="1" applyAlignment="1" applyProtection="1">
      <alignment vertical="center"/>
      <protection locked="0"/>
    </xf>
    <xf numFmtId="0" fontId="18" fillId="0" borderId="0" xfId="0" applyFont="1" applyAlignment="1">
      <alignment vertical="center"/>
    </xf>
    <xf numFmtId="0" fontId="18" fillId="0" borderId="0" xfId="0" quotePrefix="1" applyFont="1" applyAlignment="1">
      <alignment horizontal="left" vertical="center"/>
    </xf>
    <xf numFmtId="0" fontId="32" fillId="0" borderId="0" xfId="0" quotePrefix="1" applyFont="1" applyAlignment="1">
      <alignment horizontal="left" vertical="center"/>
    </xf>
    <xf numFmtId="0" fontId="32" fillId="0" borderId="0" xfId="0" applyFont="1" applyAlignment="1">
      <alignment vertical="center"/>
    </xf>
    <xf numFmtId="0" fontId="18" fillId="0" borderId="0" xfId="0" quotePrefix="1" applyFont="1" applyAlignment="1" applyProtection="1">
      <alignment horizontal="left" vertical="center" indent="2"/>
      <protection locked="0"/>
    </xf>
    <xf numFmtId="0" fontId="18" fillId="0" borderId="0" xfId="0" applyFont="1" applyAlignment="1">
      <alignment horizontal="left" vertical="center" indent="2"/>
    </xf>
    <xf numFmtId="0" fontId="18" fillId="0" borderId="0" xfId="0" quotePrefix="1" applyFont="1" applyAlignment="1">
      <alignment horizontal="left" vertical="center" indent="2"/>
    </xf>
    <xf numFmtId="0" fontId="32" fillId="0" borderId="0" xfId="0" quotePrefix="1" applyFont="1" applyAlignment="1">
      <alignment horizontal="left" vertical="center" indent="1"/>
    </xf>
    <xf numFmtId="0" fontId="35" fillId="0" borderId="0" xfId="0" applyFont="1"/>
    <xf numFmtId="0" fontId="35" fillId="0" borderId="0" xfId="0" applyFont="1" applyAlignment="1">
      <alignment vertical="center"/>
    </xf>
    <xf numFmtId="0" fontId="32" fillId="0" borderId="0" xfId="0" applyFont="1" applyAlignment="1">
      <alignment horizontal="left" vertical="center"/>
    </xf>
    <xf numFmtId="0" fontId="35" fillId="0" borderId="0" xfId="0" quotePrefix="1" applyFont="1" applyAlignment="1" applyProtection="1">
      <alignment horizontal="left" vertical="center"/>
      <protection locked="0"/>
    </xf>
    <xf numFmtId="0" fontId="35" fillId="0" borderId="0" xfId="0" quotePrefix="1" applyFont="1" applyAlignment="1" applyProtection="1">
      <alignment horizontal="left"/>
      <protection locked="0"/>
    </xf>
    <xf numFmtId="0" fontId="32" fillId="0" borderId="0" xfId="0" quotePrefix="1" applyFont="1" applyAlignment="1" applyProtection="1">
      <alignment horizontal="left"/>
      <protection locked="0"/>
    </xf>
    <xf numFmtId="0" fontId="32" fillId="0" borderId="0" xfId="0" quotePrefix="1" applyFont="1" applyAlignment="1" applyProtection="1">
      <alignment horizontal="left" indent="1"/>
      <protection locked="0"/>
    </xf>
    <xf numFmtId="0" fontId="32" fillId="0" borderId="0" xfId="0" quotePrefix="1" applyFont="1" applyAlignment="1" applyProtection="1">
      <alignment horizontal="left" vertical="center"/>
      <protection locked="0"/>
    </xf>
    <xf numFmtId="0" fontId="32" fillId="0" borderId="0" xfId="0" quotePrefix="1" applyFont="1" applyAlignment="1" applyProtection="1">
      <alignment horizontal="left" vertical="center" indent="1"/>
      <protection locked="0"/>
    </xf>
    <xf numFmtId="1" fontId="17" fillId="0" borderId="0" xfId="7" quotePrefix="1" applyNumberFormat="1" applyFont="1" applyAlignment="1">
      <alignment horizontal="right"/>
    </xf>
    <xf numFmtId="43" fontId="17" fillId="0" borderId="0" xfId="7" applyNumberFormat="1" applyFont="1" applyAlignment="1">
      <alignment vertical="center"/>
    </xf>
    <xf numFmtId="164" fontId="14" fillId="2" borderId="0" xfId="6" quotePrefix="1" applyFont="1" applyFill="1" applyBorder="1" applyAlignment="1">
      <alignment horizontal="center" wrapText="1"/>
    </xf>
    <xf numFmtId="164" fontId="14" fillId="0" borderId="0" xfId="6" quotePrefix="1" applyFont="1" applyBorder="1" applyAlignment="1">
      <alignment horizontal="center"/>
    </xf>
    <xf numFmtId="16" fontId="18" fillId="0" borderId="0" xfId="0" applyNumberFormat="1" applyFont="1" applyAlignment="1">
      <alignment horizontal="left"/>
    </xf>
    <xf numFmtId="49" fontId="18" fillId="2" borderId="7" xfId="0" quotePrefix="1" applyNumberFormat="1" applyFont="1" applyFill="1" applyBorder="1" applyAlignment="1">
      <alignment horizontal="left"/>
    </xf>
    <xf numFmtId="49" fontId="33" fillId="2" borderId="0" xfId="0" quotePrefix="1" applyNumberFormat="1" applyFont="1" applyFill="1" applyAlignment="1">
      <alignment horizontal="center"/>
    </xf>
    <xf numFmtId="49" fontId="18" fillId="2" borderId="2" xfId="0" applyNumberFormat="1" applyFont="1" applyFill="1" applyBorder="1"/>
    <xf numFmtId="0" fontId="17" fillId="0" borderId="0" xfId="0" quotePrefix="1" applyFont="1" applyAlignment="1">
      <alignment vertical="center"/>
    </xf>
    <xf numFmtId="0" fontId="17" fillId="4" borderId="0" xfId="0" quotePrefix="1" applyFont="1" applyFill="1" applyAlignment="1">
      <alignment horizontal="left" vertical="center" indent="1"/>
    </xf>
    <xf numFmtId="0" fontId="36" fillId="2" borderId="12" xfId="0" applyFont="1" applyFill="1" applyBorder="1"/>
    <xf numFmtId="1" fontId="17" fillId="4" borderId="0" xfId="7" applyNumberFormat="1" applyFont="1" applyFill="1" applyAlignment="1">
      <alignment horizontal="right" indent="1"/>
    </xf>
    <xf numFmtId="1" fontId="17" fillId="0" borderId="0" xfId="7" quotePrefix="1" applyNumberFormat="1" applyFont="1" applyAlignment="1">
      <alignment horizontal="right" indent="1"/>
    </xf>
    <xf numFmtId="0" fontId="10" fillId="0" borderId="16" xfId="0" quotePrefix="1" applyFont="1" applyBorder="1" applyAlignment="1">
      <alignment horizontal="left" indent="1"/>
    </xf>
    <xf numFmtId="0" fontId="22" fillId="4" borderId="4" xfId="0" applyFont="1" applyFill="1" applyBorder="1" applyAlignment="1">
      <alignment horizontal="center"/>
    </xf>
    <xf numFmtId="1" fontId="17" fillId="4" borderId="0" xfId="2" applyNumberFormat="1" applyFont="1" applyFill="1" applyBorder="1" applyAlignment="1">
      <alignment horizontal="center"/>
    </xf>
    <xf numFmtId="1" fontId="17" fillId="4" borderId="0" xfId="2" quotePrefix="1" applyNumberFormat="1" applyFont="1" applyFill="1" applyBorder="1" applyAlignment="1">
      <alignment horizontal="left"/>
    </xf>
    <xf numFmtId="49" fontId="18" fillId="2" borderId="17" xfId="0" quotePrefix="1" applyNumberFormat="1" applyFont="1" applyFill="1" applyBorder="1" applyAlignment="1">
      <alignment horizontal="left" indent="1"/>
    </xf>
    <xf numFmtId="0" fontId="18" fillId="2" borderId="7" xfId="0" quotePrefix="1" applyFont="1" applyFill="1" applyBorder="1" applyAlignment="1">
      <alignment horizontal="left" indent="1"/>
    </xf>
    <xf numFmtId="0" fontId="14" fillId="2" borderId="0" xfId="0" quotePrefix="1" applyFont="1" applyFill="1" applyAlignment="1">
      <alignment horizontal="left"/>
    </xf>
    <xf numFmtId="0" fontId="16" fillId="2" borderId="0" xfId="0" applyFont="1" applyFill="1" applyAlignment="1">
      <alignment horizontal="left"/>
    </xf>
    <xf numFmtId="0" fontId="18" fillId="0" borderId="0" xfId="0" quotePrefix="1" applyFont="1" applyAlignment="1" applyProtection="1">
      <alignment horizontal="left" indent="2"/>
      <protection locked="0"/>
    </xf>
    <xf numFmtId="0" fontId="18" fillId="0" borderId="0" xfId="0" applyFont="1" applyProtection="1">
      <protection locked="0"/>
    </xf>
    <xf numFmtId="0" fontId="16" fillId="2" borderId="0" xfId="0" quotePrefix="1" applyFont="1" applyFill="1" applyAlignment="1">
      <alignment horizontal="left"/>
    </xf>
    <xf numFmtId="164" fontId="37" fillId="0" borderId="1" xfId="6" quotePrefix="1" applyFont="1" applyBorder="1" applyAlignment="1">
      <alignment horizontal="center"/>
    </xf>
    <xf numFmtId="0" fontId="42" fillId="0" borderId="0" xfId="0" applyFont="1" applyAlignment="1">
      <alignment horizontal="left" indent="2"/>
    </xf>
    <xf numFmtId="0" fontId="42" fillId="0" borderId="0" xfId="0" quotePrefix="1" applyFont="1" applyAlignment="1">
      <alignment horizontal="left" vertical="center" indent="2"/>
    </xf>
    <xf numFmtId="0" fontId="14" fillId="0" borderId="0" xfId="0" applyFont="1" applyAlignment="1">
      <alignment horizontal="left" vertical="center" indent="2"/>
    </xf>
    <xf numFmtId="169" fontId="19" fillId="0" borderId="0" xfId="0" applyNumberFormat="1" applyFont="1" applyAlignment="1">
      <alignment horizontal="left" vertical="center" indent="2"/>
    </xf>
    <xf numFmtId="2" fontId="14" fillId="0" borderId="0" xfId="0" applyNumberFormat="1" applyFont="1" applyAlignment="1">
      <alignment horizontal="left" vertical="center" indent="2"/>
    </xf>
    <xf numFmtId="43" fontId="14" fillId="0" borderId="0" xfId="1" applyFont="1" applyBorder="1" applyAlignment="1">
      <alignment horizontal="left" vertical="center" indent="2"/>
    </xf>
    <xf numFmtId="0" fontId="14" fillId="2" borderId="0" xfId="0" applyFont="1" applyFill="1" applyAlignment="1">
      <alignment horizontal="left" vertical="center" indent="2"/>
    </xf>
    <xf numFmtId="169" fontId="19" fillId="2" borderId="0" xfId="0" applyNumberFormat="1" applyFont="1" applyFill="1" applyAlignment="1">
      <alignment horizontal="left" vertical="center" indent="2"/>
    </xf>
    <xf numFmtId="2" fontId="14" fillId="2" borderId="0" xfId="0" applyNumberFormat="1" applyFont="1" applyFill="1" applyAlignment="1">
      <alignment horizontal="left" vertical="center" indent="2"/>
    </xf>
    <xf numFmtId="0" fontId="42" fillId="0" borderId="0" xfId="0" applyFont="1" applyAlignment="1">
      <alignment horizontal="left" vertical="top" indent="2"/>
    </xf>
    <xf numFmtId="0" fontId="14" fillId="0" borderId="0" xfId="0" quotePrefix="1" applyFont="1"/>
    <xf numFmtId="44" fontId="14" fillId="0" borderId="0" xfId="1" applyNumberFormat="1" applyFont="1" applyAlignment="1">
      <alignment horizontal="right"/>
    </xf>
    <xf numFmtId="10" fontId="14" fillId="0" borderId="0" xfId="10" applyNumberFormat="1" applyFont="1" applyAlignment="1">
      <alignment horizontal="center"/>
    </xf>
    <xf numFmtId="43" fontId="14" fillId="2" borderId="0" xfId="1" applyFont="1" applyFill="1" applyBorder="1" applyAlignment="1"/>
    <xf numFmtId="0" fontId="42" fillId="2" borderId="0" xfId="0" quotePrefix="1" applyFont="1" applyFill="1" applyAlignment="1">
      <alignment horizontal="left" vertical="center" indent="2"/>
    </xf>
    <xf numFmtId="43" fontId="14" fillId="2" borderId="0" xfId="1" applyFont="1" applyFill="1" applyBorder="1" applyAlignment="1">
      <alignment horizontal="left" vertical="center" indent="2"/>
    </xf>
    <xf numFmtId="0" fontId="42" fillId="2" borderId="0" xfId="0" quotePrefix="1" applyFont="1" applyFill="1" applyAlignment="1">
      <alignment horizontal="left" vertical="top" indent="2"/>
    </xf>
    <xf numFmtId="0" fontId="42" fillId="2" borderId="0" xfId="0" applyFont="1" applyFill="1" applyAlignment="1">
      <alignment horizontal="left" indent="2"/>
    </xf>
    <xf numFmtId="0" fontId="14" fillId="2" borderId="0" xfId="0" quotePrefix="1" applyFont="1" applyFill="1"/>
    <xf numFmtId="44" fontId="14" fillId="2" borderId="0" xfId="1" applyNumberFormat="1" applyFont="1" applyFill="1" applyAlignment="1">
      <alignment horizontal="right"/>
    </xf>
    <xf numFmtId="2" fontId="14" fillId="2" borderId="0" xfId="0" quotePrefix="1" applyNumberFormat="1" applyFont="1" applyFill="1" applyAlignment="1">
      <alignment horizontal="center"/>
    </xf>
    <xf numFmtId="10" fontId="14" fillId="2" borderId="0" xfId="10" applyNumberFormat="1" applyFont="1" applyFill="1" applyAlignment="1">
      <alignment horizontal="center"/>
    </xf>
    <xf numFmtId="43" fontId="14" fillId="2" borderId="5" xfId="1" applyFont="1" applyFill="1" applyBorder="1" applyAlignment="1"/>
    <xf numFmtId="0" fontId="42" fillId="2" borderId="0" xfId="0" applyFont="1" applyFill="1" applyAlignment="1">
      <alignment horizontal="left" vertical="top" indent="2"/>
    </xf>
    <xf numFmtId="178" fontId="19" fillId="0" borderId="1" xfId="1" applyNumberFormat="1" applyFont="1" applyBorder="1" applyAlignment="1">
      <alignment horizontal="center"/>
    </xf>
    <xf numFmtId="0" fontId="37" fillId="0" borderId="0" xfId="0" applyFont="1"/>
    <xf numFmtId="0" fontId="37" fillId="2" borderId="0" xfId="0" applyFont="1" applyFill="1"/>
    <xf numFmtId="0" fontId="37" fillId="2" borderId="0" xfId="0" quotePrefix="1" applyFont="1" applyFill="1" applyAlignment="1">
      <alignment horizontal="left"/>
    </xf>
    <xf numFmtId="0" fontId="37" fillId="0" borderId="0" xfId="0" quotePrefix="1" applyFont="1" applyAlignment="1">
      <alignment horizontal="left"/>
    </xf>
    <xf numFmtId="43" fontId="14" fillId="0" borderId="0" xfId="1" applyFont="1"/>
    <xf numFmtId="41" fontId="14" fillId="2" borderId="1" xfId="0" applyNumberFormat="1" applyFont="1" applyFill="1" applyBorder="1"/>
    <xf numFmtId="41" fontId="14" fillId="2" borderId="0" xfId="0" applyNumberFormat="1" applyFont="1" applyFill="1"/>
    <xf numFmtId="166" fontId="14" fillId="2" borderId="0" xfId="0" applyNumberFormat="1" applyFont="1" applyFill="1" applyAlignment="1">
      <alignment horizontal="center"/>
    </xf>
    <xf numFmtId="166" fontId="14" fillId="0" borderId="0" xfId="0" applyNumberFormat="1" applyFont="1" applyAlignment="1">
      <alignment horizontal="center"/>
    </xf>
    <xf numFmtId="0" fontId="5" fillId="0" borderId="0" xfId="0" quotePrefix="1" applyFont="1" applyAlignment="1">
      <alignment horizontal="left"/>
    </xf>
    <xf numFmtId="43" fontId="16" fillId="0" borderId="0" xfId="1" applyFont="1" applyFill="1" applyBorder="1" applyAlignment="1"/>
    <xf numFmtId="0" fontId="16" fillId="0" borderId="0" xfId="0" applyFont="1" applyAlignment="1">
      <alignment horizontal="right"/>
    </xf>
    <xf numFmtId="7" fontId="44" fillId="0" borderId="0" xfId="0" quotePrefix="1" applyNumberFormat="1" applyFont="1" applyAlignment="1">
      <alignment horizontal="center"/>
    </xf>
    <xf numFmtId="17" fontId="44" fillId="0" borderId="0" xfId="0" quotePrefix="1" applyNumberFormat="1" applyFont="1" applyAlignment="1">
      <alignment horizontal="center"/>
    </xf>
    <xf numFmtId="7" fontId="44" fillId="0" borderId="0" xfId="0" applyNumberFormat="1" applyFont="1" applyAlignment="1">
      <alignment horizontal="center"/>
    </xf>
    <xf numFmtId="2" fontId="16" fillId="0" borderId="0" xfId="0" quotePrefix="1" applyNumberFormat="1" applyFont="1" applyAlignment="1">
      <alignment horizontal="center"/>
    </xf>
    <xf numFmtId="0" fontId="45" fillId="0" borderId="0" xfId="0" quotePrefix="1" applyFont="1" applyAlignment="1">
      <alignment horizontal="center"/>
    </xf>
    <xf numFmtId="0" fontId="14" fillId="0" borderId="0" xfId="0" quotePrefix="1" applyFont="1" applyAlignment="1">
      <alignment horizontal="left" wrapText="1"/>
    </xf>
    <xf numFmtId="2" fontId="39" fillId="0" borderId="0" xfId="0" applyNumberFormat="1" applyFont="1" applyAlignment="1">
      <alignment horizontal="left" indent="3"/>
    </xf>
    <xf numFmtId="2" fontId="24" fillId="2" borderId="0" xfId="0" applyNumberFormat="1" applyFont="1" applyFill="1" applyAlignment="1">
      <alignment horizontal="left"/>
    </xf>
    <xf numFmtId="0" fontId="14" fillId="2" borderId="0" xfId="0" quotePrefix="1" applyFont="1" applyFill="1" applyAlignment="1">
      <alignment horizontal="left" wrapText="1"/>
    </xf>
    <xf numFmtId="7" fontId="20" fillId="0" borderId="1" xfId="0" quotePrefix="1" applyNumberFormat="1" applyFont="1" applyBorder="1" applyAlignment="1">
      <alignment horizontal="center"/>
    </xf>
    <xf numFmtId="43" fontId="31" fillId="0" borderId="0" xfId="7" applyNumberFormat="1" applyFont="1"/>
    <xf numFmtId="49" fontId="17" fillId="0" borderId="0" xfId="0" quotePrefix="1" applyNumberFormat="1" applyFont="1" applyFill="1" applyAlignment="1">
      <alignment horizontal="left" indent="1"/>
    </xf>
    <xf numFmtId="0" fontId="18" fillId="2" borderId="7" xfId="0" quotePrefix="1" applyFont="1" applyFill="1" applyBorder="1" applyAlignment="1">
      <alignment horizontal="left"/>
    </xf>
    <xf numFmtId="0" fontId="14" fillId="0" borderId="1" xfId="0" quotePrefix="1" applyFont="1" applyBorder="1" applyAlignment="1">
      <alignment horizontal="center"/>
    </xf>
    <xf numFmtId="0" fontId="14" fillId="0" borderId="0" xfId="0" applyFont="1" applyAlignment="1">
      <alignment horizontal="left"/>
    </xf>
    <xf numFmtId="0" fontId="14" fillId="0" borderId="1" xfId="0" applyFont="1" applyBorder="1" applyAlignment="1">
      <alignment horizontal="center"/>
    </xf>
    <xf numFmtId="0" fontId="14" fillId="0" borderId="0" xfId="0" quotePrefix="1" applyFont="1" applyAlignment="1">
      <alignment horizontal="left"/>
    </xf>
    <xf numFmtId="0" fontId="14" fillId="0" borderId="0" xfId="0" applyFont="1" applyAlignment="1">
      <alignment horizontal="center"/>
    </xf>
    <xf numFmtId="0" fontId="14" fillId="0" borderId="0" xfId="0" quotePrefix="1" applyFont="1" applyAlignment="1">
      <alignment horizontal="center"/>
    </xf>
    <xf numFmtId="0" fontId="14" fillId="0" borderId="0" xfId="0" applyFont="1" applyAlignment="1">
      <alignment horizontal="right"/>
    </xf>
    <xf numFmtId="0" fontId="14" fillId="2" borderId="0" xfId="0" applyFont="1" applyFill="1" applyAlignment="1">
      <alignment horizontal="left"/>
    </xf>
    <xf numFmtId="166" fontId="19" fillId="2" borderId="0" xfId="0" applyNumberFormat="1" applyFont="1" applyFill="1" applyAlignment="1">
      <alignment horizontal="left"/>
    </xf>
    <xf numFmtId="0" fontId="14" fillId="2" borderId="0" xfId="0" applyFont="1" applyFill="1" applyAlignment="1">
      <alignment horizontal="right"/>
    </xf>
    <xf numFmtId="0" fontId="14" fillId="2" borderId="0" xfId="0" applyFont="1" applyFill="1" applyAlignment="1">
      <alignment horizontal="center"/>
    </xf>
    <xf numFmtId="0" fontId="14" fillId="2" borderId="1" xfId="0" quotePrefix="1" applyFont="1" applyFill="1" applyBorder="1" applyAlignment="1">
      <alignment horizontal="center"/>
    </xf>
    <xf numFmtId="0" fontId="14" fillId="0" borderId="0" xfId="0" quotePrefix="1" applyFont="1" applyAlignment="1">
      <alignment horizontal="left"/>
    </xf>
    <xf numFmtId="0" fontId="14" fillId="2" borderId="0" xfId="0" applyFont="1" applyFill="1" applyAlignment="1">
      <alignment horizontal="left"/>
    </xf>
    <xf numFmtId="0" fontId="14" fillId="2" borderId="0" xfId="0" quotePrefix="1" applyFont="1" applyFill="1" applyAlignment="1">
      <alignment horizontal="left"/>
    </xf>
    <xf numFmtId="0" fontId="46" fillId="0" borderId="0" xfId="0" quotePrefix="1" applyFont="1" applyAlignment="1">
      <alignment horizontal="center"/>
    </xf>
    <xf numFmtId="0" fontId="46" fillId="0" borderId="1" xfId="0" quotePrefix="1" applyFont="1" applyBorder="1" applyAlignment="1">
      <alignment horizontal="center"/>
    </xf>
    <xf numFmtId="7" fontId="14" fillId="0" borderId="0" xfId="0" quotePrefix="1" applyNumberFormat="1" applyFont="1" applyAlignment="1">
      <alignment horizontal="center"/>
    </xf>
    <xf numFmtId="170" fontId="46" fillId="6" borderId="0" xfId="6" applyNumberFormat="1" applyFont="1" applyFill="1" applyBorder="1" applyAlignment="1"/>
    <xf numFmtId="0" fontId="16" fillId="0" borderId="0" xfId="0" applyFont="1" applyFill="1" applyBorder="1"/>
    <xf numFmtId="0" fontId="14" fillId="2" borderId="1" xfId="0" applyFont="1" applyFill="1" applyBorder="1"/>
    <xf numFmtId="170" fontId="46" fillId="2" borderId="1" xfId="6" applyNumberFormat="1" applyFont="1" applyFill="1" applyBorder="1" applyAlignment="1"/>
    <xf numFmtId="0" fontId="17" fillId="2" borderId="0" xfId="0" quotePrefix="1" applyFont="1" applyFill="1" applyAlignment="1">
      <alignment horizontal="left"/>
    </xf>
    <xf numFmtId="0" fontId="16" fillId="2" borderId="0" xfId="0" quotePrefix="1" applyFont="1" applyFill="1" applyAlignment="1">
      <alignment horizontal="center"/>
    </xf>
    <xf numFmtId="166" fontId="19" fillId="2" borderId="0" xfId="0" applyNumberFormat="1" applyFont="1" applyFill="1" applyAlignment="1">
      <alignment horizontal="center"/>
    </xf>
    <xf numFmtId="7" fontId="16" fillId="2" borderId="0" xfId="0" quotePrefix="1" applyNumberFormat="1" applyFont="1" applyFill="1" applyBorder="1" applyAlignment="1">
      <alignment horizontal="center"/>
    </xf>
    <xf numFmtId="17" fontId="16" fillId="2" borderId="0" xfId="0" quotePrefix="1" applyNumberFormat="1" applyFont="1" applyFill="1" applyBorder="1" applyAlignment="1">
      <alignment horizontal="center"/>
    </xf>
    <xf numFmtId="7" fontId="16" fillId="2" borderId="0" xfId="0" applyNumberFormat="1" applyFont="1" applyFill="1" applyBorder="1" applyAlignment="1">
      <alignment horizontal="center"/>
    </xf>
    <xf numFmtId="0" fontId="16" fillId="2" borderId="0" xfId="0" quotePrefix="1" applyFont="1" applyFill="1" applyBorder="1" applyAlignment="1">
      <alignment horizontal="center"/>
    </xf>
    <xf numFmtId="169" fontId="14" fillId="2" borderId="0" xfId="0" quotePrefix="1" applyNumberFormat="1" applyFont="1" applyFill="1" applyBorder="1" applyAlignment="1">
      <alignment horizontal="center"/>
    </xf>
    <xf numFmtId="2" fontId="14" fillId="2" borderId="0" xfId="0" quotePrefix="1" applyNumberFormat="1" applyFont="1" applyFill="1" applyBorder="1" applyAlignment="1">
      <alignment horizontal="center"/>
    </xf>
    <xf numFmtId="0" fontId="46" fillId="2" borderId="1" xfId="0" quotePrefix="1" applyFont="1" applyFill="1" applyBorder="1" applyAlignment="1">
      <alignment horizontal="center"/>
    </xf>
    <xf numFmtId="44" fontId="14" fillId="2" borderId="8" xfId="0" applyNumberFormat="1" applyFont="1" applyFill="1" applyBorder="1"/>
    <xf numFmtId="164" fontId="14" fillId="2" borderId="5" xfId="6" applyNumberFormat="1" applyFont="1" applyFill="1" applyBorder="1" applyAlignment="1"/>
    <xf numFmtId="164" fontId="14" fillId="2" borderId="1" xfId="6" applyNumberFormat="1" applyFont="1" applyFill="1" applyBorder="1" applyAlignment="1"/>
    <xf numFmtId="164" fontId="14" fillId="2" borderId="1" xfId="0" applyNumberFormat="1" applyFont="1" applyFill="1" applyBorder="1"/>
    <xf numFmtId="164" fontId="14" fillId="2" borderId="6" xfId="6" applyNumberFormat="1" applyFont="1" applyFill="1" applyBorder="1" applyAlignment="1"/>
    <xf numFmtId="164" fontId="14" fillId="2" borderId="3" xfId="6" applyNumberFormat="1" applyFont="1" applyFill="1" applyBorder="1" applyAlignment="1"/>
    <xf numFmtId="164" fontId="14" fillId="2" borderId="0" xfId="6" applyNumberFormat="1" applyFont="1" applyFill="1" applyBorder="1" applyAlignment="1"/>
    <xf numFmtId="164" fontId="14" fillId="2" borderId="0" xfId="0" applyNumberFormat="1" applyFont="1" applyFill="1"/>
    <xf numFmtId="4" fontId="14" fillId="2" borderId="1" xfId="0" applyNumberFormat="1" applyFont="1" applyFill="1" applyBorder="1"/>
    <xf numFmtId="164" fontId="14" fillId="2" borderId="8" xfId="0" applyNumberFormat="1" applyFont="1" applyFill="1" applyBorder="1"/>
    <xf numFmtId="0" fontId="47" fillId="0" borderId="0" xfId="0" quotePrefix="1" applyFont="1" applyAlignment="1">
      <alignment horizontal="left" vertical="center" indent="2"/>
    </xf>
    <xf numFmtId="0" fontId="47" fillId="0" borderId="0" xfId="0" applyFont="1" applyAlignment="1">
      <alignment horizontal="left" vertical="top" indent="2"/>
    </xf>
    <xf numFmtId="0" fontId="47" fillId="0" borderId="0" xfId="0" quotePrefix="1" applyFont="1" applyAlignment="1">
      <alignment horizontal="left" vertical="top" indent="2"/>
    </xf>
    <xf numFmtId="0" fontId="14" fillId="0" borderId="1" xfId="0" quotePrefix="1" applyFont="1" applyBorder="1" applyAlignment="1">
      <alignment horizontal="center"/>
    </xf>
    <xf numFmtId="0" fontId="14" fillId="0" borderId="0" xfId="0" applyFont="1" applyAlignment="1">
      <alignment horizontal="left"/>
    </xf>
    <xf numFmtId="2" fontId="14" fillId="0" borderId="0" xfId="0" applyNumberFormat="1" applyFont="1" applyAlignment="1">
      <alignment horizontal="center"/>
    </xf>
    <xf numFmtId="0" fontId="14" fillId="0" borderId="1" xfId="0" applyFont="1" applyBorder="1" applyAlignment="1">
      <alignment horizontal="center"/>
    </xf>
    <xf numFmtId="0" fontId="14" fillId="0" borderId="0" xfId="0" quotePrefix="1" applyFont="1" applyAlignment="1">
      <alignment horizontal="left"/>
    </xf>
    <xf numFmtId="0" fontId="14" fillId="0" borderId="0" xfId="0" applyFont="1" applyAlignment="1">
      <alignment horizontal="center"/>
    </xf>
    <xf numFmtId="0" fontId="14" fillId="0" borderId="0" xfId="0" quotePrefix="1" applyFont="1" applyAlignment="1">
      <alignment horizontal="center"/>
    </xf>
    <xf numFmtId="0" fontId="14" fillId="0" borderId="0" xfId="0" applyFont="1" applyAlignment="1">
      <alignment horizontal="right"/>
    </xf>
    <xf numFmtId="0" fontId="48" fillId="0" borderId="0" xfId="0" applyFont="1" applyAlignment="1">
      <alignment horizontal="left" vertical="center"/>
    </xf>
    <xf numFmtId="0" fontId="50" fillId="0" borderId="0" xfId="0" applyFont="1" applyAlignment="1">
      <alignment horizontal="left" vertical="center" wrapText="1"/>
    </xf>
    <xf numFmtId="49" fontId="17" fillId="0" borderId="0" xfId="0" quotePrefix="1" applyNumberFormat="1" applyFont="1" applyFill="1"/>
    <xf numFmtId="49" fontId="31" fillId="4" borderId="0" xfId="0" quotePrefix="1" applyNumberFormat="1" applyFont="1" applyFill="1" applyAlignment="1">
      <alignment horizontal="left"/>
    </xf>
    <xf numFmtId="49" fontId="33" fillId="2" borderId="0" xfId="0" quotePrefix="1" applyNumberFormat="1" applyFont="1" applyFill="1" applyBorder="1" applyAlignment="1">
      <alignment horizontal="center"/>
    </xf>
    <xf numFmtId="0" fontId="33" fillId="2" borderId="23" xfId="0" applyFont="1" applyFill="1" applyBorder="1"/>
    <xf numFmtId="0" fontId="33" fillId="2" borderId="14" xfId="0" applyFont="1" applyFill="1" applyBorder="1"/>
    <xf numFmtId="0" fontId="18" fillId="2" borderId="15" xfId="0" applyFont="1" applyFill="1" applyBorder="1"/>
    <xf numFmtId="0" fontId="34" fillId="2" borderId="13" xfId="0" quotePrefix="1" applyFont="1" applyFill="1" applyBorder="1" applyAlignment="1">
      <alignment horizontal="left" indent="2"/>
    </xf>
    <xf numFmtId="0" fontId="17" fillId="0" borderId="0" xfId="0" quotePrefix="1" applyFont="1" applyFill="1" applyAlignment="1">
      <alignment horizontal="left" vertical="center" indent="1"/>
    </xf>
    <xf numFmtId="43" fontId="17" fillId="0" borderId="0" xfId="0" applyNumberFormat="1" applyFont="1" applyBorder="1"/>
    <xf numFmtId="0" fontId="18" fillId="2" borderId="0" xfId="0" quotePrefix="1" applyFont="1" applyFill="1" applyBorder="1" applyAlignment="1">
      <alignment vertical="top" wrapText="1"/>
    </xf>
    <xf numFmtId="0" fontId="18" fillId="2" borderId="14" xfId="0" quotePrefix="1" applyFont="1" applyFill="1" applyBorder="1" applyAlignment="1">
      <alignment vertical="top" wrapText="1"/>
    </xf>
    <xf numFmtId="43" fontId="34" fillId="0" borderId="0" xfId="0" quotePrefix="1" applyNumberFormat="1" applyFont="1" applyAlignment="1">
      <alignment horizontal="left"/>
    </xf>
    <xf numFmtId="0" fontId="2" fillId="0" borderId="0" xfId="12"/>
    <xf numFmtId="0" fontId="2" fillId="0" borderId="0" xfId="12" applyAlignment="1">
      <alignment horizontal="center"/>
    </xf>
    <xf numFmtId="43" fontId="0" fillId="0" borderId="0" xfId="13" applyFont="1"/>
    <xf numFmtId="43" fontId="2" fillId="0" borderId="0" xfId="12" applyNumberFormat="1"/>
    <xf numFmtId="43" fontId="3" fillId="0" borderId="0" xfId="13" applyFont="1"/>
    <xf numFmtId="0" fontId="52" fillId="0" borderId="0" xfId="12" applyFont="1"/>
    <xf numFmtId="43" fontId="52" fillId="0" borderId="0" xfId="12" applyNumberFormat="1" applyFont="1"/>
    <xf numFmtId="43" fontId="52" fillId="0" borderId="1" xfId="12" applyNumberFormat="1" applyFont="1" applyBorder="1"/>
    <xf numFmtId="0" fontId="51" fillId="0" borderId="0" xfId="12" applyFont="1"/>
    <xf numFmtId="0" fontId="51" fillId="0" borderId="0" xfId="12" applyFont="1" applyAlignment="1">
      <alignment horizontal="center"/>
    </xf>
    <xf numFmtId="0" fontId="51" fillId="0" borderId="0" xfId="12" applyFont="1" applyAlignment="1">
      <alignment horizontal="center" wrapText="1"/>
    </xf>
    <xf numFmtId="0" fontId="52" fillId="0" borderId="0" xfId="12" applyFont="1" applyAlignment="1">
      <alignment horizontal="right"/>
    </xf>
    <xf numFmtId="49" fontId="18" fillId="2" borderId="0" xfId="0" quotePrefix="1" applyNumberFormat="1" applyFont="1" applyFill="1" applyAlignment="1">
      <alignment horizontal="center"/>
    </xf>
    <xf numFmtId="43" fontId="52" fillId="0" borderId="0" xfId="1" applyFont="1"/>
    <xf numFmtId="43" fontId="2" fillId="0" borderId="0" xfId="12" applyNumberFormat="1" applyFill="1"/>
    <xf numFmtId="43" fontId="3" fillId="0" borderId="0" xfId="1" applyFont="1"/>
    <xf numFmtId="43" fontId="55" fillId="0" borderId="0" xfId="1" applyFont="1"/>
    <xf numFmtId="43" fontId="55" fillId="0" borderId="0" xfId="13" applyFont="1"/>
    <xf numFmtId="0" fontId="52" fillId="0" borderId="0" xfId="12" applyFont="1" applyAlignment="1">
      <alignment horizontal="left"/>
    </xf>
    <xf numFmtId="43" fontId="53" fillId="0" borderId="0" xfId="13" applyFont="1" applyAlignment="1">
      <alignment horizontal="center"/>
    </xf>
    <xf numFmtId="43" fontId="54" fillId="0" borderId="0" xfId="1" applyFont="1" applyAlignment="1">
      <alignment horizontal="center"/>
    </xf>
    <xf numFmtId="4" fontId="14" fillId="0" borderId="0" xfId="0" quotePrefix="1" applyNumberFormat="1" applyFont="1" applyAlignment="1">
      <alignment horizontal="center"/>
    </xf>
    <xf numFmtId="0" fontId="14" fillId="0" borderId="0" xfId="0" applyFont="1" applyAlignment="1">
      <alignment horizontal="center"/>
    </xf>
    <xf numFmtId="0" fontId="14" fillId="0" borderId="0" xfId="0" applyFont="1" applyAlignment="1">
      <alignment horizontal="left"/>
    </xf>
    <xf numFmtId="0" fontId="14" fillId="0" borderId="0" xfId="0" quotePrefix="1" applyFont="1" applyAlignment="1">
      <alignment horizontal="left"/>
    </xf>
    <xf numFmtId="0" fontId="14" fillId="2" borderId="0" xfId="0" applyFont="1" applyFill="1" applyAlignment="1">
      <alignment horizontal="right"/>
    </xf>
    <xf numFmtId="0" fontId="14" fillId="2" borderId="0" xfId="0" applyFont="1" applyFill="1" applyAlignment="1">
      <alignment horizontal="left"/>
    </xf>
    <xf numFmtId="0" fontId="14" fillId="2" borderId="0" xfId="0" quotePrefix="1" applyFont="1" applyFill="1" applyAlignment="1">
      <alignment horizontal="left"/>
    </xf>
    <xf numFmtId="0" fontId="14" fillId="2" borderId="0" xfId="0" applyFont="1" applyFill="1" applyAlignment="1">
      <alignment horizontal="center"/>
    </xf>
    <xf numFmtId="41" fontId="14" fillId="2" borderId="0" xfId="0" applyNumberFormat="1" applyFont="1" applyFill="1" applyBorder="1"/>
    <xf numFmtId="41" fontId="14" fillId="2" borderId="5" xfId="0" applyNumberFormat="1" applyFont="1" applyFill="1" applyBorder="1"/>
    <xf numFmtId="43" fontId="31" fillId="4" borderId="0" xfId="7" applyNumberFormat="1" applyFont="1" applyFill="1"/>
    <xf numFmtId="43" fontId="2" fillId="0" borderId="0" xfId="1" applyFont="1"/>
    <xf numFmtId="0" fontId="56" fillId="0" borderId="0" xfId="12" applyFont="1"/>
    <xf numFmtId="43" fontId="0" fillId="0" borderId="0" xfId="13" applyFont="1" applyFill="1"/>
    <xf numFmtId="43" fontId="52" fillId="0" borderId="0" xfId="1" applyFont="1" applyFill="1"/>
    <xf numFmtId="43" fontId="2" fillId="0" borderId="0" xfId="1" applyFont="1" applyFill="1"/>
    <xf numFmtId="43" fontId="14" fillId="0" borderId="0" xfId="0" applyNumberFormat="1" applyFont="1" applyAlignment="1">
      <alignment horizontal="right"/>
    </xf>
    <xf numFmtId="49" fontId="15" fillId="0" borderId="0" xfId="0" applyNumberFormat="1" applyFont="1"/>
    <xf numFmtId="43" fontId="0" fillId="3" borderId="0" xfId="13" applyFont="1" applyFill="1"/>
    <xf numFmtId="0" fontId="2" fillId="3" borderId="0" xfId="12" applyFill="1"/>
    <xf numFmtId="0" fontId="1" fillId="3" borderId="0" xfId="12" applyFont="1" applyFill="1"/>
    <xf numFmtId="0" fontId="2" fillId="3" borderId="0" xfId="12" applyFill="1" applyAlignment="1">
      <alignment horizontal="center"/>
    </xf>
    <xf numFmtId="0" fontId="18" fillId="0" borderId="0" xfId="0" quotePrefix="1" applyFont="1" applyAlignment="1">
      <alignment horizontal="center"/>
    </xf>
    <xf numFmtId="0" fontId="33" fillId="0" borderId="18" xfId="0" quotePrefix="1" applyFont="1" applyBorder="1" applyAlignment="1">
      <alignment horizontal="center"/>
    </xf>
    <xf numFmtId="0" fontId="33" fillId="0" borderId="19" xfId="0" quotePrefix="1" applyFont="1" applyBorder="1" applyAlignment="1">
      <alignment horizontal="center"/>
    </xf>
    <xf numFmtId="0" fontId="33" fillId="0" borderId="20" xfId="0" quotePrefix="1" applyFont="1" applyBorder="1" applyAlignment="1">
      <alignment horizontal="center"/>
    </xf>
    <xf numFmtId="49" fontId="33" fillId="0" borderId="4" xfId="7" quotePrefix="1" applyNumberFormat="1" applyFont="1" applyBorder="1" applyAlignment="1">
      <alignment horizontal="center"/>
    </xf>
    <xf numFmtId="49" fontId="33" fillId="0" borderId="4" xfId="7" applyNumberFormat="1" applyFont="1" applyBorder="1" applyAlignment="1">
      <alignment horizontal="center"/>
    </xf>
    <xf numFmtId="2" fontId="39" fillId="0" borderId="0" xfId="0" applyNumberFormat="1" applyFont="1" applyAlignment="1">
      <alignment horizontal="left" indent="3"/>
    </xf>
    <xf numFmtId="4" fontId="14" fillId="0" borderId="0" xfId="0" quotePrefix="1" applyNumberFormat="1" applyFont="1" applyAlignment="1">
      <alignment horizontal="center"/>
    </xf>
    <xf numFmtId="0" fontId="37" fillId="0" borderId="0" xfId="0" quotePrefix="1" applyFont="1" applyAlignment="1">
      <alignment horizontal="right"/>
    </xf>
    <xf numFmtId="0" fontId="37" fillId="0" borderId="0" xfId="0" applyFont="1" applyAlignment="1">
      <alignment horizontal="right"/>
    </xf>
    <xf numFmtId="0" fontId="48" fillId="0" borderId="0" xfId="0" applyFont="1" applyAlignment="1">
      <alignment horizontal="left" vertical="center"/>
    </xf>
    <xf numFmtId="0" fontId="48" fillId="0" borderId="0" xfId="0" applyFont="1" applyAlignment="1">
      <alignment horizontal="left" vertical="center" wrapText="1"/>
    </xf>
    <xf numFmtId="0" fontId="14" fillId="0" borderId="6" xfId="0" applyFont="1" applyBorder="1" applyAlignment="1">
      <alignment horizontal="left" indent="2"/>
    </xf>
    <xf numFmtId="7" fontId="14" fillId="0" borderId="6" xfId="0" applyNumberFormat="1" applyFont="1" applyBorder="1" applyAlignment="1">
      <alignment horizontal="right"/>
    </xf>
    <xf numFmtId="0" fontId="14" fillId="0" borderId="0" xfId="0" applyFont="1" applyAlignment="1">
      <alignment horizontal="center"/>
    </xf>
    <xf numFmtId="0" fontId="14" fillId="0" borderId="1" xfId="0" applyFont="1" applyBorder="1" applyAlignment="1">
      <alignment horizontal="center"/>
    </xf>
    <xf numFmtId="0" fontId="14" fillId="0" borderId="0" xfId="0" quotePrefix="1" applyFont="1" applyAlignment="1">
      <alignment horizontal="center"/>
    </xf>
    <xf numFmtId="0" fontId="15" fillId="0" borderId="7" xfId="0" applyFont="1" applyBorder="1" applyAlignment="1">
      <alignment horizontal="left"/>
    </xf>
    <xf numFmtId="0" fontId="15" fillId="0" borderId="0" xfId="0" applyFont="1" applyAlignment="1">
      <alignment horizontal="left"/>
    </xf>
    <xf numFmtId="4" fontId="14" fillId="0" borderId="0" xfId="0" applyNumberFormat="1" applyFont="1"/>
    <xf numFmtId="4" fontId="15" fillId="0" borderId="0" xfId="0" applyNumberFormat="1" applyFont="1" applyAlignment="1">
      <alignment horizontal="left"/>
    </xf>
    <xf numFmtId="4" fontId="14" fillId="0" borderId="0" xfId="0" quotePrefix="1" applyNumberFormat="1" applyFont="1" applyAlignment="1">
      <alignment horizontal="left"/>
    </xf>
    <xf numFmtId="168" fontId="14" fillId="0" borderId="0" xfId="0" applyNumberFormat="1" applyFont="1" applyAlignment="1">
      <alignment horizontal="center" wrapText="1"/>
    </xf>
    <xf numFmtId="0" fontId="14" fillId="0" borderId="1" xfId="0" applyFont="1" applyBorder="1" applyAlignment="1">
      <alignment horizontal="left" wrapText="1"/>
    </xf>
    <xf numFmtId="168" fontId="14" fillId="0" borderId="1" xfId="0" applyNumberFormat="1" applyFont="1" applyBorder="1" applyAlignment="1">
      <alignment horizontal="center" wrapText="1"/>
    </xf>
    <xf numFmtId="0" fontId="14" fillId="0" borderId="1" xfId="0" quotePrefix="1" applyFont="1" applyBorder="1" applyAlignment="1">
      <alignment horizontal="center"/>
    </xf>
    <xf numFmtId="168" fontId="14" fillId="0" borderId="1" xfId="0" quotePrefix="1" applyNumberFormat="1" applyFont="1" applyBorder="1" applyAlignment="1">
      <alignment horizontal="center"/>
    </xf>
    <xf numFmtId="0" fontId="14" fillId="0" borderId="6" xfId="0" applyFont="1" applyBorder="1" applyAlignment="1">
      <alignment horizontal="left"/>
    </xf>
    <xf numFmtId="168" fontId="14" fillId="0" borderId="6" xfId="0" applyNumberFormat="1" applyFont="1" applyBorder="1" applyAlignment="1">
      <alignment horizontal="center"/>
    </xf>
    <xf numFmtId="0" fontId="14" fillId="0" borderId="0" xfId="0" applyFont="1" applyAlignment="1">
      <alignment horizontal="left"/>
    </xf>
    <xf numFmtId="168" fontId="14" fillId="0" borderId="0" xfId="0" applyNumberFormat="1" applyFont="1" applyAlignment="1">
      <alignment horizontal="center"/>
    </xf>
    <xf numFmtId="0" fontId="14" fillId="0" borderId="0" xfId="0" quotePrefix="1" applyFont="1" applyAlignment="1">
      <alignment horizontal="left" indent="2"/>
    </xf>
    <xf numFmtId="0" fontId="14" fillId="0" borderId="0" xfId="0" applyFont="1" applyAlignment="1">
      <alignment horizontal="left" indent="2"/>
    </xf>
    <xf numFmtId="2" fontId="14" fillId="0" borderId="0" xfId="0" applyNumberFormat="1" applyFont="1" applyAlignment="1">
      <alignment horizontal="center"/>
    </xf>
    <xf numFmtId="0" fontId="14" fillId="0" borderId="0" xfId="0" applyFont="1" applyAlignment="1">
      <alignment horizontal="left" wrapText="1"/>
    </xf>
    <xf numFmtId="0" fontId="14" fillId="0" borderId="0" xfId="0" quotePrefix="1" applyFont="1" applyAlignment="1">
      <alignment horizontal="left"/>
    </xf>
    <xf numFmtId="0" fontId="37" fillId="0" borderId="0" xfId="0" quotePrefix="1" applyFont="1" applyAlignment="1">
      <alignment horizontal="center"/>
    </xf>
    <xf numFmtId="174" fontId="14" fillId="0" borderId="9" xfId="0" applyNumberFormat="1" applyFont="1" applyBorder="1"/>
    <xf numFmtId="0" fontId="14" fillId="0" borderId="0" xfId="0" quotePrefix="1" applyFont="1" applyAlignment="1">
      <alignment horizontal="left" wrapText="1"/>
    </xf>
    <xf numFmtId="0" fontId="16" fillId="0" borderId="6" xfId="0" applyFont="1" applyBorder="1" applyAlignment="1">
      <alignment horizontal="left" vertical="center" wrapText="1"/>
    </xf>
    <xf numFmtId="0" fontId="16" fillId="0" borderId="0" xfId="0" applyFont="1" applyAlignment="1">
      <alignment horizontal="left" vertical="center" wrapText="1"/>
    </xf>
    <xf numFmtId="0" fontId="14" fillId="0" borderId="0" xfId="0" applyFont="1" applyAlignment="1">
      <alignment horizontal="right"/>
    </xf>
    <xf numFmtId="0" fontId="49" fillId="0" borderId="0" xfId="0" applyFont="1" applyFill="1" applyAlignment="1">
      <alignment horizontal="left" vertical="center" wrapText="1"/>
    </xf>
    <xf numFmtId="0" fontId="48" fillId="0" borderId="0" xfId="0" applyFont="1" applyFill="1" applyAlignment="1">
      <alignment horizontal="left" vertical="center" wrapText="1"/>
    </xf>
    <xf numFmtId="0" fontId="50" fillId="0" borderId="0" xfId="0" applyFont="1" applyAlignment="1">
      <alignment horizontal="left" vertical="center" wrapText="1"/>
    </xf>
    <xf numFmtId="0" fontId="49" fillId="0" borderId="0" xfId="0" applyFont="1" applyAlignment="1">
      <alignment horizontal="left" vertical="center" wrapText="1"/>
    </xf>
    <xf numFmtId="0" fontId="50" fillId="0" borderId="0" xfId="0" applyFont="1" applyAlignment="1">
      <alignment horizontal="left" vertical="center"/>
    </xf>
    <xf numFmtId="174" fontId="14" fillId="0" borderId="0" xfId="0" applyNumberFormat="1" applyFont="1"/>
    <xf numFmtId="3" fontId="14" fillId="0" borderId="0" xfId="0" quotePrefix="1" applyNumberFormat="1" applyFont="1" applyAlignment="1">
      <alignment horizontal="center"/>
    </xf>
    <xf numFmtId="7" fontId="14" fillId="0" borderId="0" xfId="0" applyNumberFormat="1" applyFont="1" applyAlignment="1">
      <alignment horizontal="right"/>
    </xf>
    <xf numFmtId="0" fontId="14" fillId="9" borderId="1" xfId="0" applyFont="1" applyFill="1" applyBorder="1" applyAlignment="1">
      <alignment horizontal="center"/>
    </xf>
    <xf numFmtId="0" fontId="14" fillId="2" borderId="0" xfId="0" quotePrefix="1" applyFont="1" applyFill="1" applyAlignment="1">
      <alignment horizontal="left"/>
    </xf>
    <xf numFmtId="0" fontId="14" fillId="2" borderId="0" xfId="0" applyFont="1" applyFill="1" applyAlignment="1">
      <alignment horizontal="left"/>
    </xf>
    <xf numFmtId="2" fontId="14" fillId="2" borderId="22" xfId="0" applyNumberFormat="1" applyFont="1" applyFill="1" applyBorder="1" applyAlignment="1">
      <alignment horizontal="center"/>
    </xf>
    <xf numFmtId="0" fontId="14" fillId="2" borderId="0" xfId="0" applyFont="1" applyFill="1" applyAlignment="1">
      <alignment horizontal="right"/>
    </xf>
    <xf numFmtId="4" fontId="23" fillId="2" borderId="0" xfId="0" applyNumberFormat="1" applyFont="1" applyFill="1" applyAlignment="1">
      <alignment horizontal="left"/>
    </xf>
    <xf numFmtId="166" fontId="19" fillId="2" borderId="0" xfId="0" applyNumberFormat="1" applyFont="1" applyFill="1" applyAlignment="1">
      <alignment horizontal="left"/>
    </xf>
    <xf numFmtId="168" fontId="14" fillId="2" borderId="0" xfId="0" quotePrefix="1" applyNumberFormat="1" applyFont="1" applyFill="1" applyAlignment="1">
      <alignment horizontal="left"/>
    </xf>
    <xf numFmtId="168" fontId="14" fillId="2" borderId="0" xfId="0" applyNumberFormat="1" applyFont="1" applyFill="1" applyAlignment="1">
      <alignment horizontal="left"/>
    </xf>
    <xf numFmtId="0" fontId="20" fillId="2" borderId="5" xfId="0" applyFont="1" applyFill="1" applyBorder="1" applyAlignment="1">
      <alignment horizontal="center"/>
    </xf>
    <xf numFmtId="0" fontId="14" fillId="2" borderId="1" xfId="0" applyFont="1" applyFill="1" applyBorder="1" applyAlignment="1">
      <alignment horizontal="center"/>
    </xf>
    <xf numFmtId="0" fontId="20" fillId="2" borderId="1" xfId="0" applyFont="1" applyFill="1" applyBorder="1" applyAlignment="1">
      <alignment horizontal="center"/>
    </xf>
    <xf numFmtId="169" fontId="37" fillId="2" borderId="0" xfId="0" applyNumberFormat="1" applyFont="1" applyFill="1" applyAlignment="1">
      <alignment horizontal="center"/>
    </xf>
    <xf numFmtId="165" fontId="14" fillId="2" borderId="7" xfId="4" applyFont="1" applyFill="1" applyBorder="1" applyAlignment="1">
      <alignment horizontal="right"/>
    </xf>
    <xf numFmtId="165" fontId="14" fillId="2" borderId="0" xfId="4" applyFont="1" applyFill="1" applyBorder="1" applyAlignment="1">
      <alignment horizontal="right"/>
    </xf>
    <xf numFmtId="2" fontId="24" fillId="2" borderId="0" xfId="0" applyNumberFormat="1" applyFont="1" applyFill="1" applyAlignment="1">
      <alignment horizontal="left"/>
    </xf>
    <xf numFmtId="4" fontId="14" fillId="2" borderId="0" xfId="0" quotePrefix="1" applyNumberFormat="1" applyFont="1" applyFill="1" applyAlignment="1">
      <alignment horizontal="left"/>
    </xf>
    <xf numFmtId="0" fontId="14" fillId="2" borderId="1" xfId="0" applyFont="1" applyFill="1" applyBorder="1" applyAlignment="1">
      <alignment horizontal="left"/>
    </xf>
    <xf numFmtId="2" fontId="14" fillId="2" borderId="0" xfId="0" applyNumberFormat="1" applyFont="1" applyFill="1" applyAlignment="1">
      <alignment horizontal="center"/>
    </xf>
    <xf numFmtId="0" fontId="16" fillId="2" borderId="6" xfId="0" applyFont="1" applyFill="1" applyBorder="1" applyAlignment="1">
      <alignment horizontal="left" vertical="center" wrapText="1"/>
    </xf>
    <xf numFmtId="0" fontId="16" fillId="2" borderId="0" xfId="0" applyFont="1" applyFill="1" applyAlignment="1">
      <alignment horizontal="left" vertical="center" wrapText="1"/>
    </xf>
    <xf numFmtId="2" fontId="21" fillId="2" borderId="1" xfId="0" applyNumberFormat="1" applyFont="1" applyFill="1" applyBorder="1" applyAlignment="1">
      <alignment horizontal="center"/>
    </xf>
    <xf numFmtId="4" fontId="20" fillId="2" borderId="1" xfId="0" applyNumberFormat="1" applyFont="1" applyFill="1" applyBorder="1" applyAlignment="1">
      <alignment horizontal="center" wrapText="1"/>
    </xf>
    <xf numFmtId="4" fontId="20" fillId="2" borderId="5" xfId="0" applyNumberFormat="1" applyFont="1" applyFill="1" applyBorder="1" applyAlignment="1">
      <alignment horizontal="center" wrapText="1"/>
    </xf>
    <xf numFmtId="4" fontId="20" fillId="2" borderId="21" xfId="0" applyNumberFormat="1" applyFont="1" applyFill="1" applyBorder="1" applyAlignment="1">
      <alignment horizontal="center" wrapText="1"/>
    </xf>
    <xf numFmtId="0" fontId="18" fillId="2" borderId="0" xfId="0" applyFont="1" applyFill="1" applyAlignment="1">
      <alignment horizontal="left"/>
    </xf>
    <xf numFmtId="0" fontId="18" fillId="0" borderId="0" xfId="0" applyFont="1" applyAlignment="1">
      <alignment horizontal="left"/>
    </xf>
    <xf numFmtId="0" fontId="32" fillId="2" borderId="0" xfId="0" applyFont="1" applyFill="1" applyAlignment="1">
      <alignment horizontal="left"/>
    </xf>
    <xf numFmtId="0" fontId="14" fillId="2" borderId="0" xfId="0" applyFont="1" applyFill="1" applyAlignment="1">
      <alignment horizontal="center"/>
    </xf>
    <xf numFmtId="7" fontId="14" fillId="2" borderId="6" xfId="0" applyNumberFormat="1" applyFont="1" applyFill="1" applyBorder="1" applyAlignment="1">
      <alignment horizontal="right"/>
    </xf>
    <xf numFmtId="7" fontId="14" fillId="2" borderId="0" xfId="0" applyNumberFormat="1" applyFont="1" applyFill="1" applyAlignment="1">
      <alignment horizontal="right"/>
    </xf>
    <xf numFmtId="0" fontId="20" fillId="2" borderId="0" xfId="0" applyFont="1" applyFill="1" applyAlignment="1">
      <alignment horizontal="right"/>
    </xf>
    <xf numFmtId="0" fontId="23" fillId="2" borderId="0" xfId="0" applyFont="1" applyFill="1" applyAlignment="1">
      <alignment horizontal="right"/>
    </xf>
    <xf numFmtId="0" fontId="23" fillId="2" borderId="0" xfId="0" quotePrefix="1" applyFont="1" applyFill="1" applyAlignment="1">
      <alignment horizontal="center"/>
    </xf>
    <xf numFmtId="0" fontId="23" fillId="2" borderId="0" xfId="0" applyFont="1" applyFill="1" applyAlignment="1">
      <alignment horizontal="center"/>
    </xf>
    <xf numFmtId="168" fontId="18" fillId="2" borderId="0" xfId="0" quotePrefix="1" applyNumberFormat="1" applyFont="1" applyFill="1" applyAlignment="1">
      <alignment horizontal="left"/>
    </xf>
    <xf numFmtId="168" fontId="18" fillId="2" borderId="0" xfId="0" applyNumberFormat="1" applyFont="1" applyFill="1" applyAlignment="1">
      <alignment horizontal="left"/>
    </xf>
    <xf numFmtId="168" fontId="43" fillId="2" borderId="0" xfId="0" quotePrefix="1" applyNumberFormat="1" applyFont="1" applyFill="1" applyAlignment="1">
      <alignment horizontal="left"/>
    </xf>
    <xf numFmtId="168" fontId="43" fillId="2" borderId="0" xfId="0" applyNumberFormat="1" applyFont="1" applyFill="1" applyAlignment="1">
      <alignment horizontal="left"/>
    </xf>
    <xf numFmtId="0" fontId="14" fillId="2" borderId="0" xfId="0" quotePrefix="1" applyFont="1" applyFill="1" applyAlignment="1">
      <alignment horizontal="left" wrapText="1"/>
    </xf>
    <xf numFmtId="0" fontId="14" fillId="2" borderId="1" xfId="0" applyFont="1" applyFill="1" applyBorder="1" applyAlignment="1">
      <alignment horizontal="left" wrapText="1"/>
    </xf>
    <xf numFmtId="2" fontId="20" fillId="2" borderId="1" xfId="0" applyNumberFormat="1" applyFont="1" applyFill="1" applyBorder="1" applyAlignment="1">
      <alignment horizontal="center"/>
    </xf>
    <xf numFmtId="0" fontId="14" fillId="2" borderId="6" xfId="0" applyFont="1" applyFill="1" applyBorder="1" applyAlignment="1">
      <alignment horizontal="left"/>
    </xf>
    <xf numFmtId="2" fontId="20" fillId="2" borderId="5" xfId="0" applyNumberFormat="1" applyFont="1" applyFill="1" applyBorder="1" applyAlignment="1">
      <alignment horizontal="center"/>
    </xf>
    <xf numFmtId="168" fontId="14" fillId="2" borderId="1" xfId="0" applyNumberFormat="1" applyFont="1" applyFill="1" applyBorder="1" applyAlignment="1">
      <alignment horizontal="center"/>
    </xf>
    <xf numFmtId="0" fontId="14" fillId="2" borderId="6" xfId="0" applyFont="1" applyFill="1" applyBorder="1" applyAlignment="1">
      <alignment horizontal="right"/>
    </xf>
    <xf numFmtId="2" fontId="19" fillId="2" borderId="1" xfId="0" applyNumberFormat="1" applyFont="1" applyFill="1" applyBorder="1" applyAlignment="1">
      <alignment horizontal="center"/>
    </xf>
    <xf numFmtId="0" fontId="14" fillId="2" borderId="0" xfId="0" applyFont="1" applyFill="1" applyAlignment="1">
      <alignment horizontal="left" wrapText="1"/>
    </xf>
    <xf numFmtId="168" fontId="14" fillId="2" borderId="0" xfId="0" applyNumberFormat="1" applyFont="1" applyFill="1" applyAlignment="1">
      <alignment horizontal="center"/>
    </xf>
    <xf numFmtId="0" fontId="16" fillId="2" borderId="0" xfId="0" quotePrefix="1" applyFont="1" applyFill="1" applyAlignment="1">
      <alignment horizontal="left"/>
    </xf>
    <xf numFmtId="0" fontId="16" fillId="2" borderId="0" xfId="0" applyFont="1" applyFill="1" applyAlignment="1">
      <alignment horizontal="left"/>
    </xf>
    <xf numFmtId="169" fontId="16" fillId="2" borderId="0" xfId="0" applyNumberFormat="1" applyFont="1" applyFill="1" applyAlignment="1">
      <alignment horizontal="left"/>
    </xf>
    <xf numFmtId="168" fontId="14" fillId="2" borderId="0" xfId="0" applyNumberFormat="1" applyFont="1" applyFill="1" applyAlignment="1">
      <alignment horizontal="center" wrapText="1"/>
    </xf>
    <xf numFmtId="0" fontId="21" fillId="2" borderId="1" xfId="0" applyFont="1" applyFill="1" applyBorder="1" applyAlignment="1">
      <alignment horizontal="center" wrapText="1"/>
    </xf>
    <xf numFmtId="168" fontId="14" fillId="2" borderId="1" xfId="0" applyNumberFormat="1" applyFont="1" applyFill="1" applyBorder="1" applyAlignment="1">
      <alignment horizontal="center" wrapText="1"/>
    </xf>
    <xf numFmtId="0" fontId="14" fillId="2" borderId="1" xfId="0" quotePrefix="1" applyFont="1" applyFill="1" applyBorder="1" applyAlignment="1">
      <alignment horizontal="center"/>
    </xf>
    <xf numFmtId="0" fontId="21" fillId="2" borderId="1" xfId="0" quotePrefix="1" applyFont="1" applyFill="1" applyBorder="1" applyAlignment="1">
      <alignment horizontal="center"/>
    </xf>
    <xf numFmtId="168" fontId="14" fillId="2" borderId="1" xfId="0" quotePrefix="1" applyNumberFormat="1" applyFont="1" applyFill="1" applyBorder="1" applyAlignment="1">
      <alignment horizontal="center"/>
    </xf>
    <xf numFmtId="168" fontId="14" fillId="2" borderId="6" xfId="0" applyNumberFormat="1" applyFont="1" applyFill="1" applyBorder="1" applyAlignment="1">
      <alignment horizontal="center"/>
    </xf>
    <xf numFmtId="0" fontId="38" fillId="0" borderId="7" xfId="0" applyFont="1" applyBorder="1" applyAlignment="1">
      <alignment horizontal="left"/>
    </xf>
    <xf numFmtId="0" fontId="38" fillId="0" borderId="0" xfId="0" applyFont="1" applyAlignment="1">
      <alignment horizontal="left"/>
    </xf>
    <xf numFmtId="0" fontId="13" fillId="2" borderId="0" xfId="0" applyFont="1" applyFill="1" applyAlignment="1">
      <alignment horizontal="center"/>
    </xf>
    <xf numFmtId="4" fontId="14" fillId="2" borderId="0" xfId="0" applyNumberFormat="1" applyFont="1" applyFill="1" applyAlignment="1">
      <alignment horizontal="left"/>
    </xf>
    <xf numFmtId="4" fontId="15" fillId="2" borderId="0" xfId="0" applyNumberFormat="1" applyFont="1" applyFill="1" applyAlignment="1">
      <alignment horizontal="left"/>
    </xf>
    <xf numFmtId="168" fontId="14" fillId="6" borderId="0" xfId="0" applyNumberFormat="1" applyFont="1" applyFill="1" applyAlignment="1">
      <alignment horizontal="center"/>
    </xf>
    <xf numFmtId="4" fontId="14" fillId="0" borderId="0" xfId="0" applyNumberFormat="1" applyFont="1" applyAlignment="1">
      <alignment horizontal="left"/>
    </xf>
    <xf numFmtId="0" fontId="16" fillId="2" borderId="0" xfId="0" applyFont="1" applyFill="1" applyAlignment="1">
      <alignment horizontal="center"/>
    </xf>
    <xf numFmtId="7" fontId="17" fillId="2" borderId="0" xfId="0" applyNumberFormat="1" applyFont="1" applyFill="1" applyAlignment="1">
      <alignment horizontal="center"/>
    </xf>
    <xf numFmtId="168" fontId="14" fillId="6" borderId="6" xfId="0" applyNumberFormat="1" applyFont="1" applyFill="1" applyBorder="1" applyAlignment="1">
      <alignment horizontal="center"/>
    </xf>
    <xf numFmtId="2" fontId="40" fillId="0" borderId="0" xfId="0" applyNumberFormat="1" applyFont="1" applyAlignment="1">
      <alignment horizontal="center" wrapText="1"/>
    </xf>
    <xf numFmtId="2" fontId="40" fillId="0" borderId="1" xfId="0" applyNumberFormat="1" applyFont="1" applyBorder="1" applyAlignment="1">
      <alignment horizontal="center" wrapText="1"/>
    </xf>
    <xf numFmtId="2" fontId="41" fillId="0" borderId="0" xfId="0" applyNumberFormat="1" applyFont="1" applyAlignment="1">
      <alignment horizontal="center" wrapText="1"/>
    </xf>
    <xf numFmtId="2" fontId="41" fillId="0" borderId="1" xfId="0" applyNumberFormat="1" applyFont="1" applyBorder="1" applyAlignment="1">
      <alignment horizontal="center" wrapText="1"/>
    </xf>
    <xf numFmtId="0" fontId="5" fillId="2" borderId="0" xfId="0" quotePrefix="1" applyFont="1" applyFill="1" applyAlignment="1">
      <alignment horizontal="center"/>
    </xf>
    <xf numFmtId="0" fontId="14" fillId="2" borderId="0" xfId="0" quotePrefix="1" applyFont="1" applyFill="1" applyAlignment="1"/>
    <xf numFmtId="0" fontId="14" fillId="2" borderId="0" xfId="0" applyFont="1" applyFill="1" applyAlignment="1"/>
    <xf numFmtId="7" fontId="14" fillId="8" borderId="6" xfId="0" applyNumberFormat="1" applyFont="1" applyFill="1" applyBorder="1" applyAlignment="1">
      <alignment horizontal="right"/>
    </xf>
  </cellXfs>
  <cellStyles count="14">
    <cellStyle name="Comma" xfId="1" builtinId="3"/>
    <cellStyle name="Comma 2" xfId="2" xr:uid="{00000000-0005-0000-0000-000001000000}"/>
    <cellStyle name="Comma 3" xfId="13" xr:uid="{00000000-0005-0000-0000-000002000000}"/>
    <cellStyle name="Comma 3 8" xfId="3" xr:uid="{00000000-0005-0000-0000-000003000000}"/>
    <cellStyle name="Comma_charter school revenue frame" xfId="4" xr:uid="{00000000-0005-0000-0000-000004000000}"/>
    <cellStyle name="Currency 2 8" xfId="5" xr:uid="{00000000-0005-0000-0000-000005000000}"/>
    <cellStyle name="Currency_charter school revenue frame" xfId="6" xr:uid="{00000000-0005-0000-0000-000006000000}"/>
    <cellStyle name="Normal" xfId="0" builtinId="0"/>
    <cellStyle name="Normal 2" xfId="7" xr:uid="{00000000-0005-0000-0000-000008000000}"/>
    <cellStyle name="Normal 2 2" xfId="8" xr:uid="{00000000-0005-0000-0000-000009000000}"/>
    <cellStyle name="Normal 3" xfId="12" xr:uid="{00000000-0005-0000-0000-00000A000000}"/>
    <cellStyle name="Normal 3 8" xfId="9" xr:uid="{00000000-0005-0000-0000-00000B000000}"/>
    <cellStyle name="Percent" xfId="10" builtinId="5"/>
    <cellStyle name="Percent 3 8" xfId="11" xr:uid="{00000000-0005-0000-0000-00000D000000}"/>
  </cellStyles>
  <dxfs count="9">
    <dxf>
      <fill>
        <patternFill>
          <bgColor rgb="FFFFFF66"/>
        </patternFill>
      </fill>
    </dxf>
    <dxf>
      <fill>
        <patternFill>
          <bgColor theme="0" tint="-0.14996795556505021"/>
        </patternFill>
      </fill>
    </dxf>
    <dxf>
      <font>
        <color theme="0"/>
      </font>
    </dxf>
    <dxf>
      <font>
        <b/>
        <i val="0"/>
        <color rgb="FFFF0000"/>
      </font>
    </dxf>
    <dxf>
      <font>
        <color theme="0"/>
      </font>
    </dxf>
    <dxf>
      <font>
        <b/>
        <i val="0"/>
        <color rgb="FFFF0000"/>
      </font>
    </dxf>
    <dxf>
      <font>
        <color theme="0"/>
      </font>
    </dxf>
    <dxf>
      <font>
        <color theme="0"/>
      </font>
    </dxf>
    <dxf>
      <font>
        <color theme="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00FF"/>
      <color rgb="FFFFFF99"/>
      <color rgb="FFFFFF66"/>
      <color rgb="FFFFFFCC"/>
      <color rgb="FFCC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152399</xdr:colOff>
      <xdr:row>494</xdr:row>
      <xdr:rowOff>161924</xdr:rowOff>
    </xdr:from>
    <xdr:to>
      <xdr:col>6</xdr:col>
      <xdr:colOff>676274</xdr:colOff>
      <xdr:row>506</xdr:row>
      <xdr:rowOff>113887</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a:stretch>
          <a:fillRect/>
        </a:stretch>
      </xdr:blipFill>
      <xdr:spPr>
        <a:xfrm>
          <a:off x="838199" y="23164799"/>
          <a:ext cx="6581775" cy="1895063"/>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P535"/>
  <sheetViews>
    <sheetView workbookViewId="0">
      <selection activeCell="C115" sqref="C115"/>
    </sheetView>
  </sheetViews>
  <sheetFormatPr defaultColWidth="9.140625" defaultRowHeight="12.75" customHeight="1" x14ac:dyDescent="0.2"/>
  <cols>
    <col min="1" max="1" width="3" style="188" bestFit="1" customWidth="1"/>
    <col min="2" max="2" width="7.28515625" style="188" customWidth="1"/>
    <col min="3" max="3" width="41" style="188" customWidth="1"/>
    <col min="4" max="4" width="23.28515625" style="188" customWidth="1"/>
    <col min="5" max="5" width="14.42578125" style="188" customWidth="1"/>
    <col min="6" max="6" width="12.140625" style="239" bestFit="1" customWidth="1"/>
    <col min="7" max="7" width="13.5703125" style="188" customWidth="1"/>
    <col min="8" max="8" width="4.28515625" style="239" customWidth="1"/>
    <col min="9" max="9" width="75.7109375" style="188" bestFit="1" customWidth="1"/>
    <col min="10" max="10" width="9.5703125" style="188" bestFit="1" customWidth="1"/>
    <col min="11" max="16384" width="9.140625" style="188"/>
  </cols>
  <sheetData>
    <row r="1" spans="1:9" ht="12.75" customHeight="1" x14ac:dyDescent="0.2">
      <c r="A1" s="189"/>
      <c r="B1" s="190" t="s">
        <v>518</v>
      </c>
      <c r="C1" s="217"/>
      <c r="I1" s="244"/>
    </row>
    <row r="2" spans="1:9" ht="12.75" customHeight="1" x14ac:dyDescent="0.2">
      <c r="B2" s="238" t="str">
        <f>'1461'!A3</f>
        <v>Based on the FLDOE 2024-25 Conference Calculation</v>
      </c>
      <c r="C2" s="218"/>
      <c r="E2" s="230"/>
      <c r="F2" s="240"/>
      <c r="G2" s="230"/>
      <c r="I2" s="253"/>
    </row>
    <row r="3" spans="1:9" ht="12.75" customHeight="1" thickBot="1" x14ac:dyDescent="0.25">
      <c r="B3" s="191"/>
      <c r="C3" s="218"/>
      <c r="E3" s="230"/>
      <c r="F3" s="549"/>
      <c r="G3" s="549"/>
      <c r="I3" s="253"/>
    </row>
    <row r="4" spans="1:9" ht="12.75" customHeight="1" thickBot="1" x14ac:dyDescent="0.25">
      <c r="A4" s="192"/>
      <c r="B4" s="193" t="s">
        <v>157</v>
      </c>
      <c r="C4" s="221" t="s">
        <v>227</v>
      </c>
      <c r="D4" s="194" t="s">
        <v>158</v>
      </c>
      <c r="E4" s="234" t="s">
        <v>2</v>
      </c>
      <c r="F4" s="271" t="s">
        <v>251</v>
      </c>
      <c r="G4" s="234" t="s">
        <v>232</v>
      </c>
      <c r="I4" s="316" t="s">
        <v>278</v>
      </c>
    </row>
    <row r="5" spans="1:9" s="261" customFormat="1" ht="13.5" customHeight="1" x14ac:dyDescent="0.2">
      <c r="A5" s="199">
        <v>1</v>
      </c>
      <c r="B5" s="200" t="s">
        <v>159</v>
      </c>
      <c r="C5" s="220" t="s">
        <v>191</v>
      </c>
      <c r="D5" s="495" t="s">
        <v>519</v>
      </c>
      <c r="E5" s="201">
        <f>'1461'!I$145</f>
        <v>543134.93000000005</v>
      </c>
      <c r="F5" s="327"/>
      <c r="G5" s="201">
        <f>SUBTOTAL(109,E5:F26)</f>
        <v>458954.18000000005</v>
      </c>
      <c r="H5" s="260"/>
      <c r="I5" s="335"/>
    </row>
    <row r="6" spans="1:9" s="261" customFormat="1" ht="12.75" hidden="1" customHeight="1" x14ac:dyDescent="0.2">
      <c r="A6" s="199"/>
      <c r="B6" s="200"/>
      <c r="C6" s="220"/>
      <c r="D6" s="233" t="s">
        <v>279</v>
      </c>
      <c r="E6" s="201"/>
      <c r="F6" s="327"/>
      <c r="G6" s="201"/>
      <c r="H6" s="260"/>
      <c r="I6" s="336"/>
    </row>
    <row r="7" spans="1:9" s="261" customFormat="1" ht="12.75" hidden="1" customHeight="1" x14ac:dyDescent="0.2">
      <c r="A7" s="199"/>
      <c r="B7" s="200"/>
      <c r="C7" s="220"/>
      <c r="D7" s="373" t="s">
        <v>475</v>
      </c>
      <c r="E7" s="201"/>
      <c r="F7" s="327"/>
      <c r="G7" s="201"/>
      <c r="H7" s="260"/>
      <c r="I7" s="336"/>
    </row>
    <row r="8" spans="1:9" s="261" customFormat="1" ht="12.75" hidden="1" customHeight="1" x14ac:dyDescent="0.2">
      <c r="A8" s="199"/>
      <c r="B8" s="200"/>
      <c r="C8" s="220"/>
      <c r="D8" s="233" t="s">
        <v>281</v>
      </c>
      <c r="E8" s="201"/>
      <c r="F8" s="327"/>
      <c r="G8" s="201"/>
      <c r="H8" s="260"/>
      <c r="I8" s="374"/>
    </row>
    <row r="9" spans="1:9" s="261" customFormat="1" ht="12.75" hidden="1" customHeight="1" x14ac:dyDescent="0.2">
      <c r="A9" s="199"/>
      <c r="B9" s="200"/>
      <c r="C9" s="220"/>
      <c r="D9" s="233" t="s">
        <v>280</v>
      </c>
      <c r="E9" s="201"/>
      <c r="F9" s="327"/>
      <c r="G9" s="201"/>
      <c r="H9" s="260"/>
      <c r="I9" s="374"/>
    </row>
    <row r="10" spans="1:9" s="261" customFormat="1" ht="12.75" hidden="1" customHeight="1" x14ac:dyDescent="0.2">
      <c r="A10" s="199"/>
      <c r="B10" s="200"/>
      <c r="C10" s="220"/>
      <c r="D10" s="233" t="s">
        <v>289</v>
      </c>
      <c r="E10" s="201"/>
      <c r="F10" s="327"/>
      <c r="G10" s="201"/>
      <c r="H10" s="260"/>
      <c r="I10" s="336"/>
    </row>
    <row r="11" spans="1:9" s="261" customFormat="1" ht="12.75" hidden="1" customHeight="1" x14ac:dyDescent="0.2">
      <c r="A11" s="199"/>
      <c r="B11" s="200"/>
      <c r="C11" s="220"/>
      <c r="D11" s="233" t="s">
        <v>258</v>
      </c>
      <c r="E11" s="201"/>
      <c r="F11" s="327"/>
      <c r="G11" s="201"/>
      <c r="H11" s="260"/>
      <c r="I11" s="339"/>
    </row>
    <row r="12" spans="1:9" s="261" customFormat="1" ht="12.75" customHeight="1" x14ac:dyDescent="0.2">
      <c r="A12" s="199"/>
      <c r="B12" s="200"/>
      <c r="C12" s="229"/>
      <c r="D12" s="280" t="s">
        <v>285</v>
      </c>
      <c r="E12" s="201"/>
      <c r="F12" s="327">
        <v>-69513.88</v>
      </c>
      <c r="G12" s="201"/>
      <c r="H12" s="260"/>
      <c r="I12" s="339"/>
    </row>
    <row r="13" spans="1:9" s="261" customFormat="1" ht="12.75" customHeight="1" x14ac:dyDescent="0.2">
      <c r="A13" s="199"/>
      <c r="B13" s="200"/>
      <c r="C13" s="229"/>
      <c r="D13" s="280" t="s">
        <v>230</v>
      </c>
      <c r="E13" s="201"/>
      <c r="F13" s="327">
        <v>-8454.5</v>
      </c>
      <c r="G13" s="201"/>
      <c r="H13" s="260"/>
      <c r="I13" s="337" t="s">
        <v>312</v>
      </c>
    </row>
    <row r="14" spans="1:9" s="261" customFormat="1" ht="12.75" customHeight="1" x14ac:dyDescent="0.2">
      <c r="A14" s="199"/>
      <c r="B14" s="200"/>
      <c r="C14" s="229"/>
      <c r="D14" s="280" t="s">
        <v>231</v>
      </c>
      <c r="E14" s="201"/>
      <c r="F14" s="327">
        <v>-137.52000000000001</v>
      </c>
      <c r="G14" s="201"/>
      <c r="H14" s="260"/>
      <c r="I14" s="337"/>
    </row>
    <row r="15" spans="1:9" s="261" customFormat="1" ht="12.75" customHeight="1" x14ac:dyDescent="0.2">
      <c r="A15" s="199"/>
      <c r="B15" s="200"/>
      <c r="C15" s="229"/>
      <c r="D15" s="314" t="s">
        <v>436</v>
      </c>
      <c r="E15" s="201"/>
      <c r="F15" s="327">
        <v>-94.48</v>
      </c>
      <c r="G15" s="201"/>
      <c r="H15" s="260"/>
      <c r="I15" s="337"/>
    </row>
    <row r="16" spans="1:9" s="261" customFormat="1" ht="12.75" customHeight="1" thickBot="1" x14ac:dyDescent="0.25">
      <c r="A16" s="199"/>
      <c r="B16" s="200"/>
      <c r="C16" s="229"/>
      <c r="D16" s="280" t="s">
        <v>319</v>
      </c>
      <c r="E16" s="201"/>
      <c r="F16" s="327">
        <v>-90</v>
      </c>
      <c r="G16" s="201"/>
      <c r="H16" s="260"/>
      <c r="I16" s="500"/>
    </row>
    <row r="17" spans="1:12" s="261" customFormat="1" ht="12.75" hidden="1" customHeight="1" x14ac:dyDescent="0.2">
      <c r="A17" s="199"/>
      <c r="B17" s="200"/>
      <c r="C17" s="375" t="s">
        <v>351</v>
      </c>
      <c r="D17" s="314" t="s">
        <v>338</v>
      </c>
      <c r="E17" s="201"/>
      <c r="F17" s="327"/>
      <c r="G17" s="201"/>
      <c r="H17" s="260"/>
      <c r="I17" s="338"/>
    </row>
    <row r="18" spans="1:12" s="261" customFormat="1" ht="12.75" hidden="1" customHeight="1" x14ac:dyDescent="0.2">
      <c r="A18" s="199"/>
      <c r="B18" s="200"/>
      <c r="C18" s="229"/>
      <c r="D18" s="314" t="s">
        <v>340</v>
      </c>
      <c r="E18" s="201"/>
      <c r="F18" s="327"/>
      <c r="G18" s="201"/>
      <c r="H18" s="260"/>
      <c r="I18" s="339"/>
    </row>
    <row r="19" spans="1:12" s="261" customFormat="1" ht="12.75" hidden="1" customHeight="1" x14ac:dyDescent="0.2">
      <c r="A19" s="199"/>
      <c r="B19" s="200"/>
      <c r="C19" s="229"/>
      <c r="D19" s="314"/>
      <c r="E19" s="201"/>
      <c r="F19" s="327"/>
      <c r="G19" s="201"/>
      <c r="H19" s="260"/>
      <c r="I19" s="339"/>
    </row>
    <row r="20" spans="1:12" s="261" customFormat="1" ht="12.75" hidden="1" customHeight="1" x14ac:dyDescent="0.2">
      <c r="A20" s="199"/>
      <c r="B20" s="200"/>
      <c r="C20" s="229"/>
      <c r="D20" s="314"/>
      <c r="E20" s="201"/>
      <c r="F20" s="327"/>
      <c r="G20" s="201"/>
      <c r="H20" s="260"/>
      <c r="I20" s="339"/>
    </row>
    <row r="21" spans="1:12" s="261" customFormat="1" ht="12.75" hidden="1" customHeight="1" x14ac:dyDescent="0.2">
      <c r="A21" s="199"/>
      <c r="B21" s="200"/>
      <c r="C21" s="229"/>
      <c r="D21" s="314" t="s">
        <v>348</v>
      </c>
      <c r="E21" s="201"/>
      <c r="F21" s="327"/>
      <c r="G21" s="201"/>
      <c r="H21" s="260"/>
      <c r="I21" s="335"/>
    </row>
    <row r="22" spans="1:12" s="261" customFormat="1" ht="12.75" hidden="1" customHeight="1" x14ac:dyDescent="0.2">
      <c r="A22" s="199"/>
      <c r="B22" s="200"/>
      <c r="C22" s="229"/>
      <c r="D22" s="314" t="s">
        <v>349</v>
      </c>
      <c r="E22" s="201"/>
      <c r="F22" s="327"/>
      <c r="G22" s="201"/>
      <c r="H22" s="260"/>
      <c r="I22" s="337"/>
    </row>
    <row r="23" spans="1:12" s="261" customFormat="1" ht="12.75" hidden="1" customHeight="1" thickBot="1" x14ac:dyDescent="0.25">
      <c r="A23" s="199"/>
      <c r="B23" s="200"/>
      <c r="C23" s="229"/>
      <c r="D23" s="314" t="s">
        <v>350</v>
      </c>
      <c r="E23" s="201"/>
      <c r="F23" s="327"/>
      <c r="G23" s="201"/>
      <c r="H23" s="260"/>
      <c r="I23" s="340"/>
    </row>
    <row r="24" spans="1:12" s="261" customFormat="1" ht="12.75" hidden="1" customHeight="1" x14ac:dyDescent="0.2">
      <c r="A24" s="199"/>
      <c r="B24" s="200"/>
      <c r="C24" s="229"/>
      <c r="D24" s="314" t="s">
        <v>352</v>
      </c>
      <c r="E24" s="201"/>
      <c r="F24" s="327"/>
      <c r="G24" s="201"/>
      <c r="H24" s="260"/>
      <c r="I24" s="377"/>
    </row>
    <row r="25" spans="1:12" s="261" customFormat="1" ht="12.75" customHeight="1" x14ac:dyDescent="0.2">
      <c r="A25" s="199"/>
      <c r="B25" s="200"/>
      <c r="C25" s="229"/>
      <c r="D25" s="314" t="s">
        <v>526</v>
      </c>
      <c r="E25" s="201"/>
      <c r="F25" s="327">
        <v>-5890.37</v>
      </c>
      <c r="G25" s="201"/>
      <c r="H25" s="260"/>
    </row>
    <row r="26" spans="1:12" s="261" customFormat="1" ht="12.75" hidden="1" customHeight="1" x14ac:dyDescent="0.2">
      <c r="A26" s="199"/>
      <c r="B26" s="200"/>
      <c r="C26" s="229"/>
      <c r="D26" s="314"/>
      <c r="E26" s="201"/>
      <c r="F26" s="327"/>
      <c r="G26" s="201"/>
      <c r="H26" s="260"/>
      <c r="I26" s="319"/>
    </row>
    <row r="27" spans="1:12" s="261" customFormat="1" ht="12.75" customHeight="1" x14ac:dyDescent="0.2">
      <c r="A27" s="195">
        <f>1+A5</f>
        <v>2</v>
      </c>
      <c r="B27" s="196" t="s">
        <v>160</v>
      </c>
      <c r="C27" s="219" t="s">
        <v>193</v>
      </c>
      <c r="D27" s="494" t="str">
        <f>$D$5</f>
        <v>FTE July 2024</v>
      </c>
      <c r="E27" s="198">
        <f>'1571'!I$145</f>
        <v>744106.29</v>
      </c>
      <c r="F27" s="328"/>
      <c r="G27" s="198">
        <f>SUBTOTAL(109,E27:F42)</f>
        <v>663904.46000000008</v>
      </c>
      <c r="H27" s="260"/>
      <c r="I27" s="322"/>
    </row>
    <row r="28" spans="1:12" s="261" customFormat="1" ht="12.75" hidden="1" customHeight="1" x14ac:dyDescent="0.2">
      <c r="A28" s="195"/>
      <c r="B28" s="196"/>
      <c r="C28" s="364"/>
      <c r="D28" s="232" t="s">
        <v>279</v>
      </c>
      <c r="E28" s="198"/>
      <c r="F28" s="328"/>
      <c r="G28" s="198"/>
      <c r="H28" s="260"/>
      <c r="I28" s="322"/>
    </row>
    <row r="29" spans="1:12" s="261" customFormat="1" ht="12.75" hidden="1" customHeight="1" x14ac:dyDescent="0.2">
      <c r="A29" s="195"/>
      <c r="B29" s="196"/>
      <c r="C29" s="219"/>
      <c r="D29" s="341" t="s">
        <v>475</v>
      </c>
      <c r="E29" s="198"/>
      <c r="F29" s="328"/>
      <c r="G29" s="198"/>
      <c r="H29" s="260"/>
      <c r="I29" s="322"/>
    </row>
    <row r="30" spans="1:12" s="261" customFormat="1" ht="12.75" hidden="1" customHeight="1" x14ac:dyDescent="0.2">
      <c r="A30" s="195"/>
      <c r="B30" s="196"/>
      <c r="C30" s="241"/>
      <c r="D30" s="341" t="s">
        <v>343</v>
      </c>
      <c r="E30" s="198"/>
      <c r="F30" s="328"/>
      <c r="G30" s="198"/>
      <c r="H30" s="260"/>
      <c r="I30" s="322"/>
    </row>
    <row r="31" spans="1:12" s="261" customFormat="1" ht="12.75" hidden="1" customHeight="1" x14ac:dyDescent="0.2">
      <c r="A31" s="195"/>
      <c r="B31" s="196"/>
      <c r="C31" s="219"/>
      <c r="D31" s="232" t="s">
        <v>281</v>
      </c>
      <c r="E31" s="198"/>
      <c r="F31" s="328"/>
      <c r="G31" s="198"/>
      <c r="H31" s="260"/>
      <c r="I31" s="322"/>
      <c r="L31" s="318">
        <v>44630</v>
      </c>
    </row>
    <row r="32" spans="1:12" s="261" customFormat="1" ht="12.75" hidden="1" customHeight="1" x14ac:dyDescent="0.2">
      <c r="A32" s="195"/>
      <c r="B32" s="196"/>
      <c r="C32" s="219"/>
      <c r="D32" s="232" t="s">
        <v>280</v>
      </c>
      <c r="E32" s="198"/>
      <c r="F32" s="328"/>
      <c r="G32" s="198"/>
      <c r="H32" s="260"/>
      <c r="I32" s="322"/>
      <c r="L32" s="318">
        <f>L31-60</f>
        <v>44570</v>
      </c>
    </row>
    <row r="33" spans="1:13" s="261" customFormat="1" ht="12.75" hidden="1" customHeight="1" x14ac:dyDescent="0.2">
      <c r="A33" s="195"/>
      <c r="B33" s="196"/>
      <c r="C33" s="219"/>
      <c r="D33" s="232" t="s">
        <v>289</v>
      </c>
      <c r="E33" s="198"/>
      <c r="F33" s="328"/>
      <c r="G33" s="198"/>
      <c r="H33" s="260"/>
      <c r="I33" s="322"/>
    </row>
    <row r="34" spans="1:13" s="261" customFormat="1" ht="12.75" hidden="1" customHeight="1" x14ac:dyDescent="0.2">
      <c r="A34" s="195"/>
      <c r="B34" s="196"/>
      <c r="C34" s="219"/>
      <c r="D34" s="232" t="s">
        <v>258</v>
      </c>
      <c r="E34" s="198"/>
      <c r="F34" s="328"/>
      <c r="G34" s="198"/>
      <c r="H34" s="260"/>
      <c r="I34" s="322"/>
    </row>
    <row r="35" spans="1:13" s="261" customFormat="1" ht="12.75" customHeight="1" x14ac:dyDescent="0.2">
      <c r="A35" s="195"/>
      <c r="B35" s="196"/>
      <c r="C35" s="231"/>
      <c r="D35" s="277" t="s">
        <v>230</v>
      </c>
      <c r="E35" s="198"/>
      <c r="F35" s="328">
        <v>-8454.5</v>
      </c>
      <c r="G35" s="198"/>
      <c r="H35" s="260"/>
      <c r="I35" s="322"/>
    </row>
    <row r="36" spans="1:13" s="261" customFormat="1" ht="12.75" customHeight="1" x14ac:dyDescent="0.2">
      <c r="A36" s="195"/>
      <c r="B36" s="196"/>
      <c r="C36" s="231"/>
      <c r="D36" s="277" t="s">
        <v>231</v>
      </c>
      <c r="E36" s="198"/>
      <c r="F36" s="328">
        <v>-155.63999999999999</v>
      </c>
      <c r="G36" s="198"/>
      <c r="H36" s="260"/>
      <c r="I36" s="319"/>
    </row>
    <row r="37" spans="1:13" s="261" customFormat="1" ht="12.75" customHeight="1" x14ac:dyDescent="0.2">
      <c r="A37" s="195"/>
      <c r="B37" s="196"/>
      <c r="C37" s="231"/>
      <c r="D37" s="277" t="s">
        <v>436</v>
      </c>
      <c r="E37" s="198"/>
      <c r="F37" s="328">
        <v>-94.48</v>
      </c>
      <c r="G37" s="198"/>
      <c r="H37" s="260"/>
      <c r="I37" s="319"/>
    </row>
    <row r="38" spans="1:13" s="261" customFormat="1" ht="12.75" customHeight="1" x14ac:dyDescent="0.2">
      <c r="A38" s="195"/>
      <c r="B38" s="196"/>
      <c r="C38" s="231"/>
      <c r="D38" s="277" t="s">
        <v>319</v>
      </c>
      <c r="E38" s="198"/>
      <c r="F38" s="328">
        <v>-90</v>
      </c>
      <c r="G38" s="198"/>
      <c r="H38" s="260"/>
      <c r="I38" s="319"/>
    </row>
    <row r="39" spans="1:13" s="261" customFormat="1" ht="12.75" customHeight="1" x14ac:dyDescent="0.2">
      <c r="A39" s="195"/>
      <c r="B39" s="196"/>
      <c r="C39" s="376"/>
      <c r="D39" s="277" t="s">
        <v>338</v>
      </c>
      <c r="E39" s="198"/>
      <c r="F39" s="328">
        <v>-71407.210000000006</v>
      </c>
      <c r="G39" s="198"/>
      <c r="H39" s="297"/>
      <c r="I39" s="319"/>
    </row>
    <row r="40" spans="1:13" s="261" customFormat="1" ht="12.75" hidden="1" customHeight="1" x14ac:dyDescent="0.2">
      <c r="A40" s="195"/>
      <c r="B40" s="196"/>
      <c r="C40" s="231"/>
      <c r="D40" s="342" t="s">
        <v>340</v>
      </c>
      <c r="E40" s="198"/>
      <c r="F40" s="328"/>
      <c r="G40" s="198"/>
      <c r="H40" s="260"/>
      <c r="I40" s="319"/>
    </row>
    <row r="41" spans="1:13" s="261" customFormat="1" ht="12.75" hidden="1" customHeight="1" x14ac:dyDescent="0.2">
      <c r="A41" s="195"/>
      <c r="B41" s="196"/>
      <c r="C41" s="231"/>
      <c r="D41" s="277" t="s">
        <v>327</v>
      </c>
      <c r="E41" s="198"/>
      <c r="F41" s="328">
        <v>0</v>
      </c>
      <c r="G41" s="198"/>
      <c r="H41" s="260"/>
      <c r="I41" s="319"/>
    </row>
    <row r="42" spans="1:13" s="261" customFormat="1" ht="12.75" hidden="1" customHeight="1" x14ac:dyDescent="0.2">
      <c r="A42" s="195"/>
      <c r="B42" s="196"/>
      <c r="C42" s="231"/>
      <c r="D42" s="437" t="s">
        <v>474</v>
      </c>
      <c r="E42" s="198"/>
      <c r="F42" s="328"/>
      <c r="G42" s="198"/>
      <c r="H42" s="260"/>
      <c r="I42" s="319"/>
    </row>
    <row r="43" spans="1:13" s="261" customFormat="1" ht="12.75" customHeight="1" x14ac:dyDescent="0.2">
      <c r="A43" s="199">
        <f>1+A27</f>
        <v>3</v>
      </c>
      <c r="B43" s="200" t="s">
        <v>161</v>
      </c>
      <c r="C43" s="220" t="s">
        <v>194</v>
      </c>
      <c r="D43" s="278" t="str">
        <f>$D$5</f>
        <v>FTE July 2024</v>
      </c>
      <c r="E43" s="201">
        <f>'2521'!I$145</f>
        <v>96199.14</v>
      </c>
      <c r="F43" s="327"/>
      <c r="G43" s="201">
        <f>SUBTOTAL(109,E43:F49)</f>
        <v>96199.14</v>
      </c>
      <c r="H43" s="260"/>
      <c r="I43" s="319"/>
    </row>
    <row r="44" spans="1:13" s="261" customFormat="1" ht="12.75" hidden="1" customHeight="1" x14ac:dyDescent="0.2">
      <c r="A44" s="199"/>
      <c r="B44" s="200"/>
      <c r="C44" s="220"/>
      <c r="D44" s="233" t="s">
        <v>279</v>
      </c>
      <c r="E44" s="201"/>
      <c r="F44" s="327"/>
      <c r="G44" s="201"/>
      <c r="H44" s="260"/>
      <c r="I44" s="319"/>
    </row>
    <row r="45" spans="1:13" s="261" customFormat="1" ht="12.75" hidden="1" customHeight="1" x14ac:dyDescent="0.2">
      <c r="A45" s="199"/>
      <c r="B45" s="200"/>
      <c r="C45" s="220"/>
      <c r="D45" s="233" t="s">
        <v>281</v>
      </c>
      <c r="E45" s="201"/>
      <c r="F45" s="327"/>
      <c r="G45" s="201"/>
      <c r="H45" s="260"/>
      <c r="I45" s="319"/>
    </row>
    <row r="46" spans="1:13" s="261" customFormat="1" ht="12.75" hidden="1" customHeight="1" x14ac:dyDescent="0.2">
      <c r="A46" s="199"/>
      <c r="B46" s="200"/>
      <c r="C46" s="220"/>
      <c r="D46" s="233" t="s">
        <v>280</v>
      </c>
      <c r="E46" s="201"/>
      <c r="F46" s="327"/>
      <c r="G46" s="201"/>
      <c r="H46" s="260"/>
      <c r="I46" s="319"/>
    </row>
    <row r="47" spans="1:13" s="261" customFormat="1" ht="12.75" hidden="1" customHeight="1" x14ac:dyDescent="0.2">
      <c r="A47" s="199"/>
      <c r="B47" s="200"/>
      <c r="C47" s="220"/>
      <c r="D47" s="233" t="s">
        <v>289</v>
      </c>
      <c r="E47" s="201"/>
      <c r="F47" s="327"/>
      <c r="G47" s="201"/>
      <c r="H47" s="260"/>
      <c r="I47" s="319"/>
      <c r="M47" s="318"/>
    </row>
    <row r="48" spans="1:13" ht="12.75" hidden="1" customHeight="1" x14ac:dyDescent="0.2">
      <c r="A48" s="199"/>
      <c r="B48" s="200"/>
      <c r="C48" s="220"/>
      <c r="D48" s="233" t="s">
        <v>258</v>
      </c>
      <c r="E48" s="201"/>
      <c r="F48" s="327"/>
      <c r="G48" s="201"/>
      <c r="I48" s="319"/>
      <c r="M48" s="296"/>
    </row>
    <row r="49" spans="1:12" ht="12.75" hidden="1" customHeight="1" x14ac:dyDescent="0.2">
      <c r="A49" s="199"/>
      <c r="B49" s="200"/>
      <c r="C49" s="220"/>
      <c r="D49" s="314" t="s">
        <v>327</v>
      </c>
      <c r="E49" s="201"/>
      <c r="F49" s="327"/>
      <c r="G49" s="201"/>
      <c r="I49" s="319"/>
      <c r="L49" s="296"/>
    </row>
    <row r="50" spans="1:12" s="261" customFormat="1" ht="12.75" customHeight="1" x14ac:dyDescent="0.2">
      <c r="A50" s="195">
        <f>1+A43</f>
        <v>4</v>
      </c>
      <c r="B50" s="196">
        <v>2531</v>
      </c>
      <c r="C50" s="219" t="s">
        <v>195</v>
      </c>
      <c r="D50" s="494" t="str">
        <f>$D$5</f>
        <v>FTE July 2024</v>
      </c>
      <c r="E50" s="198">
        <f>'2531'!I$145</f>
        <v>79086.62</v>
      </c>
      <c r="F50" s="328"/>
      <c r="G50" s="198">
        <f>SUBTOTAL(109,E50:F61)</f>
        <v>79086.62</v>
      </c>
      <c r="H50" s="297"/>
      <c r="I50" s="319"/>
    </row>
    <row r="51" spans="1:12" ht="12.75" hidden="1" customHeight="1" x14ac:dyDescent="0.2">
      <c r="A51" s="195"/>
      <c r="B51" s="196"/>
      <c r="C51" s="219"/>
      <c r="D51" s="232" t="s">
        <v>279</v>
      </c>
      <c r="E51" s="198"/>
      <c r="F51" s="328"/>
      <c r="G51" s="198"/>
      <c r="I51" s="319"/>
    </row>
    <row r="52" spans="1:12" ht="12.75" hidden="1" customHeight="1" x14ac:dyDescent="0.2">
      <c r="A52" s="195"/>
      <c r="B52" s="196"/>
      <c r="C52" s="219"/>
      <c r="D52" s="341" t="s">
        <v>475</v>
      </c>
      <c r="E52" s="198"/>
      <c r="F52" s="328"/>
      <c r="G52" s="198"/>
      <c r="I52" s="319"/>
    </row>
    <row r="53" spans="1:12" s="261" customFormat="1" ht="12.75" hidden="1" customHeight="1" x14ac:dyDescent="0.2">
      <c r="A53" s="195"/>
      <c r="B53" s="196"/>
      <c r="C53" s="219"/>
      <c r="D53" s="232" t="s">
        <v>345</v>
      </c>
      <c r="E53" s="198"/>
      <c r="F53" s="328"/>
      <c r="G53" s="198"/>
      <c r="H53" s="260"/>
      <c r="I53" s="307"/>
    </row>
    <row r="54" spans="1:12" s="261" customFormat="1" ht="12.75" hidden="1" customHeight="1" x14ac:dyDescent="0.2">
      <c r="A54" s="195"/>
      <c r="B54" s="196"/>
      <c r="C54" s="219"/>
      <c r="D54" s="341" t="s">
        <v>343</v>
      </c>
      <c r="E54" s="198"/>
      <c r="F54" s="328"/>
      <c r="G54" s="198"/>
      <c r="H54" s="260"/>
      <c r="I54" s="196"/>
    </row>
    <row r="55" spans="1:12" s="261" customFormat="1" ht="12.75" hidden="1" customHeight="1" x14ac:dyDescent="0.2">
      <c r="A55" s="195"/>
      <c r="B55" s="196"/>
      <c r="C55" s="219"/>
      <c r="D55" s="232" t="s">
        <v>281</v>
      </c>
      <c r="E55" s="198"/>
      <c r="F55" s="328"/>
      <c r="G55" s="198"/>
      <c r="H55" s="260"/>
      <c r="I55" s="196"/>
    </row>
    <row r="56" spans="1:12" s="261" customFormat="1" ht="12.75" hidden="1" customHeight="1" x14ac:dyDescent="0.2">
      <c r="A56" s="195"/>
      <c r="B56" s="196"/>
      <c r="C56" s="219"/>
      <c r="D56" s="232" t="s">
        <v>280</v>
      </c>
      <c r="E56" s="198"/>
      <c r="F56" s="328"/>
      <c r="G56" s="198"/>
      <c r="H56" s="260"/>
      <c r="I56" s="196"/>
    </row>
    <row r="57" spans="1:12" s="261" customFormat="1" ht="12.75" hidden="1" customHeight="1" x14ac:dyDescent="0.2">
      <c r="A57" s="195"/>
      <c r="B57" s="196"/>
      <c r="C57" s="219"/>
      <c r="D57" s="232" t="s">
        <v>289</v>
      </c>
      <c r="E57" s="198"/>
      <c r="F57" s="328"/>
      <c r="G57" s="198"/>
      <c r="H57" s="297"/>
      <c r="I57" s="307"/>
    </row>
    <row r="58" spans="1:12" s="261" customFormat="1" ht="12.75" hidden="1" customHeight="1" x14ac:dyDescent="0.2">
      <c r="A58" s="195"/>
      <c r="B58" s="196"/>
      <c r="C58" s="219"/>
      <c r="D58" s="232" t="s">
        <v>258</v>
      </c>
      <c r="E58" s="198"/>
      <c r="F58" s="328"/>
      <c r="G58" s="198"/>
      <c r="H58" s="260"/>
      <c r="I58" s="307"/>
    </row>
    <row r="59" spans="1:12" s="261" customFormat="1" ht="12.75" hidden="1" customHeight="1" x14ac:dyDescent="0.2">
      <c r="A59" s="195"/>
      <c r="B59" s="196"/>
      <c r="C59" s="219"/>
      <c r="D59" s="232" t="s">
        <v>326</v>
      </c>
      <c r="E59" s="198"/>
      <c r="F59" s="328"/>
      <c r="G59" s="198"/>
      <c r="H59" s="260"/>
      <c r="I59" s="307"/>
    </row>
    <row r="60" spans="1:12" s="261" customFormat="1" ht="12.75" hidden="1" customHeight="1" x14ac:dyDescent="0.2">
      <c r="A60" s="195"/>
      <c r="B60" s="196"/>
      <c r="C60" s="231"/>
      <c r="D60" s="342" t="s">
        <v>340</v>
      </c>
      <c r="E60" s="198"/>
      <c r="F60" s="328"/>
      <c r="G60" s="198"/>
      <c r="H60" s="260"/>
      <c r="I60" s="319"/>
    </row>
    <row r="61" spans="1:12" s="261" customFormat="1" ht="12.75" hidden="1" customHeight="1" x14ac:dyDescent="0.2">
      <c r="A61" s="195"/>
      <c r="B61" s="196"/>
      <c r="C61" s="219"/>
      <c r="D61" s="277" t="s">
        <v>327</v>
      </c>
      <c r="E61" s="198"/>
      <c r="F61" s="328"/>
      <c r="G61" s="198"/>
      <c r="H61" s="260"/>
      <c r="I61" s="231"/>
    </row>
    <row r="62" spans="1:12" s="261" customFormat="1" ht="12.75" customHeight="1" x14ac:dyDescent="0.2">
      <c r="A62" s="199">
        <f>1+A50</f>
        <v>5</v>
      </c>
      <c r="B62" s="200" t="s">
        <v>163</v>
      </c>
      <c r="C62" s="263" t="s">
        <v>256</v>
      </c>
      <c r="D62" s="278" t="str">
        <f>$D$5</f>
        <v>FTE July 2024</v>
      </c>
      <c r="E62" s="201">
        <f>'2791'!I$145</f>
        <v>373318.84</v>
      </c>
      <c r="F62" s="327"/>
      <c r="G62" s="201">
        <f>SUBTOTAL(109,E62:F69)</f>
        <v>373318.84</v>
      </c>
      <c r="H62" s="297"/>
      <c r="I62" s="322"/>
    </row>
    <row r="63" spans="1:12" s="261" customFormat="1" ht="12.75" hidden="1" customHeight="1" x14ac:dyDescent="0.2">
      <c r="A63" s="199"/>
      <c r="B63" s="200"/>
      <c r="C63" s="220"/>
      <c r="D63" s="233" t="s">
        <v>279</v>
      </c>
      <c r="E63" s="201"/>
      <c r="F63" s="327"/>
      <c r="G63" s="201"/>
      <c r="H63" s="260"/>
      <c r="I63" s="231"/>
    </row>
    <row r="64" spans="1:12" s="261" customFormat="1" ht="12.75" hidden="1" customHeight="1" x14ac:dyDescent="0.2">
      <c r="A64" s="199"/>
      <c r="B64" s="200"/>
      <c r="C64" s="220"/>
      <c r="D64" s="373" t="s">
        <v>475</v>
      </c>
      <c r="E64" s="201"/>
      <c r="F64" s="327"/>
      <c r="G64" s="201"/>
      <c r="H64" s="260"/>
      <c r="I64" s="231"/>
    </row>
    <row r="65" spans="1:9" s="261" customFormat="1" ht="12.75" hidden="1" customHeight="1" x14ac:dyDescent="0.2">
      <c r="A65" s="199"/>
      <c r="B65" s="200"/>
      <c r="C65" s="220"/>
      <c r="D65" s="233" t="s">
        <v>281</v>
      </c>
      <c r="E65" s="201"/>
      <c r="F65" s="327"/>
      <c r="G65" s="201"/>
      <c r="H65" s="260"/>
      <c r="I65" s="231"/>
    </row>
    <row r="66" spans="1:9" s="261" customFormat="1" ht="12.75" hidden="1" customHeight="1" x14ac:dyDescent="0.2">
      <c r="A66" s="199"/>
      <c r="B66" s="200"/>
      <c r="C66" s="220"/>
      <c r="D66" s="233" t="s">
        <v>280</v>
      </c>
      <c r="E66" s="201"/>
      <c r="F66" s="327"/>
      <c r="G66" s="201"/>
      <c r="H66" s="260"/>
      <c r="I66" s="231"/>
    </row>
    <row r="67" spans="1:9" s="261" customFormat="1" ht="12.75" hidden="1" customHeight="1" x14ac:dyDescent="0.2">
      <c r="A67" s="199"/>
      <c r="B67" s="200"/>
      <c r="C67" s="220"/>
      <c r="D67" s="233" t="s">
        <v>289</v>
      </c>
      <c r="E67" s="201"/>
      <c r="F67" s="327"/>
      <c r="G67" s="201"/>
      <c r="H67" s="260"/>
      <c r="I67" s="319"/>
    </row>
    <row r="68" spans="1:9" s="261" customFormat="1" ht="12.75" hidden="1" customHeight="1" x14ac:dyDescent="0.2">
      <c r="A68" s="199"/>
      <c r="B68" s="200"/>
      <c r="C68" s="220"/>
      <c r="D68" s="233" t="s">
        <v>258</v>
      </c>
      <c r="E68" s="201"/>
      <c r="F68" s="327"/>
      <c r="G68" s="201"/>
      <c r="H68" s="260"/>
      <c r="I68" s="319"/>
    </row>
    <row r="69" spans="1:9" s="261" customFormat="1" ht="12.75" hidden="1" customHeight="1" x14ac:dyDescent="0.2">
      <c r="A69" s="199"/>
      <c r="B69" s="200"/>
      <c r="C69" s="220"/>
      <c r="D69" s="314" t="s">
        <v>327</v>
      </c>
      <c r="E69" s="201"/>
      <c r="F69" s="327"/>
      <c r="G69" s="201"/>
      <c r="H69" s="260"/>
      <c r="I69" s="319"/>
    </row>
    <row r="70" spans="1:9" s="261" customFormat="1" ht="12.75" customHeight="1" x14ac:dyDescent="0.2">
      <c r="A70" s="195">
        <f>A62+1</f>
        <v>6</v>
      </c>
      <c r="B70" s="196" t="s">
        <v>164</v>
      </c>
      <c r="C70" s="262" t="s">
        <v>359</v>
      </c>
      <c r="D70" s="494" t="str">
        <f>$D$5</f>
        <v>FTE July 2024</v>
      </c>
      <c r="E70" s="198">
        <f>'2801'!I$145</f>
        <v>438241.71</v>
      </c>
      <c r="F70" s="328"/>
      <c r="G70" s="198">
        <f>SUBTOTAL(109,E70:F79)</f>
        <v>438241.71</v>
      </c>
      <c r="H70" s="297"/>
      <c r="I70" s="322"/>
    </row>
    <row r="71" spans="1:9" s="261" customFormat="1" ht="12.75" hidden="1" customHeight="1" x14ac:dyDescent="0.2">
      <c r="A71" s="195"/>
      <c r="B71" s="196"/>
      <c r="C71" s="219"/>
      <c r="D71" s="232" t="s">
        <v>279</v>
      </c>
      <c r="E71" s="198"/>
      <c r="F71" s="328"/>
      <c r="G71" s="198"/>
      <c r="H71" s="260"/>
      <c r="I71" s="319"/>
    </row>
    <row r="72" spans="1:9" s="261" customFormat="1" ht="12.75" hidden="1" customHeight="1" x14ac:dyDescent="0.2">
      <c r="A72" s="195"/>
      <c r="B72" s="196"/>
      <c r="C72" s="219"/>
      <c r="D72" s="341" t="s">
        <v>475</v>
      </c>
      <c r="E72" s="198"/>
      <c r="F72" s="328"/>
      <c r="G72" s="198"/>
      <c r="H72" s="297"/>
      <c r="I72" s="307"/>
    </row>
    <row r="73" spans="1:9" s="261" customFormat="1" ht="12.75" hidden="1" customHeight="1" x14ac:dyDescent="0.2">
      <c r="A73" s="195"/>
      <c r="B73" s="196"/>
      <c r="C73" s="219"/>
      <c r="D73" s="232" t="s">
        <v>281</v>
      </c>
      <c r="E73" s="198"/>
      <c r="F73" s="328"/>
      <c r="G73" s="198"/>
      <c r="H73" s="297"/>
      <c r="I73" s="196"/>
    </row>
    <row r="74" spans="1:9" s="261" customFormat="1" ht="12.75" hidden="1" customHeight="1" x14ac:dyDescent="0.2">
      <c r="A74" s="195"/>
      <c r="B74" s="196"/>
      <c r="C74" s="219"/>
      <c r="D74" s="232" t="s">
        <v>336</v>
      </c>
      <c r="E74" s="198"/>
      <c r="F74" s="328"/>
      <c r="G74" s="198"/>
      <c r="H74" s="260"/>
      <c r="I74" s="231"/>
    </row>
    <row r="75" spans="1:9" s="261" customFormat="1" ht="12.75" hidden="1" customHeight="1" x14ac:dyDescent="0.2">
      <c r="A75" s="195"/>
      <c r="B75" s="196"/>
      <c r="C75" s="219"/>
      <c r="D75" s="232" t="s">
        <v>289</v>
      </c>
      <c r="E75" s="198"/>
      <c r="F75" s="328"/>
      <c r="G75" s="198"/>
      <c r="H75" s="297"/>
      <c r="I75" s="196"/>
    </row>
    <row r="76" spans="1:9" s="261" customFormat="1" ht="12.75" hidden="1" customHeight="1" x14ac:dyDescent="0.2">
      <c r="A76" s="195"/>
      <c r="B76" s="196"/>
      <c r="C76" s="219"/>
      <c r="D76" s="232" t="s">
        <v>258</v>
      </c>
      <c r="E76" s="198"/>
      <c r="F76" s="328"/>
      <c r="G76" s="198"/>
      <c r="H76" s="297"/>
      <c r="I76" s="196"/>
    </row>
    <row r="77" spans="1:9" s="261" customFormat="1" ht="12.75" hidden="1" customHeight="1" x14ac:dyDescent="0.2">
      <c r="A77" s="195"/>
      <c r="B77" s="196"/>
      <c r="C77" s="219"/>
      <c r="D77" s="232" t="s">
        <v>296</v>
      </c>
      <c r="E77" s="198"/>
      <c r="F77" s="328"/>
      <c r="G77" s="198"/>
      <c r="H77" s="297"/>
      <c r="I77" s="307"/>
    </row>
    <row r="78" spans="1:9" s="261" customFormat="1" ht="12.75" hidden="1" customHeight="1" x14ac:dyDescent="0.2">
      <c r="A78" s="195"/>
      <c r="B78" s="196"/>
      <c r="C78" s="219"/>
      <c r="D78" s="232" t="s">
        <v>326</v>
      </c>
      <c r="E78" s="198"/>
      <c r="F78" s="328"/>
      <c r="G78" s="198"/>
      <c r="H78" s="260"/>
      <c r="I78" s="307"/>
    </row>
    <row r="79" spans="1:9" s="261" customFormat="1" ht="12.75" hidden="1" customHeight="1" x14ac:dyDescent="0.2">
      <c r="A79" s="195"/>
      <c r="B79" s="196"/>
      <c r="C79" s="219"/>
      <c r="D79" s="277" t="s">
        <v>357</v>
      </c>
      <c r="E79" s="198"/>
      <c r="F79" s="328"/>
      <c r="G79" s="198"/>
      <c r="H79" s="260"/>
      <c r="I79" s="307"/>
    </row>
    <row r="80" spans="1:9" s="261" customFormat="1" ht="12.75" customHeight="1" x14ac:dyDescent="0.2">
      <c r="A80" s="199">
        <f>A70+1</f>
        <v>7</v>
      </c>
      <c r="B80" s="200" t="s">
        <v>165</v>
      </c>
      <c r="C80" s="220" t="s">
        <v>197</v>
      </c>
      <c r="D80" s="278" t="str">
        <f>$D$5</f>
        <v>FTE July 2024</v>
      </c>
      <c r="E80" s="201">
        <f>'2911'!I$145</f>
        <v>458554.15</v>
      </c>
      <c r="F80" s="327"/>
      <c r="G80" s="201">
        <f>SUBTOTAL(109,E80:F90)</f>
        <v>456902.35000000003</v>
      </c>
      <c r="H80" s="297"/>
      <c r="I80" s="196"/>
    </row>
    <row r="81" spans="1:9" s="261" customFormat="1" ht="12.75" hidden="1" customHeight="1" x14ac:dyDescent="0.2">
      <c r="A81" s="199"/>
      <c r="B81" s="200"/>
      <c r="C81" s="220"/>
      <c r="D81" s="233" t="s">
        <v>279</v>
      </c>
      <c r="E81" s="201"/>
      <c r="F81" s="327"/>
      <c r="G81" s="201"/>
      <c r="H81" s="297"/>
      <c r="I81" s="196"/>
    </row>
    <row r="82" spans="1:9" s="261" customFormat="1" ht="12.75" hidden="1" customHeight="1" x14ac:dyDescent="0.2">
      <c r="A82" s="199"/>
      <c r="B82" s="200"/>
      <c r="C82" s="220"/>
      <c r="D82" s="373" t="s">
        <v>343</v>
      </c>
      <c r="E82" s="201"/>
      <c r="F82" s="327"/>
      <c r="G82" s="201"/>
      <c r="H82" s="260"/>
      <c r="I82" s="231"/>
    </row>
    <row r="83" spans="1:9" s="261" customFormat="1" ht="12.75" hidden="1" customHeight="1" x14ac:dyDescent="0.2">
      <c r="A83" s="199"/>
      <c r="B83" s="200"/>
      <c r="C83" s="220"/>
      <c r="D83" s="233" t="s">
        <v>281</v>
      </c>
      <c r="E83" s="201"/>
      <c r="F83" s="327"/>
      <c r="G83" s="201"/>
      <c r="H83" s="297"/>
      <c r="I83" s="196"/>
    </row>
    <row r="84" spans="1:9" s="261" customFormat="1" ht="12.75" hidden="1" customHeight="1" x14ac:dyDescent="0.2">
      <c r="A84" s="199"/>
      <c r="B84" s="200"/>
      <c r="C84" s="220"/>
      <c r="D84" s="233" t="s">
        <v>280</v>
      </c>
      <c r="E84" s="201"/>
      <c r="F84" s="327"/>
      <c r="G84" s="201"/>
      <c r="H84" s="297"/>
      <c r="I84" s="196"/>
    </row>
    <row r="85" spans="1:9" s="261" customFormat="1" ht="12.75" hidden="1" customHeight="1" x14ac:dyDescent="0.2">
      <c r="A85" s="199"/>
      <c r="B85" s="200"/>
      <c r="C85" s="220"/>
      <c r="D85" s="233" t="s">
        <v>289</v>
      </c>
      <c r="E85" s="201"/>
      <c r="F85" s="327"/>
      <c r="G85" s="201"/>
      <c r="H85" s="297"/>
      <c r="I85" s="196"/>
    </row>
    <row r="86" spans="1:9" s="261" customFormat="1" ht="12.75" hidden="1" customHeight="1" x14ac:dyDescent="0.2">
      <c r="A86" s="199"/>
      <c r="B86" s="200"/>
      <c r="C86" s="220"/>
      <c r="D86" s="233" t="s">
        <v>258</v>
      </c>
      <c r="E86" s="201"/>
      <c r="F86" s="327"/>
      <c r="G86" s="201"/>
      <c r="H86" s="260"/>
      <c r="I86" s="317"/>
    </row>
    <row r="87" spans="1:9" s="261" customFormat="1" ht="12.75" hidden="1" customHeight="1" x14ac:dyDescent="0.2">
      <c r="A87" s="199"/>
      <c r="B87" s="200"/>
      <c r="C87" s="220"/>
      <c r="D87" s="233" t="s">
        <v>296</v>
      </c>
      <c r="E87" s="201"/>
      <c r="F87" s="327"/>
      <c r="G87" s="201"/>
      <c r="H87" s="297"/>
    </row>
    <row r="88" spans="1:9" s="261" customFormat="1" ht="12.75" hidden="1" customHeight="1" x14ac:dyDescent="0.2">
      <c r="A88" s="199"/>
      <c r="B88" s="200"/>
      <c r="C88" s="229"/>
      <c r="D88" s="314" t="s">
        <v>327</v>
      </c>
      <c r="E88" s="201"/>
      <c r="F88" s="327"/>
      <c r="G88" s="201"/>
      <c r="H88" s="297"/>
      <c r="I88" s="196"/>
    </row>
    <row r="89" spans="1:9" s="261" customFormat="1" ht="12.75" hidden="1" customHeight="1" x14ac:dyDescent="0.2">
      <c r="A89" s="199"/>
      <c r="B89" s="200"/>
      <c r="C89" s="229"/>
      <c r="D89" s="314" t="s">
        <v>367</v>
      </c>
      <c r="E89" s="201"/>
      <c r="F89" s="327"/>
      <c r="G89" s="201"/>
      <c r="H89" s="297"/>
      <c r="I89" s="307"/>
    </row>
    <row r="90" spans="1:9" s="261" customFormat="1" ht="12.75" customHeight="1" x14ac:dyDescent="0.2">
      <c r="A90" s="199"/>
      <c r="B90" s="200"/>
      <c r="C90" s="229"/>
      <c r="D90" s="279" t="s">
        <v>513</v>
      </c>
      <c r="E90" s="201"/>
      <c r="F90" s="327">
        <v>-1651.8</v>
      </c>
      <c r="G90" s="201"/>
      <c r="H90" s="297"/>
      <c r="I90" s="307"/>
    </row>
    <row r="91" spans="1:9" s="261" customFormat="1" ht="12.75" customHeight="1" x14ac:dyDescent="0.2">
      <c r="A91" s="195">
        <f>A80+1</f>
        <v>8</v>
      </c>
      <c r="B91" s="196" t="s">
        <v>166</v>
      </c>
      <c r="C91" s="219" t="s">
        <v>198</v>
      </c>
      <c r="D91" s="494" t="str">
        <f>$D$5</f>
        <v>FTE July 2024</v>
      </c>
      <c r="E91" s="198">
        <f>'2941'!I$145</f>
        <v>866760.71</v>
      </c>
      <c r="F91" s="328"/>
      <c r="G91" s="198">
        <f>SUBTOTAL(109,E91:F99)</f>
        <v>866760.71</v>
      </c>
      <c r="H91" s="297"/>
      <c r="I91" s="196"/>
    </row>
    <row r="92" spans="1:9" s="261" customFormat="1" ht="12.75" hidden="1" customHeight="1" x14ac:dyDescent="0.2">
      <c r="A92" s="195"/>
      <c r="B92" s="196"/>
      <c r="C92" s="219"/>
      <c r="D92" s="232" t="s">
        <v>279</v>
      </c>
      <c r="E92" s="198"/>
      <c r="F92" s="328"/>
      <c r="G92" s="198"/>
      <c r="H92" s="297"/>
      <c r="I92" s="196"/>
    </row>
    <row r="93" spans="1:9" s="261" customFormat="1" ht="12.75" hidden="1" customHeight="1" x14ac:dyDescent="0.2">
      <c r="A93" s="195"/>
      <c r="B93" s="196"/>
      <c r="C93" s="219"/>
      <c r="D93" s="341" t="s">
        <v>475</v>
      </c>
      <c r="E93" s="198"/>
      <c r="F93" s="328"/>
      <c r="G93" s="198"/>
      <c r="H93" s="260"/>
      <c r="I93" s="231"/>
    </row>
    <row r="94" spans="1:9" s="261" customFormat="1" ht="12.75" hidden="1" customHeight="1" x14ac:dyDescent="0.2">
      <c r="A94" s="195"/>
      <c r="B94" s="196"/>
      <c r="C94" s="219"/>
      <c r="D94" s="232" t="s">
        <v>281</v>
      </c>
      <c r="E94" s="198"/>
      <c r="F94" s="328"/>
      <c r="G94" s="198"/>
      <c r="H94" s="297"/>
      <c r="I94" s="196"/>
    </row>
    <row r="95" spans="1:9" s="261" customFormat="1" ht="12.75" hidden="1" customHeight="1" x14ac:dyDescent="0.2">
      <c r="A95" s="195"/>
      <c r="B95" s="196"/>
      <c r="C95" s="219"/>
      <c r="D95" s="232" t="s">
        <v>280</v>
      </c>
      <c r="E95" s="198"/>
      <c r="F95" s="328"/>
      <c r="G95" s="198"/>
      <c r="H95" s="297"/>
      <c r="I95" s="196"/>
    </row>
    <row r="96" spans="1:9" s="261" customFormat="1" ht="12.75" hidden="1" customHeight="1" x14ac:dyDescent="0.2">
      <c r="A96" s="195"/>
      <c r="B96" s="196"/>
      <c r="C96" s="219"/>
      <c r="D96" s="232" t="s">
        <v>289</v>
      </c>
      <c r="E96" s="198"/>
      <c r="F96" s="328"/>
      <c r="G96" s="198"/>
      <c r="H96" s="297"/>
      <c r="I96" s="196"/>
    </row>
    <row r="97" spans="1:12" s="261" customFormat="1" ht="12.75" hidden="1" customHeight="1" x14ac:dyDescent="0.2">
      <c r="A97" s="195"/>
      <c r="B97" s="196"/>
      <c r="C97" s="219"/>
      <c r="D97" s="232" t="s">
        <v>258</v>
      </c>
      <c r="E97" s="198"/>
      <c r="F97" s="328"/>
      <c r="G97" s="198"/>
      <c r="H97" s="260"/>
      <c r="I97" s="317"/>
    </row>
    <row r="98" spans="1:12" s="261" customFormat="1" ht="12.75" hidden="1" customHeight="1" x14ac:dyDescent="0.2">
      <c r="A98" s="195"/>
      <c r="B98" s="196"/>
      <c r="C98" s="219"/>
      <c r="D98" s="232" t="s">
        <v>326</v>
      </c>
      <c r="E98" s="198"/>
      <c r="F98" s="328"/>
      <c r="G98" s="198"/>
      <c r="H98" s="297"/>
      <c r="I98" s="307"/>
    </row>
    <row r="99" spans="1:12" s="261" customFormat="1" ht="12.75" hidden="1" customHeight="1" x14ac:dyDescent="0.2">
      <c r="A99" s="195"/>
      <c r="B99" s="196"/>
      <c r="C99" s="219"/>
      <c r="D99" s="277" t="s">
        <v>327</v>
      </c>
      <c r="E99" s="198"/>
      <c r="F99" s="328"/>
      <c r="G99" s="198"/>
      <c r="H99" s="260"/>
      <c r="I99" s="307"/>
      <c r="J99" s="342"/>
      <c r="K99" s="198"/>
      <c r="L99" s="241"/>
    </row>
    <row r="100" spans="1:12" s="261" customFormat="1" ht="12.75" customHeight="1" x14ac:dyDescent="0.2">
      <c r="A100" s="199">
        <f>A91+1</f>
        <v>9</v>
      </c>
      <c r="B100" s="200" t="s">
        <v>167</v>
      </c>
      <c r="C100" s="263" t="s">
        <v>318</v>
      </c>
      <c r="D100" s="278" t="str">
        <f>$D$5</f>
        <v>FTE July 2024</v>
      </c>
      <c r="E100" s="201">
        <f>'3083'!I$145</f>
        <v>418062.5</v>
      </c>
      <c r="F100" s="327"/>
      <c r="G100" s="201">
        <f>SUBTOTAL(109,E100:F107)</f>
        <v>418062.5</v>
      </c>
      <c r="H100" s="260"/>
      <c r="I100" s="307"/>
      <c r="J100" s="342"/>
      <c r="K100" s="198"/>
      <c r="L100" s="241"/>
    </row>
    <row r="101" spans="1:12" s="261" customFormat="1" ht="12.75" hidden="1" customHeight="1" x14ac:dyDescent="0.2">
      <c r="A101" s="199"/>
      <c r="B101" s="200"/>
      <c r="C101" s="220"/>
      <c r="D101" s="233" t="s">
        <v>279</v>
      </c>
      <c r="E101" s="201"/>
      <c r="F101" s="327"/>
      <c r="G101" s="201"/>
      <c r="H101" s="297"/>
      <c r="I101" s="196"/>
    </row>
    <row r="102" spans="1:12" s="261" customFormat="1" ht="12.75" hidden="1" customHeight="1" x14ac:dyDescent="0.2">
      <c r="A102" s="199"/>
      <c r="B102" s="200"/>
      <c r="C102" s="220"/>
      <c r="D102" s="373" t="s">
        <v>475</v>
      </c>
      <c r="E102" s="201"/>
      <c r="F102" s="327"/>
      <c r="G102" s="201"/>
      <c r="H102" s="297"/>
      <c r="I102" s="196"/>
    </row>
    <row r="103" spans="1:12" s="261" customFormat="1" ht="12.75" hidden="1" customHeight="1" x14ac:dyDescent="0.2">
      <c r="A103" s="199"/>
      <c r="B103" s="200"/>
      <c r="C103" s="220"/>
      <c r="D103" s="233" t="s">
        <v>281</v>
      </c>
      <c r="E103" s="201"/>
      <c r="F103" s="327"/>
      <c r="G103" s="201"/>
      <c r="H103" s="260"/>
      <c r="I103" s="231"/>
    </row>
    <row r="104" spans="1:12" s="261" customFormat="1" ht="12.75" hidden="1" customHeight="1" x14ac:dyDescent="0.2">
      <c r="A104" s="199"/>
      <c r="B104" s="200"/>
      <c r="C104" s="220"/>
      <c r="D104" s="233" t="s">
        <v>280</v>
      </c>
      <c r="E104" s="201"/>
      <c r="F104" s="327"/>
      <c r="G104" s="201"/>
      <c r="H104" s="297"/>
      <c r="I104" s="196"/>
    </row>
    <row r="105" spans="1:12" s="261" customFormat="1" ht="12.75" hidden="1" customHeight="1" x14ac:dyDescent="0.2">
      <c r="A105" s="199"/>
      <c r="B105" s="200"/>
      <c r="C105" s="220"/>
      <c r="D105" s="279" t="s">
        <v>289</v>
      </c>
      <c r="E105" s="201"/>
      <c r="F105" s="327"/>
      <c r="G105" s="201"/>
      <c r="H105" s="297"/>
      <c r="I105" s="196"/>
    </row>
    <row r="106" spans="1:12" s="261" customFormat="1" ht="12.75" hidden="1" customHeight="1" x14ac:dyDescent="0.2">
      <c r="A106" s="199"/>
      <c r="B106" s="200"/>
      <c r="C106" s="220"/>
      <c r="D106" s="233" t="s">
        <v>258</v>
      </c>
      <c r="E106" s="201"/>
      <c r="F106" s="327"/>
      <c r="G106" s="201"/>
      <c r="H106" s="297"/>
      <c r="I106" s="196"/>
    </row>
    <row r="107" spans="1:12" s="261" customFormat="1" ht="12.75" hidden="1" customHeight="1" x14ac:dyDescent="0.2">
      <c r="A107" s="199"/>
      <c r="B107" s="200"/>
      <c r="C107" s="220"/>
      <c r="D107" s="279" t="s">
        <v>327</v>
      </c>
      <c r="E107" s="201"/>
      <c r="F107" s="327"/>
      <c r="G107" s="201"/>
      <c r="H107" s="260"/>
      <c r="I107" s="317"/>
    </row>
    <row r="108" spans="1:12" s="261" customFormat="1" ht="12.75" customHeight="1" x14ac:dyDescent="0.2">
      <c r="A108" s="195">
        <f>A100+1</f>
        <v>10</v>
      </c>
      <c r="B108" s="196" t="s">
        <v>168</v>
      </c>
      <c r="C108" s="262" t="s">
        <v>365</v>
      </c>
      <c r="D108" s="494" t="str">
        <f>$D$5</f>
        <v>FTE July 2024</v>
      </c>
      <c r="E108" s="198">
        <f>'3345'!I$145</f>
        <v>85480.95</v>
      </c>
      <c r="F108" s="328"/>
      <c r="G108" s="198">
        <f>SUBTOTAL(109,E108:F114)</f>
        <v>85480.95</v>
      </c>
      <c r="H108" s="260"/>
      <c r="I108" s="317"/>
    </row>
    <row r="109" spans="1:12" s="261" customFormat="1" ht="12.75" hidden="1" customHeight="1" x14ac:dyDescent="0.2">
      <c r="A109" s="195"/>
      <c r="B109" s="196"/>
      <c r="C109" s="262"/>
      <c r="D109" s="232" t="s">
        <v>279</v>
      </c>
      <c r="E109" s="198"/>
      <c r="F109" s="328"/>
      <c r="G109" s="198"/>
      <c r="H109" s="260"/>
      <c r="I109" s="317"/>
    </row>
    <row r="110" spans="1:12" s="261" customFormat="1" ht="12.75" hidden="1" customHeight="1" x14ac:dyDescent="0.2">
      <c r="A110" s="195"/>
      <c r="B110" s="196"/>
      <c r="C110" s="262"/>
      <c r="D110" s="232" t="s">
        <v>475</v>
      </c>
      <c r="E110" s="198"/>
      <c r="F110" s="328"/>
      <c r="G110" s="198"/>
      <c r="H110" s="297"/>
      <c r="I110" s="196"/>
    </row>
    <row r="111" spans="1:12" s="261" customFormat="1" ht="12.75" hidden="1" customHeight="1" x14ac:dyDescent="0.2">
      <c r="A111" s="195"/>
      <c r="B111" s="196"/>
      <c r="C111" s="219"/>
      <c r="D111" s="232" t="s">
        <v>280</v>
      </c>
      <c r="E111" s="198"/>
      <c r="F111" s="328"/>
      <c r="G111" s="198"/>
      <c r="H111" s="297"/>
      <c r="I111" s="196"/>
    </row>
    <row r="112" spans="1:12" s="261" customFormat="1" ht="12.75" hidden="1" customHeight="1" x14ac:dyDescent="0.2">
      <c r="A112" s="195"/>
      <c r="B112" s="196"/>
      <c r="C112" s="219"/>
      <c r="D112" s="232" t="s">
        <v>289</v>
      </c>
      <c r="E112" s="198"/>
      <c r="F112" s="328"/>
      <c r="G112" s="198"/>
      <c r="H112" s="260"/>
      <c r="I112" s="231"/>
    </row>
    <row r="113" spans="1:9" s="261" customFormat="1" ht="12.75" hidden="1" customHeight="1" x14ac:dyDescent="0.2">
      <c r="A113" s="195"/>
      <c r="B113" s="196"/>
      <c r="C113" s="219"/>
      <c r="D113" s="232" t="s">
        <v>258</v>
      </c>
      <c r="E113" s="198"/>
      <c r="F113" s="328"/>
      <c r="G113" s="198"/>
      <c r="H113" s="297"/>
      <c r="I113" s="196"/>
    </row>
    <row r="114" spans="1:9" s="261" customFormat="1" ht="12.75" hidden="1" customHeight="1" x14ac:dyDescent="0.2">
      <c r="A114" s="195"/>
      <c r="B114" s="196"/>
      <c r="C114" s="219"/>
      <c r="D114" s="277" t="s">
        <v>327</v>
      </c>
      <c r="E114" s="198"/>
      <c r="F114" s="328"/>
      <c r="G114" s="198"/>
      <c r="H114" s="297"/>
      <c r="I114" s="196"/>
    </row>
    <row r="115" spans="1:9" s="261" customFormat="1" ht="12.75" customHeight="1" x14ac:dyDescent="0.2">
      <c r="A115" s="199">
        <f>A108+1</f>
        <v>11</v>
      </c>
      <c r="B115" s="200" t="s">
        <v>169</v>
      </c>
      <c r="C115" s="220" t="s">
        <v>201</v>
      </c>
      <c r="D115" s="278" t="str">
        <f>$D$5</f>
        <v>FTE July 2024</v>
      </c>
      <c r="E115" s="201">
        <f>'3381'!I$145</f>
        <v>752379.59</v>
      </c>
      <c r="F115" s="327"/>
      <c r="G115" s="201">
        <f>SUBTOTAL(109,E115:F123)</f>
        <v>752379.59</v>
      </c>
      <c r="H115" s="297"/>
      <c r="I115" s="196"/>
    </row>
    <row r="116" spans="1:9" s="261" customFormat="1" ht="12.75" hidden="1" customHeight="1" x14ac:dyDescent="0.2">
      <c r="A116" s="199"/>
      <c r="B116" s="200"/>
      <c r="C116" s="220"/>
      <c r="D116" s="233" t="s">
        <v>279</v>
      </c>
      <c r="E116" s="201"/>
      <c r="F116" s="327"/>
      <c r="G116" s="201"/>
      <c r="H116" s="260"/>
      <c r="I116" s="317"/>
    </row>
    <row r="117" spans="1:9" ht="12.75" hidden="1" customHeight="1" x14ac:dyDescent="0.2">
      <c r="A117" s="199"/>
      <c r="B117" s="200"/>
      <c r="C117" s="220"/>
      <c r="D117" s="373" t="s">
        <v>475</v>
      </c>
      <c r="E117" s="201"/>
      <c r="F117" s="327"/>
      <c r="G117" s="201"/>
      <c r="H117" s="298"/>
      <c r="I117" s="196"/>
    </row>
    <row r="118" spans="1:9" s="261" customFormat="1" ht="12.75" hidden="1" customHeight="1" x14ac:dyDescent="0.2">
      <c r="A118" s="199"/>
      <c r="B118" s="200"/>
      <c r="C118" s="220"/>
      <c r="D118" s="233" t="s">
        <v>281</v>
      </c>
      <c r="E118" s="201"/>
      <c r="F118" s="327"/>
      <c r="G118" s="201"/>
      <c r="H118" s="297"/>
      <c r="I118" s="196"/>
    </row>
    <row r="119" spans="1:9" s="261" customFormat="1" ht="12.75" hidden="1" customHeight="1" x14ac:dyDescent="0.2">
      <c r="A119" s="199"/>
      <c r="B119" s="200"/>
      <c r="C119" s="220"/>
      <c r="D119" s="233" t="s">
        <v>280</v>
      </c>
      <c r="E119" s="201"/>
      <c r="F119" s="327"/>
      <c r="G119" s="201"/>
      <c r="H119" s="297"/>
      <c r="I119" s="196"/>
    </row>
    <row r="120" spans="1:9" s="261" customFormat="1" ht="12.75" hidden="1" customHeight="1" x14ac:dyDescent="0.2">
      <c r="A120" s="199"/>
      <c r="B120" s="200"/>
      <c r="C120" s="220"/>
      <c r="D120" s="233" t="s">
        <v>289</v>
      </c>
      <c r="E120" s="201"/>
      <c r="F120" s="327"/>
      <c r="G120" s="201"/>
      <c r="H120" s="297"/>
      <c r="I120" s="196"/>
    </row>
    <row r="121" spans="1:9" s="261" customFormat="1" ht="12.75" hidden="1" customHeight="1" x14ac:dyDescent="0.2">
      <c r="A121" s="199"/>
      <c r="B121" s="200"/>
      <c r="C121" s="220"/>
      <c r="D121" s="233" t="s">
        <v>258</v>
      </c>
      <c r="E121" s="201"/>
      <c r="F121" s="327"/>
      <c r="G121" s="201"/>
      <c r="H121" s="297"/>
      <c r="I121" s="196"/>
    </row>
    <row r="122" spans="1:9" s="261" customFormat="1" ht="12.75" hidden="1" customHeight="1" x14ac:dyDescent="0.2">
      <c r="A122" s="199"/>
      <c r="B122" s="200"/>
      <c r="C122" s="220"/>
      <c r="D122" s="233" t="s">
        <v>339</v>
      </c>
      <c r="E122" s="201"/>
      <c r="F122" s="327"/>
      <c r="G122" s="201"/>
      <c r="H122" s="297"/>
      <c r="I122" s="196"/>
    </row>
    <row r="123" spans="1:9" s="261" customFormat="1" ht="12.75" hidden="1" customHeight="1" x14ac:dyDescent="0.2">
      <c r="A123" s="199"/>
      <c r="B123" s="200"/>
      <c r="C123" s="220"/>
      <c r="D123" s="279" t="s">
        <v>327</v>
      </c>
      <c r="E123" s="201"/>
      <c r="F123" s="327"/>
      <c r="G123" s="201"/>
      <c r="H123" s="260"/>
      <c r="I123" s="317"/>
    </row>
    <row r="124" spans="1:9" s="261" customFormat="1" ht="12.75" customHeight="1" x14ac:dyDescent="0.2">
      <c r="A124" s="195">
        <f>A115+1</f>
        <v>12</v>
      </c>
      <c r="B124" s="196" t="s">
        <v>170</v>
      </c>
      <c r="C124" s="219" t="s">
        <v>203</v>
      </c>
      <c r="D124" s="494" t="str">
        <f>$D$5</f>
        <v>FTE July 2024</v>
      </c>
      <c r="E124" s="198">
        <f>'3382'!I$145</f>
        <v>183876.95</v>
      </c>
      <c r="F124" s="328"/>
      <c r="G124" s="198">
        <f>SUBTOTAL(109,E124:F132)</f>
        <v>183876.95</v>
      </c>
      <c r="H124" s="260"/>
      <c r="I124" s="317"/>
    </row>
    <row r="125" spans="1:9" s="261" customFormat="1" ht="12.75" hidden="1" customHeight="1" x14ac:dyDescent="0.2">
      <c r="A125" s="195"/>
      <c r="B125" s="196"/>
      <c r="C125" s="219"/>
      <c r="D125" s="232" t="s">
        <v>279</v>
      </c>
      <c r="E125" s="198"/>
      <c r="F125" s="328"/>
      <c r="G125" s="198"/>
      <c r="H125" s="297"/>
      <c r="I125" s="196"/>
    </row>
    <row r="126" spans="1:9" s="261" customFormat="1" ht="12.75" hidden="1" customHeight="1" x14ac:dyDescent="0.2">
      <c r="A126" s="195"/>
      <c r="B126" s="196"/>
      <c r="C126" s="219"/>
      <c r="D126" s="341" t="s">
        <v>475</v>
      </c>
      <c r="E126" s="198"/>
      <c r="F126" s="328"/>
      <c r="G126" s="198"/>
      <c r="H126" s="297"/>
      <c r="I126" s="196"/>
    </row>
    <row r="127" spans="1:9" s="261" customFormat="1" ht="12.75" hidden="1" customHeight="1" x14ac:dyDescent="0.2">
      <c r="A127" s="195"/>
      <c r="B127" s="196"/>
      <c r="C127" s="219"/>
      <c r="D127" s="232" t="s">
        <v>281</v>
      </c>
      <c r="E127" s="198"/>
      <c r="F127" s="328"/>
      <c r="G127" s="198"/>
      <c r="H127" s="260"/>
      <c r="I127" s="231"/>
    </row>
    <row r="128" spans="1:9" s="261" customFormat="1" ht="12.75" hidden="1" customHeight="1" x14ac:dyDescent="0.2">
      <c r="A128" s="195"/>
      <c r="B128" s="196"/>
      <c r="C128" s="219"/>
      <c r="D128" s="232" t="s">
        <v>280</v>
      </c>
      <c r="E128" s="198"/>
      <c r="F128" s="328"/>
      <c r="G128" s="198"/>
      <c r="H128" s="297"/>
      <c r="I128" s="196"/>
    </row>
    <row r="129" spans="1:16" s="261" customFormat="1" ht="12.75" hidden="1" customHeight="1" x14ac:dyDescent="0.2">
      <c r="A129" s="195"/>
      <c r="B129" s="196"/>
      <c r="C129" s="219"/>
      <c r="D129" s="232" t="s">
        <v>289</v>
      </c>
      <c r="E129" s="198"/>
      <c r="F129" s="328"/>
      <c r="G129" s="198"/>
      <c r="H129" s="297"/>
      <c r="I129" s="196"/>
    </row>
    <row r="130" spans="1:16" s="261" customFormat="1" ht="12.75" hidden="1" customHeight="1" x14ac:dyDescent="0.2">
      <c r="A130" s="195"/>
      <c r="B130" s="196"/>
      <c r="C130" s="219"/>
      <c r="D130" s="232" t="s">
        <v>258</v>
      </c>
      <c r="E130" s="198"/>
      <c r="F130" s="328"/>
      <c r="G130" s="198"/>
      <c r="H130" s="297"/>
      <c r="I130" s="196"/>
    </row>
    <row r="131" spans="1:16" s="261" customFormat="1" ht="12.75" hidden="1" customHeight="1" x14ac:dyDescent="0.2">
      <c r="A131" s="195"/>
      <c r="B131" s="196"/>
      <c r="C131" s="219"/>
      <c r="D131" s="232" t="s">
        <v>326</v>
      </c>
      <c r="E131" s="198"/>
      <c r="F131" s="328"/>
      <c r="G131" s="198"/>
      <c r="H131" s="260"/>
      <c r="I131" s="317"/>
    </row>
    <row r="132" spans="1:16" s="261" customFormat="1" ht="12.75" hidden="1" customHeight="1" x14ac:dyDescent="0.2">
      <c r="A132" s="195"/>
      <c r="B132" s="196"/>
      <c r="C132" s="231"/>
      <c r="D132" s="277" t="s">
        <v>327</v>
      </c>
      <c r="E132" s="198"/>
      <c r="F132" s="328"/>
      <c r="G132" s="198"/>
      <c r="H132" s="260"/>
      <c r="I132" s="319"/>
    </row>
    <row r="133" spans="1:16" ht="12.75" customHeight="1" x14ac:dyDescent="0.2">
      <c r="A133" s="199">
        <f>A124+1</f>
        <v>13</v>
      </c>
      <c r="B133" s="200" t="s">
        <v>171</v>
      </c>
      <c r="C133" s="220" t="s">
        <v>205</v>
      </c>
      <c r="D133" s="278" t="str">
        <f>$D$5</f>
        <v>FTE July 2024</v>
      </c>
      <c r="E133" s="201">
        <f>'3391'!I$145</f>
        <v>33300.01</v>
      </c>
      <c r="F133" s="327"/>
      <c r="G133" s="201">
        <f>SUBTOTAL(109,E133:F141)</f>
        <v>34951.810000000005</v>
      </c>
      <c r="H133" s="298"/>
      <c r="I133" s="196"/>
    </row>
    <row r="134" spans="1:16" s="261" customFormat="1" ht="12.75" hidden="1" customHeight="1" x14ac:dyDescent="0.2">
      <c r="A134" s="199"/>
      <c r="B134" s="200"/>
      <c r="C134" s="220"/>
      <c r="D134" s="233" t="s">
        <v>279</v>
      </c>
      <c r="E134" s="201"/>
      <c r="F134" s="327"/>
      <c r="G134" s="201"/>
      <c r="H134" s="297"/>
      <c r="I134" s="196"/>
      <c r="P134" s="318"/>
    </row>
    <row r="135" spans="1:16" s="261" customFormat="1" ht="12.75" hidden="1" customHeight="1" x14ac:dyDescent="0.2">
      <c r="A135" s="199"/>
      <c r="B135" s="200"/>
      <c r="C135" s="220"/>
      <c r="D135" s="233" t="s">
        <v>475</v>
      </c>
      <c r="E135" s="201"/>
      <c r="F135" s="327"/>
      <c r="G135" s="201"/>
      <c r="H135" s="297"/>
      <c r="I135" s="196"/>
    </row>
    <row r="136" spans="1:16" s="261" customFormat="1" ht="12.75" hidden="1" customHeight="1" x14ac:dyDescent="0.2">
      <c r="A136" s="199"/>
      <c r="B136" s="200"/>
      <c r="C136" s="220"/>
      <c r="D136" s="373" t="s">
        <v>343</v>
      </c>
      <c r="E136" s="201"/>
      <c r="F136" s="327"/>
      <c r="G136" s="201"/>
      <c r="H136" s="260"/>
      <c r="I136" s="231"/>
    </row>
    <row r="137" spans="1:16" s="261" customFormat="1" ht="12.75" hidden="1" customHeight="1" x14ac:dyDescent="0.2">
      <c r="A137" s="199"/>
      <c r="B137" s="200"/>
      <c r="C137" s="220"/>
      <c r="D137" s="233" t="s">
        <v>281</v>
      </c>
      <c r="E137" s="201"/>
      <c r="F137" s="327"/>
      <c r="G137" s="201"/>
      <c r="H137" s="297"/>
      <c r="I137" s="196"/>
    </row>
    <row r="138" spans="1:16" s="261" customFormat="1" ht="12.75" hidden="1" customHeight="1" x14ac:dyDescent="0.2">
      <c r="A138" s="199"/>
      <c r="B138" s="200"/>
      <c r="C138" s="220"/>
      <c r="D138" s="233" t="s">
        <v>280</v>
      </c>
      <c r="E138" s="201"/>
      <c r="F138" s="327"/>
      <c r="G138" s="201"/>
      <c r="H138" s="297"/>
      <c r="I138" s="196"/>
    </row>
    <row r="139" spans="1:16" s="261" customFormat="1" ht="12.75" hidden="1" customHeight="1" x14ac:dyDescent="0.2">
      <c r="A139" s="199"/>
      <c r="B139" s="200"/>
      <c r="C139" s="220"/>
      <c r="D139" s="233" t="s">
        <v>289</v>
      </c>
      <c r="E139" s="201"/>
      <c r="F139" s="327"/>
      <c r="G139" s="201"/>
      <c r="H139" s="297"/>
      <c r="I139" s="196"/>
    </row>
    <row r="140" spans="1:16" s="261" customFormat="1" ht="12.75" hidden="1" customHeight="1" x14ac:dyDescent="0.2">
      <c r="A140" s="199"/>
      <c r="B140" s="200"/>
      <c r="C140" s="220"/>
      <c r="D140" s="233" t="s">
        <v>258</v>
      </c>
      <c r="E140" s="201"/>
      <c r="F140" s="327"/>
      <c r="G140" s="201"/>
      <c r="H140" s="260"/>
      <c r="I140" s="317"/>
    </row>
    <row r="141" spans="1:16" s="261" customFormat="1" ht="12.75" customHeight="1" x14ac:dyDescent="0.2">
      <c r="A141" s="199"/>
      <c r="B141" s="200"/>
      <c r="C141" s="220"/>
      <c r="D141" s="279" t="s">
        <v>525</v>
      </c>
      <c r="E141" s="201"/>
      <c r="F141" s="327">
        <v>1651.8</v>
      </c>
      <c r="G141" s="201"/>
      <c r="H141" s="297"/>
      <c r="I141" s="317"/>
    </row>
    <row r="142" spans="1:16" ht="12.75" customHeight="1" x14ac:dyDescent="0.2">
      <c r="A142" s="195">
        <f>A133+1</f>
        <v>14</v>
      </c>
      <c r="B142" s="196" t="s">
        <v>172</v>
      </c>
      <c r="C142" s="219" t="s">
        <v>206</v>
      </c>
      <c r="D142" s="494" t="str">
        <f>$D$5</f>
        <v>FTE July 2024</v>
      </c>
      <c r="E142" s="198">
        <f>'3394'!I$145</f>
        <v>144251.51</v>
      </c>
      <c r="F142" s="328"/>
      <c r="G142" s="198">
        <f>SUBTOTAL(109,E142:F151)</f>
        <v>144251.51</v>
      </c>
      <c r="H142" s="298"/>
      <c r="I142" s="196"/>
    </row>
    <row r="143" spans="1:16" s="261" customFormat="1" ht="12.75" hidden="1" customHeight="1" x14ac:dyDescent="0.2">
      <c r="A143" s="195"/>
      <c r="B143" s="196"/>
      <c r="C143" s="219"/>
      <c r="D143" s="232" t="s">
        <v>279</v>
      </c>
      <c r="E143" s="198"/>
      <c r="F143" s="328"/>
      <c r="G143" s="198"/>
      <c r="H143" s="297"/>
      <c r="I143" s="285"/>
    </row>
    <row r="144" spans="1:16" s="261" customFormat="1" ht="12.75" hidden="1" customHeight="1" x14ac:dyDescent="0.2">
      <c r="A144" s="195"/>
      <c r="B144" s="196"/>
      <c r="C144" s="219"/>
      <c r="D144" s="341" t="s">
        <v>475</v>
      </c>
      <c r="E144" s="198"/>
      <c r="F144" s="328"/>
      <c r="G144" s="198"/>
      <c r="H144" s="297"/>
      <c r="I144" s="285"/>
    </row>
    <row r="145" spans="1:9" s="261" customFormat="1" ht="12.75" hidden="1" customHeight="1" x14ac:dyDescent="0.2">
      <c r="A145" s="195"/>
      <c r="B145" s="196"/>
      <c r="C145" s="219"/>
      <c r="D145" s="232" t="s">
        <v>281</v>
      </c>
      <c r="E145" s="198"/>
      <c r="F145" s="328"/>
      <c r="G145" s="198"/>
      <c r="H145" s="260"/>
      <c r="I145" s="231"/>
    </row>
    <row r="146" spans="1:9" s="261" customFormat="1" ht="12.75" hidden="1" customHeight="1" x14ac:dyDescent="0.2">
      <c r="A146" s="195"/>
      <c r="B146" s="196"/>
      <c r="C146" s="219"/>
      <c r="D146" s="232" t="s">
        <v>280</v>
      </c>
      <c r="E146" s="198"/>
      <c r="F146" s="328"/>
      <c r="G146" s="198"/>
      <c r="H146" s="260"/>
      <c r="I146" s="231"/>
    </row>
    <row r="147" spans="1:9" s="261" customFormat="1" ht="12.75" hidden="1" customHeight="1" x14ac:dyDescent="0.2">
      <c r="A147" s="195"/>
      <c r="B147" s="196"/>
      <c r="C147" s="219"/>
      <c r="D147" s="232" t="s">
        <v>289</v>
      </c>
      <c r="E147" s="198"/>
      <c r="F147" s="328"/>
      <c r="G147" s="198"/>
      <c r="H147" s="297"/>
      <c r="I147" s="285"/>
    </row>
    <row r="148" spans="1:9" s="261" customFormat="1" ht="12.75" hidden="1" customHeight="1" x14ac:dyDescent="0.2">
      <c r="A148" s="195"/>
      <c r="B148" s="196"/>
      <c r="C148" s="219"/>
      <c r="D148" s="232" t="s">
        <v>258</v>
      </c>
      <c r="E148" s="198"/>
      <c r="F148" s="328"/>
      <c r="G148" s="198"/>
      <c r="H148" s="297"/>
      <c r="I148" s="285"/>
    </row>
    <row r="149" spans="1:9" s="261" customFormat="1" ht="12.75" hidden="1" customHeight="1" x14ac:dyDescent="0.2">
      <c r="A149" s="195"/>
      <c r="B149" s="196"/>
      <c r="C149" s="219"/>
      <c r="D149" s="232" t="s">
        <v>339</v>
      </c>
      <c r="E149" s="198"/>
      <c r="F149" s="328"/>
      <c r="G149" s="198"/>
      <c r="H149" s="297"/>
      <c r="I149" s="285"/>
    </row>
    <row r="150" spans="1:9" s="261" customFormat="1" ht="12.75" hidden="1" customHeight="1" x14ac:dyDescent="0.2">
      <c r="A150" s="195"/>
      <c r="B150" s="196"/>
      <c r="C150" s="219"/>
      <c r="D150" s="277" t="s">
        <v>368</v>
      </c>
      <c r="E150" s="198"/>
      <c r="F150" s="328"/>
      <c r="G150" s="198"/>
      <c r="H150" s="260"/>
      <c r="I150" s="317"/>
    </row>
    <row r="151" spans="1:9" s="261" customFormat="1" ht="12.75" hidden="1" customHeight="1" x14ac:dyDescent="0.2">
      <c r="A151" s="195"/>
      <c r="B151" s="196"/>
      <c r="C151" s="219"/>
      <c r="D151" s="277" t="s">
        <v>369</v>
      </c>
      <c r="E151" s="198"/>
      <c r="F151" s="328"/>
      <c r="G151" s="198"/>
      <c r="H151" s="260"/>
      <c r="I151" s="317"/>
    </row>
    <row r="152" spans="1:9" s="261" customFormat="1" ht="12.75" customHeight="1" x14ac:dyDescent="0.2">
      <c r="A152" s="199">
        <f>A142+1</f>
        <v>15</v>
      </c>
      <c r="B152" s="200" t="s">
        <v>173</v>
      </c>
      <c r="C152" s="263" t="s">
        <v>287</v>
      </c>
      <c r="D152" s="278" t="str">
        <f>$D$5</f>
        <v>FTE July 2024</v>
      </c>
      <c r="E152" s="201">
        <f>'3395'!I$145</f>
        <v>370530.88</v>
      </c>
      <c r="F152" s="327"/>
      <c r="G152" s="201">
        <f>SUBTOTAL(109,E152:F160)</f>
        <v>370530.88</v>
      </c>
      <c r="H152" s="297"/>
      <c r="I152" s="285"/>
    </row>
    <row r="153" spans="1:9" s="261" customFormat="1" ht="12.75" hidden="1" customHeight="1" x14ac:dyDescent="0.2">
      <c r="A153" s="199"/>
      <c r="B153" s="200"/>
      <c r="C153" s="220"/>
      <c r="D153" s="233" t="s">
        <v>279</v>
      </c>
      <c r="E153" s="201"/>
      <c r="F153" s="327"/>
      <c r="G153" s="201"/>
      <c r="H153" s="297"/>
      <c r="I153" s="285"/>
    </row>
    <row r="154" spans="1:9" s="261" customFormat="1" ht="12.75" hidden="1" customHeight="1" x14ac:dyDescent="0.2">
      <c r="A154" s="199"/>
      <c r="B154" s="200"/>
      <c r="C154" s="220"/>
      <c r="D154" s="373" t="s">
        <v>475</v>
      </c>
      <c r="E154" s="201"/>
      <c r="F154" s="327"/>
      <c r="G154" s="201"/>
      <c r="H154" s="260"/>
      <c r="I154" s="231"/>
    </row>
    <row r="155" spans="1:9" s="261" customFormat="1" ht="12.75" hidden="1" customHeight="1" x14ac:dyDescent="0.2">
      <c r="A155" s="199"/>
      <c r="B155" s="200"/>
      <c r="C155" s="220"/>
      <c r="D155" s="233" t="s">
        <v>281</v>
      </c>
      <c r="E155" s="201"/>
      <c r="F155" s="327"/>
      <c r="G155" s="201"/>
      <c r="H155" s="297"/>
      <c r="I155" s="285"/>
    </row>
    <row r="156" spans="1:9" s="261" customFormat="1" ht="12.75" hidden="1" customHeight="1" x14ac:dyDescent="0.2">
      <c r="A156" s="199"/>
      <c r="B156" s="200"/>
      <c r="C156" s="220"/>
      <c r="D156" s="233" t="s">
        <v>280</v>
      </c>
      <c r="E156" s="201"/>
      <c r="F156" s="327"/>
      <c r="G156" s="201"/>
      <c r="H156" s="297"/>
      <c r="I156" s="285"/>
    </row>
    <row r="157" spans="1:9" s="261" customFormat="1" ht="12.75" hidden="1" customHeight="1" x14ac:dyDescent="0.2">
      <c r="A157" s="199"/>
      <c r="B157" s="200"/>
      <c r="C157" s="220"/>
      <c r="D157" s="233" t="s">
        <v>289</v>
      </c>
      <c r="E157" s="201"/>
      <c r="F157" s="327"/>
      <c r="G157" s="201"/>
      <c r="H157" s="297"/>
      <c r="I157" s="285"/>
    </row>
    <row r="158" spans="1:9" s="261" customFormat="1" ht="12.75" hidden="1" customHeight="1" x14ac:dyDescent="0.2">
      <c r="A158" s="199"/>
      <c r="B158" s="200"/>
      <c r="C158" s="220"/>
      <c r="D158" s="233" t="s">
        <v>258</v>
      </c>
      <c r="E158" s="201"/>
      <c r="F158" s="327"/>
      <c r="G158" s="201"/>
      <c r="H158" s="260"/>
      <c r="I158" s="317"/>
    </row>
    <row r="159" spans="1:9" s="261" customFormat="1" ht="12.75" hidden="1" customHeight="1" x14ac:dyDescent="0.2">
      <c r="A159" s="199"/>
      <c r="B159" s="200"/>
      <c r="C159" s="220"/>
      <c r="D159" s="314" t="s">
        <v>437</v>
      </c>
      <c r="E159" s="201"/>
      <c r="F159" s="327"/>
      <c r="G159" s="201"/>
      <c r="H159" s="297"/>
      <c r="I159" s="319"/>
    </row>
    <row r="160" spans="1:9" s="261" customFormat="1" ht="12.75" hidden="1" customHeight="1" x14ac:dyDescent="0.2">
      <c r="A160" s="331"/>
      <c r="B160" s="200"/>
      <c r="C160" s="220"/>
      <c r="D160" s="314" t="s">
        <v>511</v>
      </c>
      <c r="E160" s="537"/>
      <c r="F160" s="327"/>
      <c r="G160" s="201"/>
      <c r="H160" s="297"/>
      <c r="I160" s="319"/>
    </row>
    <row r="161" spans="1:11" s="261" customFormat="1" ht="12.75" customHeight="1" x14ac:dyDescent="0.2">
      <c r="A161" s="195">
        <f>A152+1</f>
        <v>16</v>
      </c>
      <c r="B161" s="196" t="s">
        <v>174</v>
      </c>
      <c r="C161" s="262" t="s">
        <v>228</v>
      </c>
      <c r="D161" s="494" t="str">
        <f>$D$5</f>
        <v>FTE July 2024</v>
      </c>
      <c r="E161" s="198">
        <f>'3396'!I$145</f>
        <v>457612.31</v>
      </c>
      <c r="F161" s="328"/>
      <c r="G161" s="198">
        <f>SUBTOTAL(109,E161:F168)</f>
        <v>457612.31</v>
      </c>
      <c r="H161" s="297"/>
      <c r="I161" s="285"/>
    </row>
    <row r="162" spans="1:11" s="261" customFormat="1" ht="12.75" hidden="1" customHeight="1" x14ac:dyDescent="0.2">
      <c r="A162" s="195"/>
      <c r="B162" s="196"/>
      <c r="C162" s="262"/>
      <c r="D162" s="232" t="s">
        <v>279</v>
      </c>
      <c r="E162" s="198"/>
      <c r="F162" s="328"/>
      <c r="G162" s="198"/>
      <c r="H162" s="297"/>
      <c r="I162" s="285"/>
    </row>
    <row r="163" spans="1:11" s="261" customFormat="1" ht="12.75" hidden="1" customHeight="1" x14ac:dyDescent="0.2">
      <c r="A163" s="195"/>
      <c r="B163" s="196"/>
      <c r="C163" s="262"/>
      <c r="D163" s="232" t="s">
        <v>475</v>
      </c>
      <c r="E163" s="198"/>
      <c r="F163" s="328"/>
      <c r="G163" s="198"/>
      <c r="H163" s="297"/>
      <c r="I163" s="285"/>
    </row>
    <row r="164" spans="1:11" s="261" customFormat="1" ht="12.75" hidden="1" customHeight="1" x14ac:dyDescent="0.2">
      <c r="A164" s="195"/>
      <c r="B164" s="196"/>
      <c r="C164" s="262"/>
      <c r="D164" s="232" t="s">
        <v>280</v>
      </c>
      <c r="E164" s="198"/>
      <c r="F164" s="328"/>
      <c r="G164" s="198"/>
      <c r="H164" s="260"/>
      <c r="I164" s="231"/>
    </row>
    <row r="165" spans="1:11" s="261" customFormat="1" ht="12.75" hidden="1" customHeight="1" x14ac:dyDescent="0.2">
      <c r="A165" s="195"/>
      <c r="B165" s="196"/>
      <c r="C165" s="262"/>
      <c r="D165" s="232" t="s">
        <v>289</v>
      </c>
      <c r="E165" s="198"/>
      <c r="F165" s="328"/>
      <c r="G165" s="198"/>
      <c r="H165" s="297"/>
      <c r="I165" s="285"/>
    </row>
    <row r="166" spans="1:11" s="261" customFormat="1" ht="12.75" hidden="1" customHeight="1" x14ac:dyDescent="0.2">
      <c r="A166" s="195"/>
      <c r="B166" s="196"/>
      <c r="C166" s="219"/>
      <c r="D166" s="232" t="s">
        <v>258</v>
      </c>
      <c r="E166" s="198"/>
      <c r="F166" s="328"/>
      <c r="G166" s="198"/>
      <c r="H166" s="297"/>
      <c r="I166" s="285"/>
    </row>
    <row r="167" spans="1:11" s="261" customFormat="1" ht="12.75" hidden="1" customHeight="1" x14ac:dyDescent="0.2">
      <c r="A167" s="195"/>
      <c r="B167" s="196"/>
      <c r="C167" s="219"/>
      <c r="D167" s="232" t="s">
        <v>339</v>
      </c>
      <c r="E167" s="198"/>
      <c r="F167" s="328"/>
      <c r="G167" s="198"/>
      <c r="H167" s="297"/>
      <c r="I167" s="285"/>
    </row>
    <row r="168" spans="1:11" s="261" customFormat="1" ht="12.75" hidden="1" customHeight="1" x14ac:dyDescent="0.2">
      <c r="A168" s="195"/>
      <c r="B168" s="196"/>
      <c r="C168" s="219"/>
      <c r="D168" s="277" t="s">
        <v>327</v>
      </c>
      <c r="E168" s="198"/>
      <c r="F168" s="328"/>
      <c r="G168" s="198"/>
      <c r="H168" s="260"/>
      <c r="I168" s="317"/>
    </row>
    <row r="169" spans="1:11" s="261" customFormat="1" ht="12.75" customHeight="1" x14ac:dyDescent="0.2">
      <c r="A169" s="199">
        <f>A161+1</f>
        <v>17</v>
      </c>
      <c r="B169" s="200" t="s">
        <v>175</v>
      </c>
      <c r="C169" s="220" t="s">
        <v>196</v>
      </c>
      <c r="D169" s="278" t="str">
        <f>$D$5</f>
        <v>FTE July 2024</v>
      </c>
      <c r="E169" s="201">
        <f>'3398'!I$145</f>
        <v>82429.48</v>
      </c>
      <c r="F169" s="327"/>
      <c r="G169" s="201">
        <f>SUBTOTAL(109,E169:F175)</f>
        <v>82429.48</v>
      </c>
      <c r="H169" s="297"/>
      <c r="I169" s="319"/>
    </row>
    <row r="170" spans="1:11" ht="12.75" hidden="1" customHeight="1" x14ac:dyDescent="0.2">
      <c r="A170" s="199"/>
      <c r="B170" s="200"/>
      <c r="C170" s="220"/>
      <c r="D170" s="233" t="s">
        <v>279</v>
      </c>
      <c r="E170" s="201"/>
      <c r="F170" s="327"/>
      <c r="G170" s="201"/>
      <c r="H170" s="298"/>
      <c r="I170" s="332"/>
    </row>
    <row r="171" spans="1:11" s="261" customFormat="1" ht="12.75" hidden="1" customHeight="1" x14ac:dyDescent="0.2">
      <c r="A171" s="199"/>
      <c r="B171" s="200"/>
      <c r="C171" s="220"/>
      <c r="D171" s="233" t="s">
        <v>475</v>
      </c>
      <c r="E171" s="201"/>
      <c r="F171" s="327"/>
      <c r="G171" s="201"/>
      <c r="H171" s="297"/>
      <c r="I171" s="285"/>
      <c r="K171" s="318"/>
    </row>
    <row r="172" spans="1:11" s="261" customFormat="1" ht="12.75" hidden="1" customHeight="1" x14ac:dyDescent="0.2">
      <c r="A172" s="199"/>
      <c r="B172" s="200"/>
      <c r="C172" s="220"/>
      <c r="D172" s="233" t="s">
        <v>280</v>
      </c>
      <c r="E172" s="201"/>
      <c r="F172" s="327"/>
      <c r="G172" s="201"/>
      <c r="H172" s="297"/>
      <c r="I172" s="285"/>
    </row>
    <row r="173" spans="1:11" s="261" customFormat="1" ht="12.75" hidden="1" customHeight="1" x14ac:dyDescent="0.2">
      <c r="A173" s="199"/>
      <c r="B173" s="200"/>
      <c r="C173" s="229"/>
      <c r="D173" s="233" t="s">
        <v>289</v>
      </c>
      <c r="E173" s="201"/>
      <c r="F173" s="327"/>
      <c r="G173" s="201"/>
      <c r="H173" s="297"/>
    </row>
    <row r="174" spans="1:11" s="261" customFormat="1" ht="12.75" hidden="1" customHeight="1" x14ac:dyDescent="0.2">
      <c r="A174" s="199"/>
      <c r="B174" s="200"/>
      <c r="C174" s="220"/>
      <c r="D174" s="233" t="s">
        <v>258</v>
      </c>
      <c r="E174" s="201"/>
      <c r="F174" s="327"/>
      <c r="G174" s="201"/>
      <c r="H174" s="297"/>
    </row>
    <row r="175" spans="1:11" s="261" customFormat="1" ht="12.75" hidden="1" customHeight="1" x14ac:dyDescent="0.2">
      <c r="A175" s="199"/>
      <c r="B175" s="200"/>
      <c r="C175" s="229"/>
      <c r="D175" s="279" t="s">
        <v>327</v>
      </c>
      <c r="E175" s="201"/>
      <c r="F175" s="327"/>
      <c r="G175" s="201"/>
      <c r="H175" s="297"/>
    </row>
    <row r="176" spans="1:11" s="261" customFormat="1" ht="12.75" customHeight="1" x14ac:dyDescent="0.2">
      <c r="A176" s="195">
        <f>A169+1</f>
        <v>18</v>
      </c>
      <c r="B176" s="196" t="s">
        <v>176</v>
      </c>
      <c r="C176" s="219" t="s">
        <v>190</v>
      </c>
      <c r="D176" s="494" t="str">
        <f>$D$5</f>
        <v>FTE July 2024</v>
      </c>
      <c r="E176" s="198">
        <f>'3400'!I$145</f>
        <v>93468.86</v>
      </c>
      <c r="F176" s="328"/>
      <c r="G176" s="198">
        <f>SUBTOTAL(109,E176:F183)</f>
        <v>93468.86</v>
      </c>
      <c r="H176" s="260"/>
      <c r="I176" s="317"/>
    </row>
    <row r="177" spans="1:9" s="261" customFormat="1" ht="12.75" hidden="1" customHeight="1" x14ac:dyDescent="0.2">
      <c r="A177" s="195"/>
      <c r="B177" s="196"/>
      <c r="C177" s="219"/>
      <c r="D177" s="232" t="s">
        <v>279</v>
      </c>
      <c r="E177" s="198"/>
      <c r="F177" s="328"/>
      <c r="G177" s="198"/>
      <c r="H177" s="297"/>
      <c r="I177" s="319"/>
    </row>
    <row r="178" spans="1:9" s="261" customFormat="1" ht="12.75" hidden="1" customHeight="1" x14ac:dyDescent="0.2">
      <c r="A178" s="195"/>
      <c r="B178" s="196"/>
      <c r="C178" s="219"/>
      <c r="D178" s="341" t="s">
        <v>475</v>
      </c>
      <c r="E178" s="198"/>
      <c r="F178" s="328"/>
      <c r="G178" s="198"/>
      <c r="H178" s="297"/>
      <c r="I178" s="285"/>
    </row>
    <row r="179" spans="1:9" s="261" customFormat="1" ht="12.75" hidden="1" customHeight="1" x14ac:dyDescent="0.2">
      <c r="A179" s="195"/>
      <c r="B179" s="196"/>
      <c r="C179" s="219"/>
      <c r="D179" s="232" t="s">
        <v>281</v>
      </c>
      <c r="E179" s="198"/>
      <c r="F179" s="328"/>
      <c r="G179" s="198"/>
      <c r="H179" s="297"/>
      <c r="I179" s="285"/>
    </row>
    <row r="180" spans="1:9" s="261" customFormat="1" ht="12.75" hidden="1" customHeight="1" x14ac:dyDescent="0.2">
      <c r="A180" s="195"/>
      <c r="B180" s="196"/>
      <c r="C180" s="219"/>
      <c r="D180" s="232" t="s">
        <v>280</v>
      </c>
      <c r="E180" s="198"/>
      <c r="F180" s="328"/>
      <c r="G180" s="198"/>
      <c r="H180" s="297"/>
      <c r="I180" s="285"/>
    </row>
    <row r="181" spans="1:9" s="261" customFormat="1" ht="12.75" hidden="1" customHeight="1" x14ac:dyDescent="0.2">
      <c r="A181" s="195"/>
      <c r="B181" s="196"/>
      <c r="C181" s="219"/>
      <c r="D181" s="232" t="s">
        <v>289</v>
      </c>
      <c r="E181" s="198"/>
      <c r="F181" s="328"/>
      <c r="G181" s="198"/>
      <c r="H181" s="297"/>
    </row>
    <row r="182" spans="1:9" s="261" customFormat="1" ht="12.75" hidden="1" customHeight="1" x14ac:dyDescent="0.2">
      <c r="A182" s="195"/>
      <c r="B182" s="196"/>
      <c r="C182" s="219"/>
      <c r="D182" s="232" t="s">
        <v>258</v>
      </c>
      <c r="E182" s="198"/>
      <c r="F182" s="328"/>
      <c r="G182" s="198"/>
      <c r="H182" s="297"/>
      <c r="I182" s="188"/>
    </row>
    <row r="183" spans="1:9" ht="12.75" hidden="1" customHeight="1" x14ac:dyDescent="0.2">
      <c r="A183" s="195"/>
      <c r="B183" s="196"/>
      <c r="C183" s="219"/>
      <c r="D183" s="277" t="s">
        <v>327</v>
      </c>
      <c r="E183" s="198"/>
      <c r="F183" s="328"/>
      <c r="G183" s="198"/>
      <c r="H183" s="298"/>
    </row>
    <row r="184" spans="1:9" s="261" customFormat="1" ht="12.75" customHeight="1" x14ac:dyDescent="0.2">
      <c r="A184" s="199">
        <f>A176+1</f>
        <v>19</v>
      </c>
      <c r="B184" s="200" t="s">
        <v>177</v>
      </c>
      <c r="C184" s="220" t="s">
        <v>207</v>
      </c>
      <c r="D184" s="278" t="str">
        <f>$D$5</f>
        <v>FTE July 2024</v>
      </c>
      <c r="E184" s="201">
        <f>'3401'!I$145</f>
        <v>261804.23</v>
      </c>
      <c r="F184" s="327"/>
      <c r="G184" s="201">
        <f>SUBTOTAL(109,E184:F194)</f>
        <v>261804.23</v>
      </c>
      <c r="H184" s="260"/>
      <c r="I184" s="317"/>
    </row>
    <row r="185" spans="1:9" ht="12.75" hidden="1" customHeight="1" x14ac:dyDescent="0.2">
      <c r="A185" s="199"/>
      <c r="B185" s="200"/>
      <c r="C185" s="220"/>
      <c r="D185" s="233" t="s">
        <v>279</v>
      </c>
      <c r="E185" s="201"/>
      <c r="F185" s="327"/>
      <c r="G185" s="201"/>
      <c r="H185" s="298"/>
      <c r="I185" s="285"/>
    </row>
    <row r="186" spans="1:9" s="261" customFormat="1" ht="12.75" hidden="1" customHeight="1" x14ac:dyDescent="0.2">
      <c r="A186" s="199"/>
      <c r="B186" s="200"/>
      <c r="C186" s="220"/>
      <c r="D186" s="373" t="s">
        <v>475</v>
      </c>
      <c r="E186" s="201"/>
      <c r="F186" s="327"/>
      <c r="G186" s="201"/>
      <c r="H186" s="297"/>
      <c r="I186" s="285"/>
    </row>
    <row r="187" spans="1:9" s="261" customFormat="1" ht="12.75" hidden="1" customHeight="1" x14ac:dyDescent="0.2">
      <c r="A187" s="199"/>
      <c r="B187" s="200"/>
      <c r="C187" s="220"/>
      <c r="D187" s="233" t="s">
        <v>345</v>
      </c>
      <c r="E187" s="201"/>
      <c r="F187" s="327"/>
      <c r="G187" s="201"/>
      <c r="H187" s="297"/>
      <c r="I187" s="285"/>
    </row>
    <row r="188" spans="1:9" s="261" customFormat="1" ht="12.75" hidden="1" customHeight="1" x14ac:dyDescent="0.2">
      <c r="A188" s="199"/>
      <c r="B188" s="200"/>
      <c r="C188" s="220"/>
      <c r="D188" s="233" t="s">
        <v>346</v>
      </c>
      <c r="E188" s="201"/>
      <c r="F188" s="327"/>
      <c r="G188" s="201"/>
      <c r="H188" s="260"/>
      <c r="I188" s="231"/>
    </row>
    <row r="189" spans="1:9" s="261" customFormat="1" ht="12.75" hidden="1" customHeight="1" x14ac:dyDescent="0.2">
      <c r="A189" s="199"/>
      <c r="B189" s="200"/>
      <c r="C189" s="220"/>
      <c r="D189" s="233" t="s">
        <v>281</v>
      </c>
      <c r="E189" s="201"/>
      <c r="F189" s="327"/>
      <c r="G189" s="201"/>
      <c r="H189" s="297"/>
    </row>
    <row r="190" spans="1:9" s="261" customFormat="1" ht="12.75" hidden="1" customHeight="1" x14ac:dyDescent="0.2">
      <c r="A190" s="199"/>
      <c r="B190" s="200"/>
      <c r="C190" s="220"/>
      <c r="D190" s="233" t="s">
        <v>280</v>
      </c>
      <c r="E190" s="201"/>
      <c r="F190" s="327"/>
      <c r="G190" s="201"/>
      <c r="H190" s="297"/>
    </row>
    <row r="191" spans="1:9" s="261" customFormat="1" ht="12.75" hidden="1" customHeight="1" x14ac:dyDescent="0.2">
      <c r="A191" s="199"/>
      <c r="B191" s="200"/>
      <c r="C191" s="220"/>
      <c r="D191" s="233" t="s">
        <v>289</v>
      </c>
      <c r="E191" s="201"/>
      <c r="F191" s="327"/>
      <c r="G191" s="201"/>
      <c r="H191" s="297"/>
      <c r="I191" s="196"/>
    </row>
    <row r="192" spans="1:9" s="261" customFormat="1" ht="12.75" hidden="1" customHeight="1" x14ac:dyDescent="0.2">
      <c r="A192" s="199"/>
      <c r="B192" s="200"/>
      <c r="C192" s="220"/>
      <c r="D192" s="233" t="s">
        <v>258</v>
      </c>
      <c r="E192" s="201"/>
      <c r="F192" s="327"/>
      <c r="G192" s="201"/>
      <c r="H192" s="260"/>
      <c r="I192" s="317"/>
    </row>
    <row r="193" spans="1:9" s="261" customFormat="1" ht="12.75" hidden="1" customHeight="1" x14ac:dyDescent="0.2">
      <c r="A193" s="199"/>
      <c r="B193" s="200"/>
      <c r="C193" s="229"/>
      <c r="D193" s="314" t="s">
        <v>340</v>
      </c>
      <c r="E193" s="201"/>
      <c r="F193" s="327"/>
      <c r="G193" s="201"/>
      <c r="H193" s="260"/>
      <c r="I193" s="317"/>
    </row>
    <row r="194" spans="1:9" s="261" customFormat="1" ht="12.75" hidden="1" customHeight="1" x14ac:dyDescent="0.2">
      <c r="A194" s="199"/>
      <c r="B194" s="200"/>
      <c r="C194" s="220"/>
      <c r="D194" s="279" t="s">
        <v>327</v>
      </c>
      <c r="E194" s="201"/>
      <c r="F194" s="327"/>
      <c r="G194" s="201"/>
      <c r="H194" s="297"/>
      <c r="I194" s="196"/>
    </row>
    <row r="195" spans="1:9" s="261" customFormat="1" ht="12.75" customHeight="1" x14ac:dyDescent="0.2">
      <c r="A195" s="195">
        <f>A184+1</f>
        <v>20</v>
      </c>
      <c r="B195" s="196" t="s">
        <v>178</v>
      </c>
      <c r="C195" s="219" t="s">
        <v>208</v>
      </c>
      <c r="D195" s="494" t="str">
        <f>$D$5</f>
        <v>FTE July 2024</v>
      </c>
      <c r="E195" s="198">
        <f>'3413'!I$145</f>
        <v>271329</v>
      </c>
      <c r="F195" s="328"/>
      <c r="G195" s="198">
        <f>SUBTOTAL(109,E195:F202)</f>
        <v>271329</v>
      </c>
      <c r="H195" s="297"/>
      <c r="I195" s="196"/>
    </row>
    <row r="196" spans="1:9" s="261" customFormat="1" ht="12.75" hidden="1" customHeight="1" x14ac:dyDescent="0.2">
      <c r="A196" s="195"/>
      <c r="B196" s="196"/>
      <c r="C196" s="219"/>
      <c r="D196" s="232" t="s">
        <v>279</v>
      </c>
      <c r="E196" s="198"/>
      <c r="F196" s="328"/>
      <c r="G196" s="198"/>
      <c r="H196" s="297"/>
      <c r="I196" s="196"/>
    </row>
    <row r="197" spans="1:9" s="261" customFormat="1" ht="12.75" hidden="1" customHeight="1" x14ac:dyDescent="0.2">
      <c r="A197" s="195"/>
      <c r="B197" s="196"/>
      <c r="C197" s="219"/>
      <c r="D197" s="341" t="s">
        <v>475</v>
      </c>
      <c r="E197" s="198"/>
      <c r="F197" s="328"/>
      <c r="G197" s="198"/>
      <c r="H197" s="297"/>
      <c r="I197" s="196"/>
    </row>
    <row r="198" spans="1:9" s="261" customFormat="1" ht="12.75" hidden="1" customHeight="1" x14ac:dyDescent="0.2">
      <c r="A198" s="195"/>
      <c r="B198" s="196"/>
      <c r="C198" s="219"/>
      <c r="D198" s="232" t="s">
        <v>281</v>
      </c>
      <c r="E198" s="198"/>
      <c r="F198" s="328"/>
      <c r="G198" s="198"/>
      <c r="H198" s="297"/>
      <c r="I198" s="196"/>
    </row>
    <row r="199" spans="1:9" s="261" customFormat="1" ht="12.75" hidden="1" customHeight="1" x14ac:dyDescent="0.2">
      <c r="A199" s="195"/>
      <c r="B199" s="196"/>
      <c r="C199" s="219"/>
      <c r="D199" s="232" t="s">
        <v>280</v>
      </c>
      <c r="E199" s="198"/>
      <c r="F199" s="328"/>
      <c r="G199" s="198"/>
      <c r="H199" s="297"/>
      <c r="I199" s="196"/>
    </row>
    <row r="200" spans="1:9" s="261" customFormat="1" ht="12.75" hidden="1" customHeight="1" x14ac:dyDescent="0.2">
      <c r="A200" s="195"/>
      <c r="B200" s="196"/>
      <c r="C200" s="219"/>
      <c r="D200" s="232" t="s">
        <v>289</v>
      </c>
      <c r="E200" s="198"/>
      <c r="F200" s="328"/>
      <c r="G200" s="198"/>
      <c r="H200" s="297"/>
      <c r="I200" s="196"/>
    </row>
    <row r="201" spans="1:9" s="261" customFormat="1" ht="12.75" hidden="1" customHeight="1" x14ac:dyDescent="0.2">
      <c r="A201" s="195"/>
      <c r="B201" s="196"/>
      <c r="C201" s="219"/>
      <c r="D201" s="232" t="s">
        <v>258</v>
      </c>
      <c r="E201" s="198"/>
      <c r="F201" s="328"/>
      <c r="G201" s="198"/>
      <c r="H201" s="297"/>
      <c r="I201" s="196"/>
    </row>
    <row r="202" spans="1:9" s="261" customFormat="1" ht="12.75" hidden="1" customHeight="1" x14ac:dyDescent="0.2">
      <c r="A202" s="195"/>
      <c r="B202" s="196"/>
      <c r="C202" s="219"/>
      <c r="D202" s="277" t="s">
        <v>327</v>
      </c>
      <c r="E202" s="198"/>
      <c r="F202" s="328"/>
      <c r="G202" s="198"/>
      <c r="H202" s="260"/>
      <c r="I202" s="317"/>
    </row>
    <row r="203" spans="1:9" s="261" customFormat="1" ht="12.75" customHeight="1" x14ac:dyDescent="0.2">
      <c r="A203" s="199">
        <f>A195+1</f>
        <v>21</v>
      </c>
      <c r="B203" s="200" t="s">
        <v>179</v>
      </c>
      <c r="C203" s="220" t="s">
        <v>209</v>
      </c>
      <c r="D203" s="278" t="str">
        <f>$D$5</f>
        <v>FTE July 2024</v>
      </c>
      <c r="E203" s="201">
        <f>'3421'!I$145</f>
        <v>269507.71999999997</v>
      </c>
      <c r="F203" s="327"/>
      <c r="G203" s="201">
        <f>SUBTOTAL(109,E203:F213)</f>
        <v>269507.71999999997</v>
      </c>
      <c r="H203" s="297"/>
      <c r="I203" s="322"/>
    </row>
    <row r="204" spans="1:9" s="261" customFormat="1" ht="12.75" hidden="1" customHeight="1" x14ac:dyDescent="0.2">
      <c r="A204" s="199"/>
      <c r="B204" s="200"/>
      <c r="C204" s="220"/>
      <c r="D204" s="233" t="s">
        <v>279</v>
      </c>
      <c r="E204" s="201"/>
      <c r="F204" s="327"/>
      <c r="G204" s="201"/>
      <c r="H204" s="260"/>
      <c r="I204" s="317"/>
    </row>
    <row r="205" spans="1:9" s="261" customFormat="1" ht="12.75" hidden="1" customHeight="1" x14ac:dyDescent="0.2">
      <c r="A205" s="199"/>
      <c r="B205" s="200"/>
      <c r="C205" s="220"/>
      <c r="D205" s="373" t="s">
        <v>353</v>
      </c>
      <c r="E205" s="201"/>
      <c r="F205" s="327"/>
      <c r="G205" s="201"/>
      <c r="H205" s="297"/>
      <c r="I205" s="196"/>
    </row>
    <row r="206" spans="1:9" s="261" customFormat="1" ht="12.75" hidden="1" customHeight="1" x14ac:dyDescent="0.2">
      <c r="A206" s="199"/>
      <c r="B206" s="200"/>
      <c r="C206" s="220"/>
      <c r="D206" s="233" t="s">
        <v>345</v>
      </c>
      <c r="E206" s="201"/>
      <c r="F206" s="327"/>
      <c r="G206" s="201"/>
      <c r="H206" s="297"/>
      <c r="I206" s="196"/>
    </row>
    <row r="207" spans="1:9" s="261" customFormat="1" ht="12.75" hidden="1" customHeight="1" x14ac:dyDescent="0.2">
      <c r="A207" s="199"/>
      <c r="B207" s="200"/>
      <c r="C207" s="220"/>
      <c r="D207" s="233" t="s">
        <v>346</v>
      </c>
      <c r="E207" s="201"/>
      <c r="F207" s="327"/>
      <c r="G207" s="201"/>
      <c r="H207" s="260"/>
      <c r="I207" s="231"/>
    </row>
    <row r="208" spans="1:9" s="261" customFormat="1" ht="12.75" hidden="1" customHeight="1" x14ac:dyDescent="0.2">
      <c r="A208" s="199"/>
      <c r="B208" s="200"/>
      <c r="C208" s="220"/>
      <c r="D208" s="233" t="s">
        <v>281</v>
      </c>
      <c r="E208" s="201"/>
      <c r="F208" s="327"/>
      <c r="G208" s="201"/>
      <c r="H208" s="297"/>
    </row>
    <row r="209" spans="1:9" s="261" customFormat="1" ht="12.75" hidden="1" customHeight="1" x14ac:dyDescent="0.2">
      <c r="A209" s="199"/>
      <c r="B209" s="200"/>
      <c r="C209" s="220"/>
      <c r="D209" s="233" t="s">
        <v>280</v>
      </c>
      <c r="E209" s="201"/>
      <c r="F209" s="327"/>
      <c r="G209" s="201"/>
      <c r="H209" s="297"/>
    </row>
    <row r="210" spans="1:9" s="261" customFormat="1" ht="12.75" hidden="1" customHeight="1" x14ac:dyDescent="0.2">
      <c r="A210" s="199"/>
      <c r="B210" s="200"/>
      <c r="C210" s="220"/>
      <c r="D210" s="233" t="s">
        <v>289</v>
      </c>
      <c r="E210" s="201"/>
      <c r="F210" s="327"/>
      <c r="G210" s="201"/>
      <c r="H210" s="297"/>
    </row>
    <row r="211" spans="1:9" s="261" customFormat="1" ht="12.75" hidden="1" customHeight="1" x14ac:dyDescent="0.2">
      <c r="A211" s="199"/>
      <c r="B211" s="200"/>
      <c r="C211" s="220"/>
      <c r="D211" s="233" t="s">
        <v>258</v>
      </c>
      <c r="E211" s="201"/>
      <c r="F211" s="327"/>
      <c r="G211" s="201"/>
      <c r="H211" s="260"/>
      <c r="I211" s="317"/>
    </row>
    <row r="212" spans="1:9" s="261" customFormat="1" ht="12.75" hidden="1" customHeight="1" x14ac:dyDescent="0.2">
      <c r="A212" s="199"/>
      <c r="B212" s="200"/>
      <c r="C212" s="229"/>
      <c r="D212" s="314" t="s">
        <v>340</v>
      </c>
      <c r="E212" s="201"/>
      <c r="F212" s="327"/>
      <c r="G212" s="201"/>
      <c r="H212" s="260"/>
      <c r="I212" s="317"/>
    </row>
    <row r="213" spans="1:9" s="261" customFormat="1" ht="12.75" hidden="1" customHeight="1" x14ac:dyDescent="0.2">
      <c r="A213" s="199"/>
      <c r="B213" s="200"/>
      <c r="C213" s="220"/>
      <c r="D213" s="279" t="s">
        <v>327</v>
      </c>
      <c r="E213" s="201"/>
      <c r="F213" s="327"/>
      <c r="G213" s="201"/>
      <c r="H213" s="297"/>
    </row>
    <row r="214" spans="1:9" s="261" customFormat="1" ht="12.75" customHeight="1" x14ac:dyDescent="0.2">
      <c r="A214" s="195">
        <f>A203+1</f>
        <v>22</v>
      </c>
      <c r="B214" s="196" t="s">
        <v>180</v>
      </c>
      <c r="C214" s="219" t="s">
        <v>211</v>
      </c>
      <c r="D214" s="494" t="str">
        <f>$D$5</f>
        <v>FTE July 2024</v>
      </c>
      <c r="E214" s="198">
        <f>'3431'!I$145</f>
        <v>702850.13</v>
      </c>
      <c r="F214" s="328"/>
      <c r="G214" s="198">
        <f>SUBTOTAL(109,E214:F223)</f>
        <v>702850.13</v>
      </c>
      <c r="H214" s="297"/>
    </row>
    <row r="215" spans="1:9" s="261" customFormat="1" ht="12.75" hidden="1" customHeight="1" x14ac:dyDescent="0.2">
      <c r="A215" s="195"/>
      <c r="B215" s="196"/>
      <c r="C215" s="219"/>
      <c r="D215" s="232" t="s">
        <v>279</v>
      </c>
      <c r="E215" s="198"/>
      <c r="F215" s="328"/>
      <c r="G215" s="198"/>
      <c r="H215" s="297"/>
      <c r="I215" s="196"/>
    </row>
    <row r="216" spans="1:9" s="261" customFormat="1" ht="12.75" hidden="1" customHeight="1" x14ac:dyDescent="0.2">
      <c r="A216" s="195"/>
      <c r="B216" s="196"/>
      <c r="C216" s="219"/>
      <c r="D216" s="341" t="s">
        <v>475</v>
      </c>
      <c r="E216" s="198"/>
      <c r="F216" s="328"/>
      <c r="G216" s="198"/>
      <c r="H216" s="297"/>
      <c r="I216" s="196"/>
    </row>
    <row r="217" spans="1:9" s="261" customFormat="1" ht="12.75" hidden="1" customHeight="1" x14ac:dyDescent="0.2">
      <c r="A217" s="195"/>
      <c r="B217" s="196"/>
      <c r="C217" s="219"/>
      <c r="D217" s="232" t="s">
        <v>281</v>
      </c>
      <c r="E217" s="198"/>
      <c r="F217" s="328"/>
      <c r="G217" s="198"/>
      <c r="H217" s="297"/>
      <c r="I217" s="196"/>
    </row>
    <row r="218" spans="1:9" s="261" customFormat="1" ht="12.75" hidden="1" customHeight="1" x14ac:dyDescent="0.2">
      <c r="A218" s="195"/>
      <c r="B218" s="196"/>
      <c r="C218" s="219"/>
      <c r="D218" s="232" t="s">
        <v>336</v>
      </c>
      <c r="E218" s="198"/>
      <c r="F218" s="328"/>
      <c r="G218" s="198"/>
      <c r="H218" s="297"/>
    </row>
    <row r="219" spans="1:9" s="261" customFormat="1" ht="12.75" hidden="1" customHeight="1" x14ac:dyDescent="0.2">
      <c r="A219" s="195"/>
      <c r="B219" s="196"/>
      <c r="C219" s="219"/>
      <c r="D219" s="232" t="s">
        <v>289</v>
      </c>
      <c r="E219" s="198"/>
      <c r="F219" s="328"/>
      <c r="G219" s="198"/>
      <c r="H219" s="297"/>
      <c r="I219" s="196"/>
    </row>
    <row r="220" spans="1:9" s="261" customFormat="1" ht="12.75" hidden="1" customHeight="1" x14ac:dyDescent="0.2">
      <c r="A220" s="195"/>
      <c r="B220" s="196"/>
      <c r="C220" s="219"/>
      <c r="D220" s="232" t="s">
        <v>258</v>
      </c>
      <c r="E220" s="198"/>
      <c r="F220" s="328"/>
      <c r="G220" s="198"/>
      <c r="H220" s="297"/>
    </row>
    <row r="221" spans="1:9" s="261" customFormat="1" ht="12.75" hidden="1" customHeight="1" x14ac:dyDescent="0.2">
      <c r="A221" s="195"/>
      <c r="B221" s="196"/>
      <c r="C221" s="219"/>
      <c r="D221" s="232" t="s">
        <v>296</v>
      </c>
      <c r="E221" s="198"/>
      <c r="F221" s="328"/>
      <c r="G221" s="198"/>
      <c r="H221" s="260"/>
      <c r="I221" s="317"/>
    </row>
    <row r="222" spans="1:9" s="261" customFormat="1" ht="12.75" hidden="1" customHeight="1" x14ac:dyDescent="0.2">
      <c r="A222" s="195"/>
      <c r="B222" s="196"/>
      <c r="C222" s="231"/>
      <c r="D222" s="342" t="s">
        <v>340</v>
      </c>
      <c r="E222" s="198"/>
      <c r="F222" s="328"/>
      <c r="G222" s="198"/>
      <c r="H222" s="297"/>
      <c r="I222" s="322"/>
    </row>
    <row r="223" spans="1:9" s="261" customFormat="1" ht="12.75" hidden="1" customHeight="1" x14ac:dyDescent="0.2">
      <c r="A223" s="195"/>
      <c r="B223" s="196"/>
      <c r="C223" s="219"/>
      <c r="D223" s="277" t="s">
        <v>342</v>
      </c>
      <c r="E223" s="198"/>
      <c r="F223" s="328"/>
      <c r="G223" s="198"/>
      <c r="H223" s="260"/>
      <c r="I223" s="317"/>
    </row>
    <row r="224" spans="1:9" s="261" customFormat="1" ht="12.75" customHeight="1" x14ac:dyDescent="0.2">
      <c r="A224" s="199">
        <f>A214+1</f>
        <v>23</v>
      </c>
      <c r="B224" s="200">
        <v>3441</v>
      </c>
      <c r="C224" s="263" t="s">
        <v>229</v>
      </c>
      <c r="D224" s="278" t="str">
        <f>$D$5</f>
        <v>FTE July 2024</v>
      </c>
      <c r="E224" s="201">
        <f>'3441'!I$145</f>
        <v>362240.2</v>
      </c>
      <c r="F224" s="327"/>
      <c r="G224" s="201">
        <f>SUBTOTAL(109,E224:F232)</f>
        <v>362240.2</v>
      </c>
      <c r="H224" s="297"/>
    </row>
    <row r="225" spans="1:9" s="261" customFormat="1" ht="12.75" hidden="1" customHeight="1" x14ac:dyDescent="0.2">
      <c r="A225" s="199"/>
      <c r="B225" s="200"/>
      <c r="C225" s="263"/>
      <c r="D225" s="233" t="s">
        <v>279</v>
      </c>
      <c r="E225" s="201"/>
      <c r="F225" s="327"/>
      <c r="G225" s="201"/>
      <c r="H225" s="297"/>
    </row>
    <row r="226" spans="1:9" s="261" customFormat="1" ht="12.75" hidden="1" customHeight="1" x14ac:dyDescent="0.2">
      <c r="A226" s="199"/>
      <c r="B226" s="200"/>
      <c r="C226" s="220"/>
      <c r="D226" s="373" t="s">
        <v>475</v>
      </c>
      <c r="E226" s="201"/>
      <c r="F226" s="327"/>
      <c r="G226" s="201"/>
      <c r="H226" s="297"/>
      <c r="I226" s="196"/>
    </row>
    <row r="227" spans="1:9" s="261" customFormat="1" ht="12.75" hidden="1" customHeight="1" x14ac:dyDescent="0.2">
      <c r="A227" s="199"/>
      <c r="B227" s="200"/>
      <c r="C227" s="263"/>
      <c r="D227" s="233" t="s">
        <v>281</v>
      </c>
      <c r="E227" s="201"/>
      <c r="F227" s="327"/>
      <c r="G227" s="201"/>
      <c r="H227" s="297"/>
    </row>
    <row r="228" spans="1:9" s="261" customFormat="1" ht="12.75" hidden="1" customHeight="1" x14ac:dyDescent="0.2">
      <c r="A228" s="199"/>
      <c r="B228" s="200"/>
      <c r="C228" s="220"/>
      <c r="D228" s="233" t="s">
        <v>280</v>
      </c>
      <c r="E228" s="201"/>
      <c r="F228" s="327"/>
      <c r="G228" s="201"/>
      <c r="H228" s="297"/>
      <c r="I228" s="196"/>
    </row>
    <row r="229" spans="1:9" s="261" customFormat="1" ht="12.75" hidden="1" customHeight="1" x14ac:dyDescent="0.2">
      <c r="A229" s="199"/>
      <c r="B229" s="200"/>
      <c r="C229" s="220"/>
      <c r="D229" s="233" t="s">
        <v>289</v>
      </c>
      <c r="E229" s="201"/>
      <c r="F229" s="327"/>
      <c r="G229" s="201"/>
      <c r="H229" s="297"/>
      <c r="I229" s="196"/>
    </row>
    <row r="230" spans="1:9" s="261" customFormat="1" ht="12.75" hidden="1" customHeight="1" x14ac:dyDescent="0.2">
      <c r="A230" s="199"/>
      <c r="B230" s="200"/>
      <c r="C230" s="220"/>
      <c r="D230" s="233" t="s">
        <v>258</v>
      </c>
      <c r="E230" s="201"/>
      <c r="F230" s="327"/>
      <c r="G230" s="201"/>
      <c r="H230" s="297"/>
      <c r="I230" s="317"/>
    </row>
    <row r="231" spans="1:9" s="261" customFormat="1" ht="12.75" hidden="1" customHeight="1" x14ac:dyDescent="0.2">
      <c r="A231" s="199"/>
      <c r="B231" s="200"/>
      <c r="C231" s="220"/>
      <c r="D231" s="233" t="s">
        <v>296</v>
      </c>
      <c r="E231" s="201"/>
      <c r="F231" s="327"/>
      <c r="G231" s="201"/>
      <c r="H231" s="297"/>
      <c r="I231" s="285"/>
    </row>
    <row r="232" spans="1:9" s="261" customFormat="1" ht="12.75" hidden="1" customHeight="1" x14ac:dyDescent="0.2">
      <c r="A232" s="199"/>
      <c r="B232" s="200"/>
      <c r="C232" s="220"/>
      <c r="D232" s="279" t="s">
        <v>327</v>
      </c>
      <c r="E232" s="201"/>
      <c r="F232" s="327"/>
      <c r="G232" s="201"/>
      <c r="H232" s="297"/>
      <c r="I232" s="322"/>
    </row>
    <row r="233" spans="1:9" s="261" customFormat="1" ht="12.75" customHeight="1" x14ac:dyDescent="0.2">
      <c r="A233" s="195">
        <f>A224+1</f>
        <v>24</v>
      </c>
      <c r="B233" s="196">
        <v>3924</v>
      </c>
      <c r="C233" s="262" t="s">
        <v>358</v>
      </c>
      <c r="D233" s="494" t="str">
        <f>$D$5</f>
        <v>FTE July 2024</v>
      </c>
      <c r="E233" s="198">
        <f>'3924'!I$145</f>
        <v>321097.51</v>
      </c>
      <c r="F233" s="328"/>
      <c r="G233" s="198">
        <f>SUBTOTAL(109,E233:F242)</f>
        <v>321097.51</v>
      </c>
      <c r="H233" s="297"/>
    </row>
    <row r="234" spans="1:9" s="261" customFormat="1" ht="12.75" hidden="1" customHeight="1" x14ac:dyDescent="0.2">
      <c r="A234" s="195"/>
      <c r="B234" s="196"/>
      <c r="C234" s="219"/>
      <c r="D234" s="232" t="s">
        <v>279</v>
      </c>
      <c r="E234" s="198"/>
      <c r="F234" s="328"/>
      <c r="G234" s="198"/>
      <c r="H234" s="297"/>
    </row>
    <row r="235" spans="1:9" s="261" customFormat="1" ht="12.75" hidden="1" customHeight="1" x14ac:dyDescent="0.2">
      <c r="A235" s="195"/>
      <c r="B235" s="196"/>
      <c r="C235" s="219"/>
      <c r="D235" s="341" t="s">
        <v>475</v>
      </c>
      <c r="E235" s="198"/>
      <c r="F235" s="328"/>
      <c r="G235" s="198"/>
      <c r="H235" s="297"/>
    </row>
    <row r="236" spans="1:9" s="261" customFormat="1" ht="12.75" hidden="1" customHeight="1" x14ac:dyDescent="0.2">
      <c r="A236" s="195"/>
      <c r="B236" s="196"/>
      <c r="C236" s="219"/>
      <c r="D236" s="341" t="s">
        <v>343</v>
      </c>
      <c r="E236" s="198"/>
      <c r="F236" s="328"/>
      <c r="G236" s="198"/>
      <c r="H236" s="260"/>
      <c r="I236" s="231"/>
    </row>
    <row r="237" spans="1:9" s="261" customFormat="1" ht="12.75" hidden="1" customHeight="1" x14ac:dyDescent="0.2">
      <c r="A237" s="195"/>
      <c r="B237" s="196"/>
      <c r="C237" s="219"/>
      <c r="D237" s="232" t="s">
        <v>281</v>
      </c>
      <c r="E237" s="198"/>
      <c r="F237" s="328"/>
      <c r="G237" s="198"/>
      <c r="H237" s="297"/>
    </row>
    <row r="238" spans="1:9" s="261" customFormat="1" ht="12.75" hidden="1" customHeight="1" x14ac:dyDescent="0.2">
      <c r="A238" s="195"/>
      <c r="B238" s="196"/>
      <c r="C238" s="219"/>
      <c r="D238" s="232" t="s">
        <v>280</v>
      </c>
      <c r="E238" s="198"/>
      <c r="F238" s="328"/>
      <c r="G238" s="198"/>
      <c r="H238" s="297"/>
    </row>
    <row r="239" spans="1:9" s="261" customFormat="1" ht="12.75" hidden="1" customHeight="1" x14ac:dyDescent="0.2">
      <c r="A239" s="195"/>
      <c r="B239" s="196"/>
      <c r="C239" s="219"/>
      <c r="D239" s="232" t="s">
        <v>289</v>
      </c>
      <c r="E239" s="198"/>
      <c r="F239" s="328"/>
      <c r="G239" s="198"/>
      <c r="H239" s="297"/>
      <c r="I239" s="196"/>
    </row>
    <row r="240" spans="1:9" s="261" customFormat="1" ht="12.75" hidden="1" customHeight="1" x14ac:dyDescent="0.2">
      <c r="A240" s="195"/>
      <c r="B240" s="196"/>
      <c r="C240" s="219"/>
      <c r="D240" s="232" t="s">
        <v>258</v>
      </c>
      <c r="E240" s="198"/>
      <c r="F240" s="328"/>
      <c r="G240" s="198"/>
      <c r="H240" s="260"/>
      <c r="I240" s="317"/>
    </row>
    <row r="241" spans="1:9" s="261" customFormat="1" ht="12.75" hidden="1" customHeight="1" x14ac:dyDescent="0.2">
      <c r="A241" s="195"/>
      <c r="B241" s="196"/>
      <c r="C241" s="231"/>
      <c r="D241" s="342" t="s">
        <v>340</v>
      </c>
      <c r="E241" s="198"/>
      <c r="F241" s="328"/>
      <c r="G241" s="198"/>
      <c r="H241" s="297"/>
    </row>
    <row r="242" spans="1:9" s="261" customFormat="1" ht="12.75" hidden="1" customHeight="1" x14ac:dyDescent="0.2">
      <c r="A242" s="195"/>
      <c r="B242" s="196"/>
      <c r="C242" s="219"/>
      <c r="D242" s="277" t="s">
        <v>370</v>
      </c>
      <c r="E242" s="198"/>
      <c r="F242" s="328"/>
      <c r="G242" s="198"/>
      <c r="H242" s="297"/>
    </row>
    <row r="243" spans="1:9" s="261" customFormat="1" ht="12.75" customHeight="1" x14ac:dyDescent="0.2">
      <c r="A243" s="199">
        <f>A233+1</f>
        <v>25</v>
      </c>
      <c r="B243" s="200" t="s">
        <v>181</v>
      </c>
      <c r="C243" s="220" t="s">
        <v>192</v>
      </c>
      <c r="D243" s="278" t="str">
        <f>$D$5</f>
        <v>FTE July 2024</v>
      </c>
      <c r="E243" s="201">
        <f>'3941'!I$145</f>
        <v>183588.24</v>
      </c>
      <c r="F243" s="327"/>
      <c r="G243" s="201">
        <f>SUBTOTAL(109,E243:F252)</f>
        <v>183588.24</v>
      </c>
      <c r="H243" s="297"/>
    </row>
    <row r="244" spans="1:9" s="261" customFormat="1" ht="12.75" hidden="1" customHeight="1" x14ac:dyDescent="0.2">
      <c r="A244" s="199"/>
      <c r="B244" s="200"/>
      <c r="C244" s="220"/>
      <c r="D244" s="233" t="s">
        <v>279</v>
      </c>
      <c r="E244" s="201"/>
      <c r="F244" s="327"/>
      <c r="G244" s="201"/>
      <c r="H244" s="297"/>
    </row>
    <row r="245" spans="1:9" s="261" customFormat="1" ht="12.75" hidden="1" customHeight="1" x14ac:dyDescent="0.2">
      <c r="A245" s="199"/>
      <c r="B245" s="200"/>
      <c r="C245" s="220"/>
      <c r="D245" s="373" t="s">
        <v>475</v>
      </c>
      <c r="E245" s="201"/>
      <c r="F245" s="327"/>
      <c r="G245" s="201"/>
      <c r="H245" s="297"/>
      <c r="I245" s="196"/>
    </row>
    <row r="246" spans="1:9" s="261" customFormat="1" ht="12.75" hidden="1" customHeight="1" x14ac:dyDescent="0.2">
      <c r="A246" s="199"/>
      <c r="B246" s="200"/>
      <c r="C246" s="220"/>
      <c r="D246" s="233" t="s">
        <v>281</v>
      </c>
      <c r="E246" s="201"/>
      <c r="F246" s="327"/>
      <c r="G246" s="201"/>
      <c r="H246" s="297"/>
      <c r="I246" s="196"/>
    </row>
    <row r="247" spans="1:9" s="261" customFormat="1" ht="12.75" hidden="1" customHeight="1" x14ac:dyDescent="0.2">
      <c r="A247" s="199"/>
      <c r="B247" s="200"/>
      <c r="C247" s="220"/>
      <c r="D247" s="233" t="s">
        <v>280</v>
      </c>
      <c r="E247" s="201"/>
      <c r="F247" s="327"/>
      <c r="G247" s="201"/>
      <c r="H247" s="297"/>
    </row>
    <row r="248" spans="1:9" s="261" customFormat="1" ht="12.75" hidden="1" customHeight="1" x14ac:dyDescent="0.2">
      <c r="A248" s="199"/>
      <c r="B248" s="200"/>
      <c r="C248" s="220"/>
      <c r="D248" s="233" t="s">
        <v>289</v>
      </c>
      <c r="E248" s="201"/>
      <c r="F248" s="327"/>
      <c r="G248" s="201"/>
      <c r="H248" s="297"/>
    </row>
    <row r="249" spans="1:9" s="261" customFormat="1" ht="12.75" hidden="1" customHeight="1" x14ac:dyDescent="0.2">
      <c r="A249" s="199"/>
      <c r="B249" s="200"/>
      <c r="C249" s="220"/>
      <c r="D249" s="233" t="s">
        <v>258</v>
      </c>
      <c r="E249" s="201"/>
      <c r="F249" s="327"/>
      <c r="G249" s="201"/>
      <c r="H249" s="297"/>
    </row>
    <row r="250" spans="1:9" s="261" customFormat="1" ht="12.75" hidden="1" customHeight="1" x14ac:dyDescent="0.2">
      <c r="A250" s="199"/>
      <c r="B250" s="200"/>
      <c r="C250" s="220"/>
      <c r="D250" s="233" t="s">
        <v>321</v>
      </c>
      <c r="E250" s="201"/>
      <c r="F250" s="327"/>
      <c r="G250" s="201"/>
      <c r="H250" s="297"/>
      <c r="I250" s="317"/>
    </row>
    <row r="251" spans="1:9" s="261" customFormat="1" ht="12.75" hidden="1" customHeight="1" x14ac:dyDescent="0.2">
      <c r="A251" s="199"/>
      <c r="B251" s="200"/>
      <c r="C251" s="220"/>
      <c r="D251" s="233" t="s">
        <v>340</v>
      </c>
      <c r="E251" s="201"/>
      <c r="F251" s="327"/>
      <c r="G251" s="201"/>
      <c r="H251" s="297"/>
      <c r="I251" s="322"/>
    </row>
    <row r="252" spans="1:9" s="261" customFormat="1" ht="12.75" hidden="1" customHeight="1" x14ac:dyDescent="0.2">
      <c r="A252" s="199"/>
      <c r="B252" s="200"/>
      <c r="C252" s="220"/>
      <c r="D252" s="233"/>
      <c r="E252" s="201"/>
      <c r="F252" s="327"/>
      <c r="G252" s="201"/>
      <c r="H252" s="297"/>
      <c r="I252" s="317"/>
    </row>
    <row r="253" spans="1:9" s="261" customFormat="1" ht="12.75" customHeight="1" x14ac:dyDescent="0.2">
      <c r="A253" s="195">
        <f>A243+1</f>
        <v>26</v>
      </c>
      <c r="B253" s="196" t="s">
        <v>182</v>
      </c>
      <c r="C253" s="219" t="s">
        <v>202</v>
      </c>
      <c r="D253" s="494" t="str">
        <f>$D$5</f>
        <v>FTE July 2024</v>
      </c>
      <c r="E253" s="198">
        <f>'3961'!I$145</f>
        <v>227226.19</v>
      </c>
      <c r="F253" s="328"/>
      <c r="G253" s="198">
        <f>SUBTOTAL(109,E253:F260)</f>
        <v>227226.19</v>
      </c>
      <c r="H253" s="297"/>
    </row>
    <row r="254" spans="1:9" s="261" customFormat="1" ht="12.75" hidden="1" customHeight="1" x14ac:dyDescent="0.2">
      <c r="A254" s="195"/>
      <c r="B254" s="196"/>
      <c r="C254" s="219"/>
      <c r="D254" s="232" t="s">
        <v>279</v>
      </c>
      <c r="E254" s="198"/>
      <c r="F254" s="328"/>
      <c r="G254" s="198"/>
      <c r="H254" s="297"/>
    </row>
    <row r="255" spans="1:9" s="261" customFormat="1" ht="12.75" hidden="1" customHeight="1" x14ac:dyDescent="0.2">
      <c r="A255" s="195"/>
      <c r="B255" s="196"/>
      <c r="C255" s="219"/>
      <c r="D255" s="341" t="s">
        <v>475</v>
      </c>
      <c r="E255" s="198"/>
      <c r="F255" s="328"/>
      <c r="G255" s="198"/>
      <c r="H255" s="297"/>
      <c r="I255" s="196"/>
    </row>
    <row r="256" spans="1:9" s="261" customFormat="1" ht="12.75" hidden="1" customHeight="1" x14ac:dyDescent="0.2">
      <c r="A256" s="195"/>
      <c r="B256" s="196"/>
      <c r="C256" s="219"/>
      <c r="D256" s="232" t="s">
        <v>281</v>
      </c>
      <c r="E256" s="198"/>
      <c r="F256" s="328"/>
      <c r="G256" s="198"/>
      <c r="H256" s="297"/>
    </row>
    <row r="257" spans="1:9" s="261" customFormat="1" ht="12.75" hidden="1" customHeight="1" x14ac:dyDescent="0.2">
      <c r="A257" s="195"/>
      <c r="B257" s="196"/>
      <c r="C257" s="219"/>
      <c r="D257" s="232" t="s">
        <v>280</v>
      </c>
      <c r="E257" s="198"/>
      <c r="F257" s="328"/>
      <c r="G257" s="198"/>
      <c r="H257" s="297"/>
    </row>
    <row r="258" spans="1:9" s="261" customFormat="1" ht="12.75" hidden="1" customHeight="1" x14ac:dyDescent="0.2">
      <c r="A258" s="195"/>
      <c r="B258" s="196"/>
      <c r="C258" s="219"/>
      <c r="D258" s="232" t="s">
        <v>289</v>
      </c>
      <c r="E258" s="198"/>
      <c r="F258" s="328"/>
      <c r="G258" s="198"/>
      <c r="H258" s="297"/>
    </row>
    <row r="259" spans="1:9" s="261" customFormat="1" ht="12.75" hidden="1" customHeight="1" x14ac:dyDescent="0.2">
      <c r="A259" s="195"/>
      <c r="B259" s="196"/>
      <c r="C259" s="219"/>
      <c r="D259" s="232" t="s">
        <v>258</v>
      </c>
      <c r="E259" s="198"/>
      <c r="F259" s="328"/>
      <c r="G259" s="198"/>
      <c r="H259" s="260"/>
      <c r="I259" s="317"/>
    </row>
    <row r="260" spans="1:9" s="261" customFormat="1" ht="12.75" hidden="1" customHeight="1" x14ac:dyDescent="0.2">
      <c r="A260" s="195"/>
      <c r="B260" s="196"/>
      <c r="C260" s="231"/>
      <c r="D260" s="277" t="s">
        <v>341</v>
      </c>
      <c r="E260" s="198"/>
      <c r="F260" s="328"/>
      <c r="G260" s="198"/>
      <c r="H260" s="260"/>
      <c r="I260" s="317"/>
    </row>
    <row r="261" spans="1:9" s="261" customFormat="1" ht="12.75" customHeight="1" x14ac:dyDescent="0.2">
      <c r="A261" s="199">
        <f>A253+1</f>
        <v>27</v>
      </c>
      <c r="B261" s="200" t="s">
        <v>183</v>
      </c>
      <c r="C261" s="220" t="s">
        <v>322</v>
      </c>
      <c r="D261" s="278" t="str">
        <f>$D$5</f>
        <v>FTE July 2024</v>
      </c>
      <c r="E261" s="201">
        <f>'3971'!I$145</f>
        <v>458603.06</v>
      </c>
      <c r="F261" s="327"/>
      <c r="G261" s="201">
        <f>SUBTOTAL(109,E261:F268)</f>
        <v>458603.06</v>
      </c>
      <c r="H261" s="260"/>
      <c r="I261" s="317"/>
    </row>
    <row r="262" spans="1:9" s="261" customFormat="1" ht="12.75" hidden="1" customHeight="1" x14ac:dyDescent="0.2">
      <c r="A262" s="199"/>
      <c r="B262" s="200"/>
      <c r="C262" s="220"/>
      <c r="D262" s="233" t="s">
        <v>279</v>
      </c>
      <c r="E262" s="201"/>
      <c r="F262" s="327"/>
      <c r="G262" s="201"/>
      <c r="H262" s="297"/>
    </row>
    <row r="263" spans="1:9" s="261" customFormat="1" ht="12.75" hidden="1" customHeight="1" x14ac:dyDescent="0.2">
      <c r="A263" s="199"/>
      <c r="B263" s="200"/>
      <c r="C263" s="220"/>
      <c r="D263" s="373" t="s">
        <v>475</v>
      </c>
      <c r="E263" s="201"/>
      <c r="F263" s="327"/>
      <c r="G263" s="201"/>
      <c r="H263" s="297"/>
    </row>
    <row r="264" spans="1:9" s="261" customFormat="1" ht="12.75" hidden="1" customHeight="1" x14ac:dyDescent="0.2">
      <c r="A264" s="199"/>
      <c r="B264" s="200"/>
      <c r="C264" s="220"/>
      <c r="D264" s="233" t="s">
        <v>281</v>
      </c>
      <c r="E264" s="201"/>
      <c r="F264" s="327"/>
      <c r="G264" s="201"/>
      <c r="H264" s="297"/>
    </row>
    <row r="265" spans="1:9" s="261" customFormat="1" ht="12.75" hidden="1" customHeight="1" x14ac:dyDescent="0.2">
      <c r="A265" s="199"/>
      <c r="B265" s="200"/>
      <c r="C265" s="220"/>
      <c r="D265" s="233" t="s">
        <v>280</v>
      </c>
      <c r="E265" s="201"/>
      <c r="F265" s="327"/>
      <c r="G265" s="201"/>
      <c r="H265" s="297"/>
      <c r="I265" s="196"/>
    </row>
    <row r="266" spans="1:9" s="261" customFormat="1" ht="12.75" hidden="1" customHeight="1" x14ac:dyDescent="0.2">
      <c r="A266" s="199"/>
      <c r="B266" s="200"/>
      <c r="C266" s="220"/>
      <c r="D266" s="233" t="s">
        <v>289</v>
      </c>
      <c r="E266" s="201"/>
      <c r="F266" s="327"/>
      <c r="G266" s="201"/>
      <c r="H266" s="297"/>
    </row>
    <row r="267" spans="1:9" s="261" customFormat="1" ht="12.75" hidden="1" customHeight="1" x14ac:dyDescent="0.2">
      <c r="A267" s="199"/>
      <c r="B267" s="200"/>
      <c r="C267" s="220"/>
      <c r="D267" s="233" t="s">
        <v>258</v>
      </c>
      <c r="E267" s="201"/>
      <c r="F267" s="327"/>
      <c r="G267" s="201"/>
      <c r="H267" s="297"/>
    </row>
    <row r="268" spans="1:9" s="261" customFormat="1" ht="12.75" hidden="1" customHeight="1" x14ac:dyDescent="0.2">
      <c r="A268" s="199"/>
      <c r="B268" s="200"/>
      <c r="C268" s="220"/>
      <c r="D268" s="279" t="s">
        <v>347</v>
      </c>
      <c r="E268" s="201"/>
      <c r="F268" s="327"/>
      <c r="G268" s="201"/>
      <c r="H268" s="297"/>
      <c r="I268" s="188"/>
    </row>
    <row r="269" spans="1:9" s="261" customFormat="1" ht="12.75" customHeight="1" x14ac:dyDescent="0.2">
      <c r="A269" s="195">
        <f>A261+1</f>
        <v>28</v>
      </c>
      <c r="B269" s="196" t="s">
        <v>184</v>
      </c>
      <c r="C269" s="219" t="s">
        <v>220</v>
      </c>
      <c r="D269" s="494" t="str">
        <f>$D$5</f>
        <v>FTE July 2024</v>
      </c>
      <c r="E269" s="365">
        <f>'4001'!I$145</f>
        <v>501572.04</v>
      </c>
      <c r="F269" s="328"/>
      <c r="G269" s="198">
        <f>SUBTOTAL(109,E269:F277)</f>
        <v>501572.04</v>
      </c>
      <c r="H269" s="297"/>
      <c r="I269" s="317"/>
    </row>
    <row r="270" spans="1:9" ht="12.75" hidden="1" customHeight="1" x14ac:dyDescent="0.2">
      <c r="A270" s="195"/>
      <c r="B270" s="196"/>
      <c r="C270" s="219"/>
      <c r="D270" s="232" t="s">
        <v>279</v>
      </c>
      <c r="E270" s="198"/>
      <c r="F270" s="328"/>
      <c r="G270" s="198"/>
      <c r="H270" s="298"/>
      <c r="I270" s="261"/>
    </row>
    <row r="271" spans="1:9" s="261" customFormat="1" ht="12.75" hidden="1" customHeight="1" x14ac:dyDescent="0.2">
      <c r="A271" s="195"/>
      <c r="B271" s="196"/>
      <c r="C271" s="219"/>
      <c r="D271" s="341" t="s">
        <v>475</v>
      </c>
      <c r="E271" s="198"/>
      <c r="F271" s="328"/>
      <c r="G271" s="198"/>
      <c r="H271" s="297"/>
    </row>
    <row r="272" spans="1:9" s="261" customFormat="1" ht="12.75" hidden="1" customHeight="1" x14ac:dyDescent="0.2">
      <c r="A272" s="195"/>
      <c r="B272" s="196"/>
      <c r="C272" s="219"/>
      <c r="D272" s="232" t="s">
        <v>281</v>
      </c>
      <c r="E272" s="198"/>
      <c r="F272" s="328"/>
      <c r="G272" s="198"/>
      <c r="H272" s="297"/>
    </row>
    <row r="273" spans="1:9" s="261" customFormat="1" ht="12.75" hidden="1" customHeight="1" x14ac:dyDescent="0.2">
      <c r="A273" s="195"/>
      <c r="B273" s="196"/>
      <c r="C273" s="219"/>
      <c r="D273" s="232" t="s">
        <v>280</v>
      </c>
      <c r="E273" s="198"/>
      <c r="F273" s="328"/>
      <c r="G273" s="198"/>
      <c r="H273" s="297"/>
      <c r="I273" s="196"/>
    </row>
    <row r="274" spans="1:9" s="261" customFormat="1" ht="12.75" hidden="1" customHeight="1" x14ac:dyDescent="0.2">
      <c r="A274" s="195"/>
      <c r="B274" s="196"/>
      <c r="C274" s="219"/>
      <c r="D274" s="232" t="s">
        <v>289</v>
      </c>
      <c r="E274" s="198"/>
      <c r="F274" s="328"/>
      <c r="G274" s="198"/>
      <c r="H274" s="297"/>
    </row>
    <row r="275" spans="1:9" s="261" customFormat="1" ht="12.75" hidden="1" customHeight="1" x14ac:dyDescent="0.2">
      <c r="A275" s="195"/>
      <c r="B275" s="196"/>
      <c r="C275" s="219"/>
      <c r="D275" s="232" t="s">
        <v>258</v>
      </c>
      <c r="E275" s="198"/>
      <c r="F275" s="328"/>
      <c r="G275" s="198"/>
      <c r="H275" s="297"/>
    </row>
    <row r="276" spans="1:9" s="261" customFormat="1" ht="12.75" hidden="1" customHeight="1" x14ac:dyDescent="0.2">
      <c r="A276" s="195"/>
      <c r="B276" s="196"/>
      <c r="C276" s="219"/>
      <c r="D276" s="232" t="s">
        <v>340</v>
      </c>
      <c r="E276" s="198"/>
      <c r="F276" s="328"/>
      <c r="G276" s="198"/>
      <c r="H276" s="297"/>
    </row>
    <row r="277" spans="1:9" s="261" customFormat="1" ht="12.75" hidden="1" customHeight="1" x14ac:dyDescent="0.2">
      <c r="A277" s="195"/>
      <c r="B277" s="196"/>
      <c r="C277" s="219"/>
      <c r="D277" s="277" t="s">
        <v>327</v>
      </c>
      <c r="E277" s="198"/>
      <c r="F277" s="328"/>
      <c r="G277" s="198"/>
      <c r="H277" s="260"/>
      <c r="I277" s="317"/>
    </row>
    <row r="278" spans="1:9" s="261" customFormat="1" ht="12.75" customHeight="1" x14ac:dyDescent="0.2">
      <c r="A278" s="199">
        <f>A269+1</f>
        <v>29</v>
      </c>
      <c r="B278" s="200">
        <v>4002</v>
      </c>
      <c r="C278" s="220" t="s">
        <v>219</v>
      </c>
      <c r="D278" s="278" t="str">
        <f>$D$5</f>
        <v>FTE July 2024</v>
      </c>
      <c r="E278" s="201">
        <f>'4002'!I$145</f>
        <v>777532.13</v>
      </c>
      <c r="F278" s="327"/>
      <c r="G278" s="201">
        <f>SUBTOTAL(109,E278:F287)</f>
        <v>777532.13</v>
      </c>
      <c r="H278" s="297"/>
    </row>
    <row r="279" spans="1:9" s="261" customFormat="1" ht="12.75" hidden="1" customHeight="1" x14ac:dyDescent="0.2">
      <c r="A279" s="199"/>
      <c r="B279" s="200"/>
      <c r="C279" s="220"/>
      <c r="D279" s="233" t="s">
        <v>279</v>
      </c>
      <c r="E279" s="201"/>
      <c r="F279" s="327"/>
      <c r="G279" s="201"/>
      <c r="H279" s="297"/>
    </row>
    <row r="280" spans="1:9" s="261" customFormat="1" ht="12.75" hidden="1" customHeight="1" x14ac:dyDescent="0.2">
      <c r="A280" s="199"/>
      <c r="B280" s="200"/>
      <c r="C280" s="220"/>
      <c r="D280" s="373" t="s">
        <v>475</v>
      </c>
      <c r="E280" s="201"/>
      <c r="F280" s="327"/>
      <c r="G280" s="201"/>
      <c r="H280" s="297"/>
    </row>
    <row r="281" spans="1:9" s="261" customFormat="1" ht="12.75" hidden="1" customHeight="1" x14ac:dyDescent="0.2">
      <c r="A281" s="199"/>
      <c r="B281" s="200"/>
      <c r="C281" s="220"/>
      <c r="D281" s="233" t="s">
        <v>281</v>
      </c>
      <c r="E281" s="201"/>
      <c r="F281" s="327"/>
      <c r="G281" s="201"/>
      <c r="H281" s="297"/>
      <c r="I281" s="196"/>
    </row>
    <row r="282" spans="1:9" s="261" customFormat="1" ht="12.75" hidden="1" customHeight="1" x14ac:dyDescent="0.2">
      <c r="A282" s="199"/>
      <c r="B282" s="200"/>
      <c r="C282" s="220"/>
      <c r="D282" s="233" t="s">
        <v>280</v>
      </c>
      <c r="E282" s="201"/>
      <c r="F282" s="327"/>
      <c r="G282" s="201"/>
      <c r="H282" s="297"/>
    </row>
    <row r="283" spans="1:9" s="261" customFormat="1" ht="12.75" hidden="1" customHeight="1" x14ac:dyDescent="0.2">
      <c r="A283" s="199"/>
      <c r="B283" s="200"/>
      <c r="C283" s="220"/>
      <c r="D283" s="233" t="s">
        <v>289</v>
      </c>
      <c r="E283" s="201"/>
      <c r="F283" s="327"/>
      <c r="G283" s="201"/>
      <c r="H283" s="297"/>
    </row>
    <row r="284" spans="1:9" s="261" customFormat="1" ht="12.75" hidden="1" customHeight="1" x14ac:dyDescent="0.2">
      <c r="A284" s="199"/>
      <c r="B284" s="200"/>
      <c r="C284" s="220"/>
      <c r="D284" s="233" t="s">
        <v>258</v>
      </c>
      <c r="E284" s="201"/>
      <c r="F284" s="327"/>
      <c r="G284" s="201"/>
      <c r="H284" s="297"/>
    </row>
    <row r="285" spans="1:9" s="261" customFormat="1" ht="12.75" hidden="1" customHeight="1" x14ac:dyDescent="0.2">
      <c r="A285" s="199"/>
      <c r="B285" s="200"/>
      <c r="C285" s="220"/>
      <c r="D285" s="233" t="s">
        <v>339</v>
      </c>
      <c r="E285" s="201"/>
      <c r="F285" s="327"/>
      <c r="G285" s="201"/>
      <c r="H285" s="260"/>
      <c r="I285" s="317"/>
    </row>
    <row r="286" spans="1:9" s="261" customFormat="1" ht="12.75" hidden="1" customHeight="1" x14ac:dyDescent="0.2">
      <c r="A286" s="199"/>
      <c r="B286" s="200"/>
      <c r="C286" s="220"/>
      <c r="D286" s="233" t="s">
        <v>340</v>
      </c>
      <c r="E286" s="201"/>
      <c r="F286" s="327"/>
      <c r="G286" s="201"/>
      <c r="H286" s="297"/>
      <c r="I286" s="317"/>
    </row>
    <row r="287" spans="1:9" s="261" customFormat="1" ht="12.75" hidden="1" customHeight="1" x14ac:dyDescent="0.2">
      <c r="A287" s="199"/>
      <c r="B287" s="200"/>
      <c r="C287" s="220"/>
      <c r="D287" s="233" t="s">
        <v>337</v>
      </c>
      <c r="E287" s="201"/>
      <c r="F287" s="327"/>
      <c r="G287" s="201"/>
      <c r="H287" s="297"/>
    </row>
    <row r="288" spans="1:9" s="261" customFormat="1" ht="12.75" customHeight="1" x14ac:dyDescent="0.2">
      <c r="A288" s="195">
        <f>A278+1</f>
        <v>30</v>
      </c>
      <c r="B288" s="196">
        <v>4012</v>
      </c>
      <c r="C288" s="219" t="s">
        <v>222</v>
      </c>
      <c r="D288" s="494" t="str">
        <f>$D$5</f>
        <v>FTE July 2024</v>
      </c>
      <c r="E288" s="198">
        <f>'4012'!I$145</f>
        <v>442138</v>
      </c>
      <c r="F288" s="328"/>
      <c r="G288" s="198">
        <f>SUBTOTAL(109,E288:F295)</f>
        <v>442138</v>
      </c>
      <c r="H288" s="297"/>
    </row>
    <row r="289" spans="1:9" s="261" customFormat="1" ht="12.75" hidden="1" customHeight="1" x14ac:dyDescent="0.2">
      <c r="A289" s="195"/>
      <c r="B289" s="196"/>
      <c r="C289" s="219"/>
      <c r="D289" s="232" t="s">
        <v>279</v>
      </c>
      <c r="E289" s="198"/>
      <c r="F289" s="328"/>
      <c r="G289" s="198"/>
      <c r="H289" s="297"/>
    </row>
    <row r="290" spans="1:9" s="261" customFormat="1" ht="12.75" hidden="1" customHeight="1" x14ac:dyDescent="0.2">
      <c r="A290" s="195"/>
      <c r="B290" s="196"/>
      <c r="C290" s="219"/>
      <c r="D290" s="232" t="s">
        <v>475</v>
      </c>
      <c r="E290" s="198"/>
      <c r="F290" s="328"/>
      <c r="G290" s="198"/>
      <c r="H290" s="297"/>
      <c r="I290" s="196"/>
    </row>
    <row r="291" spans="1:9" s="261" customFormat="1" ht="12.75" hidden="1" customHeight="1" x14ac:dyDescent="0.2">
      <c r="A291" s="195"/>
      <c r="B291" s="196"/>
      <c r="C291" s="219"/>
      <c r="D291" s="232" t="s">
        <v>336</v>
      </c>
      <c r="E291" s="198"/>
      <c r="F291" s="328"/>
      <c r="G291" s="198"/>
      <c r="H291" s="297"/>
    </row>
    <row r="292" spans="1:9" s="261" customFormat="1" ht="12.75" hidden="1" customHeight="1" x14ac:dyDescent="0.2">
      <c r="A292" s="195"/>
      <c r="B292" s="196"/>
      <c r="C292" s="219"/>
      <c r="D292" s="232" t="s">
        <v>289</v>
      </c>
      <c r="E292" s="198"/>
      <c r="F292" s="328"/>
      <c r="G292" s="198"/>
      <c r="H292" s="297"/>
    </row>
    <row r="293" spans="1:9" s="261" customFormat="1" ht="12.75" hidden="1" customHeight="1" x14ac:dyDescent="0.2">
      <c r="A293" s="195"/>
      <c r="B293" s="196"/>
      <c r="C293" s="219"/>
      <c r="D293" s="232" t="s">
        <v>258</v>
      </c>
      <c r="E293" s="198"/>
      <c r="F293" s="328"/>
      <c r="G293" s="198"/>
      <c r="H293" s="297"/>
    </row>
    <row r="294" spans="1:9" s="261" customFormat="1" ht="12.75" hidden="1" customHeight="1" x14ac:dyDescent="0.2">
      <c r="A294" s="195"/>
      <c r="B294" s="196"/>
      <c r="C294" s="219"/>
      <c r="D294" s="232" t="s">
        <v>296</v>
      </c>
      <c r="E294" s="198"/>
      <c r="F294" s="328"/>
      <c r="G294" s="198"/>
      <c r="H294" s="297"/>
    </row>
    <row r="295" spans="1:9" s="261" customFormat="1" ht="12.75" hidden="1" customHeight="1" x14ac:dyDescent="0.2">
      <c r="A295" s="195"/>
      <c r="B295" s="196"/>
      <c r="C295" s="219"/>
      <c r="D295" s="277" t="s">
        <v>327</v>
      </c>
      <c r="E295" s="198"/>
      <c r="F295" s="328"/>
      <c r="G295" s="198"/>
      <c r="H295" s="297"/>
      <c r="I295" s="319"/>
    </row>
    <row r="296" spans="1:9" s="261" customFormat="1" ht="12.75" customHeight="1" x14ac:dyDescent="0.2">
      <c r="A296" s="199">
        <f>A288+1</f>
        <v>31</v>
      </c>
      <c r="B296" s="200">
        <v>4013</v>
      </c>
      <c r="C296" s="220" t="s">
        <v>224</v>
      </c>
      <c r="D296" s="278" t="str">
        <f>$D$5</f>
        <v>FTE July 2024</v>
      </c>
      <c r="E296" s="201">
        <f>'4013'!I$145</f>
        <v>654398.57999999996</v>
      </c>
      <c r="F296" s="327"/>
      <c r="G296" s="201">
        <f>SUBTOTAL(109,E296:F304)</f>
        <v>654398.57999999996</v>
      </c>
      <c r="H296" s="297"/>
      <c r="I296" s="319"/>
    </row>
    <row r="297" spans="1:9" s="261" customFormat="1" ht="12.75" hidden="1" customHeight="1" x14ac:dyDescent="0.2">
      <c r="A297" s="199"/>
      <c r="B297" s="200"/>
      <c r="C297" s="220"/>
      <c r="D297" s="233" t="s">
        <v>279</v>
      </c>
      <c r="E297" s="201"/>
      <c r="F297" s="327"/>
      <c r="G297" s="201"/>
      <c r="H297" s="297"/>
    </row>
    <row r="298" spans="1:9" s="261" customFormat="1" ht="12.75" hidden="1" customHeight="1" x14ac:dyDescent="0.2">
      <c r="A298" s="199"/>
      <c r="B298" s="200"/>
      <c r="C298" s="220"/>
      <c r="D298" s="373" t="s">
        <v>475</v>
      </c>
      <c r="E298" s="201"/>
      <c r="F298" s="327"/>
      <c r="G298" s="201"/>
      <c r="H298" s="297"/>
    </row>
    <row r="299" spans="1:9" s="261" customFormat="1" ht="12.75" hidden="1" customHeight="1" x14ac:dyDescent="0.2">
      <c r="A299" s="199"/>
      <c r="B299" s="200"/>
      <c r="C299" s="220"/>
      <c r="D299" s="233" t="s">
        <v>281</v>
      </c>
      <c r="E299" s="201"/>
      <c r="F299" s="327"/>
      <c r="G299" s="201"/>
      <c r="H299" s="297"/>
    </row>
    <row r="300" spans="1:9" s="261" customFormat="1" ht="12.75" hidden="1" customHeight="1" x14ac:dyDescent="0.2">
      <c r="A300" s="199"/>
      <c r="B300" s="200"/>
      <c r="C300" s="220"/>
      <c r="D300" s="233" t="s">
        <v>336</v>
      </c>
      <c r="E300" s="201"/>
      <c r="F300" s="327"/>
      <c r="G300" s="201"/>
      <c r="H300" s="297"/>
    </row>
    <row r="301" spans="1:9" s="261" customFormat="1" ht="12.75" hidden="1" customHeight="1" x14ac:dyDescent="0.2">
      <c r="A301" s="199"/>
      <c r="B301" s="200"/>
      <c r="C301" s="220"/>
      <c r="D301" s="233" t="s">
        <v>289</v>
      </c>
      <c r="E301" s="201"/>
      <c r="F301" s="327"/>
      <c r="G301" s="201"/>
      <c r="H301" s="297"/>
    </row>
    <row r="302" spans="1:9" s="261" customFormat="1" ht="12.75" hidden="1" customHeight="1" x14ac:dyDescent="0.2">
      <c r="A302" s="199"/>
      <c r="B302" s="200"/>
      <c r="C302" s="220"/>
      <c r="D302" s="233" t="s">
        <v>258</v>
      </c>
      <c r="E302" s="201"/>
      <c r="F302" s="327"/>
      <c r="G302" s="201"/>
      <c r="H302" s="297"/>
    </row>
    <row r="303" spans="1:9" s="261" customFormat="1" ht="12.75" hidden="1" customHeight="1" x14ac:dyDescent="0.2">
      <c r="A303" s="199"/>
      <c r="B303" s="200"/>
      <c r="C303" s="220"/>
      <c r="D303" s="233" t="s">
        <v>340</v>
      </c>
      <c r="E303" s="201"/>
      <c r="F303" s="327"/>
      <c r="G303" s="201"/>
      <c r="H303" s="260"/>
      <c r="I303" s="317"/>
    </row>
    <row r="304" spans="1:9" s="261" customFormat="1" ht="12.75" hidden="1" customHeight="1" x14ac:dyDescent="0.2">
      <c r="A304" s="199"/>
      <c r="B304" s="200"/>
      <c r="C304" s="220"/>
      <c r="D304" s="233" t="s">
        <v>327</v>
      </c>
      <c r="E304" s="201"/>
      <c r="F304" s="327"/>
      <c r="G304" s="201"/>
      <c r="H304" s="297"/>
      <c r="I304" s="307"/>
    </row>
    <row r="305" spans="1:9" s="261" customFormat="1" ht="12.75" customHeight="1" x14ac:dyDescent="0.2">
      <c r="A305" s="195">
        <f>A296+1</f>
        <v>32</v>
      </c>
      <c r="B305" s="196">
        <v>4020</v>
      </c>
      <c r="C305" s="262" t="s">
        <v>329</v>
      </c>
      <c r="D305" s="494" t="str">
        <f>$D$5</f>
        <v>FTE July 2024</v>
      </c>
      <c r="E305" s="198">
        <f>'4020'!I$145</f>
        <v>848921.99</v>
      </c>
      <c r="F305" s="328"/>
      <c r="G305" s="198">
        <f>SUBTOTAL(109,E305:F313)</f>
        <v>848921.99</v>
      </c>
      <c r="H305" s="297"/>
      <c r="I305" s="307"/>
    </row>
    <row r="306" spans="1:9" s="261" customFormat="1" ht="12.75" hidden="1" customHeight="1" x14ac:dyDescent="0.2">
      <c r="A306" s="195"/>
      <c r="B306" s="196"/>
      <c r="C306" s="219"/>
      <c r="D306" s="232" t="s">
        <v>279</v>
      </c>
      <c r="E306" s="198"/>
      <c r="F306" s="328"/>
      <c r="G306" s="198"/>
      <c r="H306" s="297"/>
    </row>
    <row r="307" spans="1:9" s="261" customFormat="1" ht="12.75" hidden="1" customHeight="1" x14ac:dyDescent="0.2">
      <c r="A307" s="195"/>
      <c r="B307" s="196"/>
      <c r="C307" s="219"/>
      <c r="D307" s="341" t="s">
        <v>475</v>
      </c>
      <c r="E307" s="198"/>
      <c r="F307" s="328"/>
      <c r="G307" s="198"/>
      <c r="H307" s="297"/>
    </row>
    <row r="308" spans="1:9" s="261" customFormat="1" ht="12.75" hidden="1" customHeight="1" x14ac:dyDescent="0.2">
      <c r="A308" s="195"/>
      <c r="B308" s="196"/>
      <c r="C308" s="219"/>
      <c r="D308" s="232" t="s">
        <v>281</v>
      </c>
      <c r="E308" s="198"/>
      <c r="F308" s="328"/>
      <c r="G308" s="198"/>
      <c r="H308" s="297"/>
      <c r="I308" s="196"/>
    </row>
    <row r="309" spans="1:9" s="261" customFormat="1" ht="12.75" hidden="1" customHeight="1" x14ac:dyDescent="0.2">
      <c r="A309" s="195"/>
      <c r="B309" s="196"/>
      <c r="C309" s="219"/>
      <c r="D309" s="232" t="s">
        <v>336</v>
      </c>
      <c r="E309" s="198"/>
      <c r="F309" s="328"/>
      <c r="G309" s="198"/>
      <c r="H309" s="297"/>
    </row>
    <row r="310" spans="1:9" s="261" customFormat="1" ht="12.75" hidden="1" customHeight="1" x14ac:dyDescent="0.2">
      <c r="A310" s="195"/>
      <c r="B310" s="196"/>
      <c r="C310" s="219"/>
      <c r="D310" s="232" t="s">
        <v>289</v>
      </c>
      <c r="E310" s="198"/>
      <c r="F310" s="328"/>
      <c r="G310" s="198"/>
      <c r="H310" s="297"/>
    </row>
    <row r="311" spans="1:9" s="261" customFormat="1" ht="12.75" hidden="1" customHeight="1" x14ac:dyDescent="0.2">
      <c r="A311" s="195"/>
      <c r="B311" s="196"/>
      <c r="C311" s="219"/>
      <c r="D311" s="232" t="s">
        <v>258</v>
      </c>
      <c r="E311" s="198"/>
      <c r="F311" s="328"/>
      <c r="G311" s="198"/>
      <c r="H311" s="297"/>
    </row>
    <row r="312" spans="1:9" s="261" customFormat="1" ht="12.75" hidden="1" customHeight="1" x14ac:dyDescent="0.2">
      <c r="A312" s="195"/>
      <c r="B312" s="196"/>
      <c r="C312" s="219"/>
      <c r="D312" s="232" t="s">
        <v>339</v>
      </c>
      <c r="E312" s="198"/>
      <c r="F312" s="328"/>
      <c r="G312" s="198"/>
      <c r="H312" s="297"/>
    </row>
    <row r="313" spans="1:9" s="261" customFormat="1" ht="12.75" hidden="1" customHeight="1" x14ac:dyDescent="0.2">
      <c r="A313" s="195"/>
      <c r="B313" s="196"/>
      <c r="C313" s="219"/>
      <c r="D313" s="277" t="s">
        <v>327</v>
      </c>
      <c r="E313" s="198"/>
      <c r="F313" s="328"/>
      <c r="G313" s="198"/>
      <c r="H313" s="297"/>
      <c r="I313" s="319"/>
    </row>
    <row r="314" spans="1:9" s="261" customFormat="1" ht="12.75" customHeight="1" x14ac:dyDescent="0.2">
      <c r="A314" s="199">
        <f>A305+1</f>
        <v>33</v>
      </c>
      <c r="B314" s="200">
        <v>4030</v>
      </c>
      <c r="C314" s="220" t="s">
        <v>317</v>
      </c>
      <c r="D314" s="278" t="str">
        <f>$D$5</f>
        <v>FTE July 2024</v>
      </c>
      <c r="E314" s="201">
        <f>'4030'!I$145</f>
        <v>227815.64</v>
      </c>
      <c r="F314" s="327"/>
      <c r="G314" s="201">
        <f>SUBTOTAL(109,E314:F323)</f>
        <v>227815.64</v>
      </c>
      <c r="H314" s="297"/>
    </row>
    <row r="315" spans="1:9" s="261" customFormat="1" ht="12.75" hidden="1" customHeight="1" x14ac:dyDescent="0.2">
      <c r="A315" s="199"/>
      <c r="B315" s="200"/>
      <c r="C315" s="220"/>
      <c r="D315" s="233" t="s">
        <v>279</v>
      </c>
      <c r="E315" s="201"/>
      <c r="F315" s="327"/>
      <c r="G315" s="201"/>
      <c r="H315" s="297"/>
    </row>
    <row r="316" spans="1:9" s="261" customFormat="1" ht="12.75" hidden="1" customHeight="1" x14ac:dyDescent="0.2">
      <c r="A316" s="199"/>
      <c r="B316" s="200"/>
      <c r="C316" s="220"/>
      <c r="D316" s="373" t="s">
        <v>475</v>
      </c>
      <c r="E316" s="201"/>
      <c r="F316" s="327"/>
      <c r="G316" s="201"/>
      <c r="H316" s="297"/>
    </row>
    <row r="317" spans="1:9" s="261" customFormat="1" ht="12.75" hidden="1" customHeight="1" x14ac:dyDescent="0.2">
      <c r="A317" s="199"/>
      <c r="B317" s="200"/>
      <c r="C317" s="220"/>
      <c r="D317" s="373" t="s">
        <v>343</v>
      </c>
      <c r="E317" s="201"/>
      <c r="F317" s="327"/>
      <c r="G317" s="201"/>
      <c r="H317" s="297"/>
      <c r="I317" s="196"/>
    </row>
    <row r="318" spans="1:9" s="261" customFormat="1" ht="12.75" hidden="1" customHeight="1" x14ac:dyDescent="0.2">
      <c r="A318" s="199"/>
      <c r="B318" s="200"/>
      <c r="C318" s="220"/>
      <c r="D318" s="233" t="s">
        <v>281</v>
      </c>
      <c r="E318" s="201"/>
      <c r="F318" s="327"/>
      <c r="G318" s="201"/>
      <c r="H318" s="297"/>
    </row>
    <row r="319" spans="1:9" s="261" customFormat="1" ht="12.75" hidden="1" customHeight="1" x14ac:dyDescent="0.2">
      <c r="A319" s="199"/>
      <c r="B319" s="200"/>
      <c r="C319" s="220"/>
      <c r="D319" s="233" t="s">
        <v>280</v>
      </c>
      <c r="E319" s="201"/>
      <c r="F319" s="327"/>
      <c r="G319" s="201"/>
      <c r="H319" s="297"/>
    </row>
    <row r="320" spans="1:9" s="261" customFormat="1" ht="12.75" hidden="1" customHeight="1" x14ac:dyDescent="0.2">
      <c r="A320" s="199"/>
      <c r="B320" s="200"/>
      <c r="C320" s="220"/>
      <c r="D320" s="233" t="s">
        <v>289</v>
      </c>
      <c r="E320" s="201"/>
      <c r="F320" s="327"/>
      <c r="G320" s="201"/>
      <c r="H320" s="297"/>
    </row>
    <row r="321" spans="1:9" s="261" customFormat="1" ht="12.75" hidden="1" customHeight="1" x14ac:dyDescent="0.2">
      <c r="A321" s="199"/>
      <c r="B321" s="200"/>
      <c r="C321" s="220"/>
      <c r="D321" s="233" t="s">
        <v>258</v>
      </c>
      <c r="E321" s="201"/>
      <c r="F321" s="327"/>
      <c r="G321" s="201"/>
      <c r="H321" s="260"/>
      <c r="I321" s="317"/>
    </row>
    <row r="322" spans="1:9" s="261" customFormat="1" ht="12.75" hidden="1" customHeight="1" x14ac:dyDescent="0.2">
      <c r="A322" s="199"/>
      <c r="B322" s="200"/>
      <c r="C322" s="220"/>
      <c r="D322" s="233" t="s">
        <v>340</v>
      </c>
      <c r="E322" s="201"/>
      <c r="F322" s="327"/>
      <c r="G322" s="201"/>
      <c r="H322" s="297"/>
      <c r="I322" s="319"/>
    </row>
    <row r="323" spans="1:9" s="261" customFormat="1" ht="12.75" hidden="1" customHeight="1" x14ac:dyDescent="0.2">
      <c r="A323" s="199"/>
      <c r="B323" s="200"/>
      <c r="C323" s="220"/>
      <c r="D323" s="233" t="s">
        <v>327</v>
      </c>
      <c r="E323" s="201"/>
      <c r="F323" s="327"/>
      <c r="G323" s="201"/>
      <c r="H323" s="297"/>
    </row>
    <row r="324" spans="1:9" s="261" customFormat="1" ht="12.75" customHeight="1" x14ac:dyDescent="0.2">
      <c r="A324" s="195">
        <f>A314+1</f>
        <v>34</v>
      </c>
      <c r="B324" s="196">
        <v>4031</v>
      </c>
      <c r="C324" s="262" t="s">
        <v>334</v>
      </c>
      <c r="D324" s="494" t="str">
        <f>$D$5</f>
        <v>FTE July 2024</v>
      </c>
      <c r="E324" s="198">
        <f>'4031'!I$145</f>
        <v>375586.71</v>
      </c>
      <c r="F324" s="328"/>
      <c r="G324" s="198">
        <f>SUBTOTAL(109,E324:F333)</f>
        <v>375586.71</v>
      </c>
      <c r="H324" s="297"/>
    </row>
    <row r="325" spans="1:9" s="261" customFormat="1" ht="12.75" hidden="1" customHeight="1" x14ac:dyDescent="0.2">
      <c r="A325" s="195"/>
      <c r="B325" s="196"/>
      <c r="C325" s="219"/>
      <c r="D325" s="232" t="s">
        <v>279</v>
      </c>
      <c r="E325" s="198"/>
      <c r="F325" s="328"/>
      <c r="G325" s="198"/>
      <c r="H325" s="297"/>
    </row>
    <row r="326" spans="1:9" s="261" customFormat="1" ht="12.75" hidden="1" customHeight="1" x14ac:dyDescent="0.2">
      <c r="A326" s="195"/>
      <c r="B326" s="196"/>
      <c r="C326" s="219"/>
      <c r="D326" s="341" t="s">
        <v>475</v>
      </c>
      <c r="E326" s="198"/>
      <c r="F326" s="328"/>
      <c r="G326" s="198"/>
      <c r="H326" s="297"/>
      <c r="I326" s="196"/>
    </row>
    <row r="327" spans="1:9" s="261" customFormat="1" ht="12.75" hidden="1" customHeight="1" x14ac:dyDescent="0.2">
      <c r="A327" s="195"/>
      <c r="B327" s="196"/>
      <c r="C327" s="219"/>
      <c r="D327" s="341" t="s">
        <v>343</v>
      </c>
      <c r="E327" s="198"/>
      <c r="F327" s="328"/>
      <c r="G327" s="198"/>
      <c r="H327" s="297"/>
      <c r="I327" s="196"/>
    </row>
    <row r="328" spans="1:9" s="261" customFormat="1" ht="12.75" hidden="1" customHeight="1" x14ac:dyDescent="0.2">
      <c r="A328" s="195"/>
      <c r="B328" s="196"/>
      <c r="C328" s="219"/>
      <c r="D328" s="232" t="s">
        <v>281</v>
      </c>
      <c r="E328" s="198"/>
      <c r="F328" s="328"/>
      <c r="G328" s="198"/>
      <c r="H328" s="297"/>
    </row>
    <row r="329" spans="1:9" s="261" customFormat="1" ht="12.75" hidden="1" customHeight="1" x14ac:dyDescent="0.2">
      <c r="A329" s="195"/>
      <c r="B329" s="196"/>
      <c r="C329" s="219"/>
      <c r="D329" s="232" t="s">
        <v>280</v>
      </c>
      <c r="E329" s="198"/>
      <c r="F329" s="328"/>
      <c r="G329" s="198"/>
      <c r="H329" s="297"/>
    </row>
    <row r="330" spans="1:9" s="261" customFormat="1" ht="12.75" hidden="1" customHeight="1" x14ac:dyDescent="0.2">
      <c r="A330" s="195"/>
      <c r="B330" s="196"/>
      <c r="C330" s="219"/>
      <c r="D330" s="232" t="s">
        <v>289</v>
      </c>
      <c r="E330" s="198"/>
      <c r="F330" s="328"/>
      <c r="G330" s="198"/>
      <c r="H330" s="297"/>
    </row>
    <row r="331" spans="1:9" s="261" customFormat="1" ht="12.75" hidden="1" customHeight="1" x14ac:dyDescent="0.2">
      <c r="A331" s="195"/>
      <c r="B331" s="196"/>
      <c r="C331" s="219"/>
      <c r="D331" s="232" t="s">
        <v>258</v>
      </c>
      <c r="E331" s="198"/>
      <c r="F331" s="328"/>
      <c r="G331" s="198"/>
      <c r="H331" s="297"/>
    </row>
    <row r="332" spans="1:9" s="261" customFormat="1" ht="12.75" hidden="1" customHeight="1" x14ac:dyDescent="0.2">
      <c r="A332" s="195"/>
      <c r="B332" s="196"/>
      <c r="C332" s="219"/>
      <c r="D332" s="232" t="s">
        <v>340</v>
      </c>
      <c r="E332" s="198"/>
      <c r="F332" s="328"/>
      <c r="G332" s="198"/>
      <c r="H332" s="297"/>
      <c r="I332" s="319"/>
    </row>
    <row r="333" spans="1:9" s="261" customFormat="1" ht="12.75" hidden="1" customHeight="1" x14ac:dyDescent="0.2">
      <c r="A333" s="195"/>
      <c r="B333" s="196"/>
      <c r="C333" s="219"/>
      <c r="D333" s="277" t="s">
        <v>327</v>
      </c>
      <c r="E333" s="198"/>
      <c r="F333" s="328"/>
      <c r="G333" s="198"/>
      <c r="H333" s="297"/>
    </row>
    <row r="334" spans="1:9" s="261" customFormat="1" ht="12.75" customHeight="1" x14ac:dyDescent="0.2">
      <c r="A334" s="199">
        <f>A324+1</f>
        <v>35</v>
      </c>
      <c r="B334" s="200">
        <v>4041</v>
      </c>
      <c r="C334" s="220" t="s">
        <v>226</v>
      </c>
      <c r="D334" s="278" t="str">
        <f>$D$5</f>
        <v>FTE July 2024</v>
      </c>
      <c r="E334" s="201">
        <f>'4041'!I$145</f>
        <v>60968.85</v>
      </c>
      <c r="F334" s="327"/>
      <c r="G334" s="201">
        <f>SUBTOTAL(109,E334:F344)</f>
        <v>60968.85</v>
      </c>
      <c r="H334" s="297"/>
    </row>
    <row r="335" spans="1:9" s="261" customFormat="1" ht="12.75" hidden="1" customHeight="1" x14ac:dyDescent="0.2">
      <c r="A335" s="199"/>
      <c r="B335" s="200"/>
      <c r="C335" s="220"/>
      <c r="D335" s="233" t="s">
        <v>279</v>
      </c>
      <c r="E335" s="201"/>
      <c r="F335" s="327"/>
      <c r="G335" s="201"/>
      <c r="H335" s="297"/>
    </row>
    <row r="336" spans="1:9" s="261" customFormat="1" ht="12.75" hidden="1" customHeight="1" x14ac:dyDescent="0.2">
      <c r="A336" s="199"/>
      <c r="B336" s="200"/>
      <c r="C336" s="220"/>
      <c r="D336" s="373" t="s">
        <v>475</v>
      </c>
      <c r="E336" s="201"/>
      <c r="F336" s="327"/>
      <c r="G336" s="201"/>
      <c r="H336" s="297"/>
      <c r="I336" s="196"/>
    </row>
    <row r="337" spans="1:9" s="261" customFormat="1" ht="12.75" hidden="1" customHeight="1" x14ac:dyDescent="0.2">
      <c r="A337" s="199"/>
      <c r="B337" s="200"/>
      <c r="C337" s="220"/>
      <c r="D337" s="373" t="s">
        <v>343</v>
      </c>
      <c r="E337" s="201"/>
      <c r="F337" s="327"/>
      <c r="G337" s="201"/>
      <c r="H337" s="297"/>
      <c r="I337" s="196"/>
    </row>
    <row r="338" spans="1:9" s="261" customFormat="1" ht="12.75" hidden="1" customHeight="1" x14ac:dyDescent="0.2">
      <c r="A338" s="199"/>
      <c r="B338" s="200"/>
      <c r="C338" s="220"/>
      <c r="D338" s="233" t="s">
        <v>281</v>
      </c>
      <c r="E338" s="201"/>
      <c r="F338" s="327"/>
      <c r="G338" s="201"/>
      <c r="H338" s="297"/>
    </row>
    <row r="339" spans="1:9" s="261" customFormat="1" ht="12.75" hidden="1" customHeight="1" x14ac:dyDescent="0.2">
      <c r="A339" s="199"/>
      <c r="B339" s="200"/>
      <c r="C339" s="220"/>
      <c r="D339" s="233" t="s">
        <v>280</v>
      </c>
      <c r="E339" s="201"/>
      <c r="F339" s="327"/>
      <c r="G339" s="201"/>
      <c r="H339" s="297"/>
    </row>
    <row r="340" spans="1:9" s="261" customFormat="1" ht="12.75" hidden="1" customHeight="1" x14ac:dyDescent="0.2">
      <c r="A340" s="199"/>
      <c r="B340" s="200"/>
      <c r="C340" s="220"/>
      <c r="D340" s="233" t="s">
        <v>289</v>
      </c>
      <c r="E340" s="201"/>
      <c r="F340" s="327"/>
      <c r="G340" s="201"/>
      <c r="H340" s="297"/>
      <c r="I340" s="196"/>
    </row>
    <row r="341" spans="1:9" s="261" customFormat="1" ht="12.75" hidden="1" customHeight="1" x14ac:dyDescent="0.2">
      <c r="A341" s="199"/>
      <c r="B341" s="200"/>
      <c r="C341" s="220"/>
      <c r="D341" s="233" t="s">
        <v>258</v>
      </c>
      <c r="E341" s="201"/>
      <c r="F341" s="327"/>
      <c r="G341" s="201"/>
      <c r="H341" s="297"/>
      <c r="I341" s="317"/>
    </row>
    <row r="342" spans="1:9" s="261" customFormat="1" ht="12.75" hidden="1" customHeight="1" x14ac:dyDescent="0.2">
      <c r="A342" s="199"/>
      <c r="B342" s="200"/>
      <c r="C342" s="220"/>
      <c r="D342" s="233" t="s">
        <v>296</v>
      </c>
      <c r="E342" s="201"/>
      <c r="F342" s="327"/>
      <c r="G342" s="201"/>
      <c r="H342" s="297"/>
      <c r="I342" s="319"/>
    </row>
    <row r="343" spans="1:9" s="261" customFormat="1" ht="12.75" hidden="1" customHeight="1" x14ac:dyDescent="0.2">
      <c r="A343" s="199"/>
      <c r="B343" s="200"/>
      <c r="C343" s="220"/>
      <c r="D343" s="233" t="s">
        <v>340</v>
      </c>
      <c r="E343" s="201"/>
      <c r="F343" s="327"/>
      <c r="G343" s="201"/>
      <c r="H343" s="297"/>
    </row>
    <row r="344" spans="1:9" s="261" customFormat="1" ht="12.75" hidden="1" customHeight="1" x14ac:dyDescent="0.2">
      <c r="A344" s="199"/>
      <c r="B344" s="200"/>
      <c r="C344" s="220"/>
      <c r="D344" s="233" t="s">
        <v>327</v>
      </c>
      <c r="E344" s="201"/>
      <c r="F344" s="327"/>
      <c r="G344" s="201"/>
      <c r="H344" s="297"/>
    </row>
    <row r="345" spans="1:9" s="261" customFormat="1" ht="12.75" customHeight="1" x14ac:dyDescent="0.2">
      <c r="A345" s="195">
        <f>A334+1</f>
        <v>36</v>
      </c>
      <c r="B345" s="264">
        <v>4050</v>
      </c>
      <c r="C345" s="265" t="s">
        <v>217</v>
      </c>
      <c r="D345" s="494" t="str">
        <f>$D$5</f>
        <v>FTE July 2024</v>
      </c>
      <c r="E345" s="198">
        <f>'4050'!I$145</f>
        <v>547951.48</v>
      </c>
      <c r="F345" s="328"/>
      <c r="G345" s="198">
        <f>SUBTOTAL(109,E345:F351)</f>
        <v>547951.48</v>
      </c>
      <c r="H345" s="297"/>
    </row>
    <row r="346" spans="1:9" s="261" customFormat="1" ht="12.75" hidden="1" customHeight="1" x14ac:dyDescent="0.2">
      <c r="A346" s="195"/>
      <c r="B346" s="264"/>
      <c r="C346" s="265"/>
      <c r="D346" s="232" t="s">
        <v>279</v>
      </c>
      <c r="E346" s="198"/>
      <c r="F346" s="328"/>
      <c r="G346" s="198"/>
      <c r="H346" s="297"/>
      <c r="I346" s="196"/>
    </row>
    <row r="347" spans="1:9" s="261" customFormat="1" ht="12.75" hidden="1" customHeight="1" x14ac:dyDescent="0.2">
      <c r="A347" s="195"/>
      <c r="B347" s="264"/>
      <c r="C347" s="265"/>
      <c r="D347" s="232" t="s">
        <v>475</v>
      </c>
      <c r="E347" s="198"/>
      <c r="F347" s="328"/>
      <c r="G347" s="198"/>
      <c r="H347" s="297"/>
      <c r="I347" s="196"/>
    </row>
    <row r="348" spans="1:9" s="261" customFormat="1" ht="12.75" hidden="1" customHeight="1" x14ac:dyDescent="0.2">
      <c r="A348" s="195"/>
      <c r="B348" s="196"/>
      <c r="C348" s="219"/>
      <c r="D348" s="232" t="s">
        <v>280</v>
      </c>
      <c r="E348" s="198"/>
      <c r="F348" s="328"/>
      <c r="G348" s="198"/>
      <c r="H348" s="297"/>
    </row>
    <row r="349" spans="1:9" s="261" customFormat="1" ht="12.75" hidden="1" customHeight="1" x14ac:dyDescent="0.2">
      <c r="A349" s="195"/>
      <c r="B349" s="196"/>
      <c r="C349" s="219"/>
      <c r="D349" s="232" t="s">
        <v>289</v>
      </c>
      <c r="E349" s="198"/>
      <c r="F349" s="328"/>
      <c r="G349" s="198"/>
      <c r="H349" s="297"/>
    </row>
    <row r="350" spans="1:9" s="261" customFormat="1" ht="12.75" hidden="1" customHeight="1" x14ac:dyDescent="0.2">
      <c r="A350" s="195"/>
      <c r="B350" s="196"/>
      <c r="C350" s="219"/>
      <c r="D350" s="232" t="s">
        <v>258</v>
      </c>
      <c r="E350" s="198"/>
      <c r="F350" s="328"/>
      <c r="G350" s="198"/>
      <c r="H350" s="297"/>
    </row>
    <row r="351" spans="1:9" s="261" customFormat="1" ht="12.75" hidden="1" customHeight="1" x14ac:dyDescent="0.2">
      <c r="A351" s="195"/>
      <c r="B351" s="196"/>
      <c r="C351" s="219"/>
      <c r="D351" s="277" t="s">
        <v>327</v>
      </c>
      <c r="E351" s="198"/>
      <c r="F351" s="328"/>
      <c r="G351" s="198"/>
      <c r="H351" s="297"/>
    </row>
    <row r="352" spans="1:9" s="261" customFormat="1" ht="12.75" customHeight="1" x14ac:dyDescent="0.2">
      <c r="A352" s="199">
        <f>A345+1</f>
        <v>37</v>
      </c>
      <c r="B352" s="200">
        <v>4051</v>
      </c>
      <c r="C352" s="220" t="s">
        <v>215</v>
      </c>
      <c r="D352" s="278" t="str">
        <f>$D$5</f>
        <v>FTE July 2024</v>
      </c>
      <c r="E352" s="201">
        <f>'4051'!I$145</f>
        <v>601326.9</v>
      </c>
      <c r="F352" s="327"/>
      <c r="G352" s="201">
        <f>SUBTOTAL(109,E352:F360)</f>
        <v>601326.9</v>
      </c>
      <c r="H352" s="297"/>
    </row>
    <row r="353" spans="1:9" s="261" customFormat="1" ht="12.75" hidden="1" customHeight="1" x14ac:dyDescent="0.2">
      <c r="A353" s="199"/>
      <c r="B353" s="200"/>
      <c r="C353" s="220"/>
      <c r="D353" s="233" t="s">
        <v>279</v>
      </c>
      <c r="E353" s="201"/>
      <c r="F353" s="327"/>
      <c r="G353" s="201"/>
      <c r="H353" s="297"/>
      <c r="I353" s="319"/>
    </row>
    <row r="354" spans="1:9" s="261" customFormat="1" ht="12.75" hidden="1" customHeight="1" x14ac:dyDescent="0.2">
      <c r="A354" s="199"/>
      <c r="B354" s="200"/>
      <c r="C354" s="220"/>
      <c r="D354" s="233" t="s">
        <v>475</v>
      </c>
      <c r="E354" s="201"/>
      <c r="F354" s="327"/>
      <c r="G354" s="201"/>
      <c r="H354" s="297"/>
    </row>
    <row r="355" spans="1:9" s="261" customFormat="1" ht="12.75" hidden="1" customHeight="1" x14ac:dyDescent="0.2">
      <c r="A355" s="199"/>
      <c r="B355" s="200"/>
      <c r="C355" s="220"/>
      <c r="D355" s="233" t="s">
        <v>280</v>
      </c>
      <c r="E355" s="201"/>
      <c r="F355" s="327"/>
      <c r="G355" s="201"/>
      <c r="H355" s="297"/>
    </row>
    <row r="356" spans="1:9" s="261" customFormat="1" ht="12.75" hidden="1" customHeight="1" x14ac:dyDescent="0.2">
      <c r="A356" s="199"/>
      <c r="B356" s="200"/>
      <c r="C356" s="220"/>
      <c r="D356" s="233" t="s">
        <v>289</v>
      </c>
      <c r="E356" s="201"/>
      <c r="F356" s="327"/>
      <c r="G356" s="201"/>
      <c r="H356" s="297"/>
    </row>
    <row r="357" spans="1:9" s="261" customFormat="1" ht="12.75" hidden="1" customHeight="1" x14ac:dyDescent="0.2">
      <c r="A357" s="199"/>
      <c r="B357" s="200"/>
      <c r="C357" s="220"/>
      <c r="D357" s="233" t="s">
        <v>258</v>
      </c>
      <c r="E357" s="201"/>
      <c r="F357" s="327"/>
      <c r="G357" s="201"/>
      <c r="H357" s="297"/>
    </row>
    <row r="358" spans="1:9" s="261" customFormat="1" ht="12.75" hidden="1" customHeight="1" x14ac:dyDescent="0.2">
      <c r="A358" s="199"/>
      <c r="B358" s="200"/>
      <c r="C358" s="220"/>
      <c r="D358" s="233" t="s">
        <v>296</v>
      </c>
      <c r="E358" s="201"/>
      <c r="F358" s="327"/>
      <c r="G358" s="201"/>
      <c r="H358" s="297"/>
    </row>
    <row r="359" spans="1:9" s="261" customFormat="1" ht="12.75" hidden="1" customHeight="1" x14ac:dyDescent="0.2">
      <c r="A359" s="199"/>
      <c r="B359" s="200"/>
      <c r="C359" s="220"/>
      <c r="D359" s="233" t="s">
        <v>339</v>
      </c>
      <c r="E359" s="201"/>
      <c r="F359" s="327"/>
      <c r="G359" s="201"/>
      <c r="H359" s="297"/>
    </row>
    <row r="360" spans="1:9" s="261" customFormat="1" ht="12.75" hidden="1" customHeight="1" x14ac:dyDescent="0.2">
      <c r="A360" s="199"/>
      <c r="B360" s="200"/>
      <c r="C360" s="220"/>
      <c r="D360" s="233"/>
      <c r="E360" s="201"/>
      <c r="F360" s="327"/>
      <c r="G360" s="201"/>
      <c r="H360" s="297"/>
      <c r="I360" s="317"/>
    </row>
    <row r="361" spans="1:9" s="261" customFormat="1" ht="12.75" customHeight="1" x14ac:dyDescent="0.2">
      <c r="A361" s="195">
        <f>A352+1</f>
        <v>38</v>
      </c>
      <c r="B361" s="264">
        <v>4061</v>
      </c>
      <c r="C361" s="266" t="s">
        <v>331</v>
      </c>
      <c r="D361" s="494" t="str">
        <f>$D$5</f>
        <v>FTE July 2024</v>
      </c>
      <c r="E361" s="198">
        <f>'4061'!I$145</f>
        <v>685584.55</v>
      </c>
      <c r="F361" s="328"/>
      <c r="G361" s="198">
        <f>SUBTOTAL(109,E361:F369)</f>
        <v>685584.55</v>
      </c>
      <c r="H361" s="297"/>
    </row>
    <row r="362" spans="1:9" s="261" customFormat="1" ht="12.75" hidden="1" customHeight="1" x14ac:dyDescent="0.2">
      <c r="A362" s="195"/>
      <c r="B362" s="264"/>
      <c r="C362" s="265"/>
      <c r="D362" s="232" t="s">
        <v>279</v>
      </c>
      <c r="E362" s="198"/>
      <c r="F362" s="328"/>
      <c r="G362" s="198"/>
      <c r="H362" s="297"/>
    </row>
    <row r="363" spans="1:9" s="261" customFormat="1" ht="12.75" hidden="1" customHeight="1" x14ac:dyDescent="0.2">
      <c r="A363" s="195"/>
      <c r="B363" s="196"/>
      <c r="C363" s="219"/>
      <c r="D363" s="341" t="s">
        <v>475</v>
      </c>
      <c r="E363" s="198"/>
      <c r="F363" s="328"/>
      <c r="G363" s="198"/>
      <c r="H363" s="297"/>
    </row>
    <row r="364" spans="1:9" s="261" customFormat="1" ht="12.75" hidden="1" customHeight="1" x14ac:dyDescent="0.2">
      <c r="A364" s="195"/>
      <c r="B364" s="264"/>
      <c r="C364" s="265"/>
      <c r="D364" s="232" t="s">
        <v>279</v>
      </c>
      <c r="E364" s="198"/>
      <c r="F364" s="328"/>
      <c r="G364" s="198"/>
      <c r="H364" s="297"/>
    </row>
    <row r="365" spans="1:9" s="261" customFormat="1" ht="12.75" hidden="1" customHeight="1" x14ac:dyDescent="0.2">
      <c r="A365" s="195"/>
      <c r="B365" s="264"/>
      <c r="C365" s="265"/>
      <c r="D365" s="232" t="s">
        <v>281</v>
      </c>
      <c r="E365" s="198"/>
      <c r="F365" s="328"/>
      <c r="G365" s="198"/>
      <c r="H365" s="297"/>
    </row>
    <row r="366" spans="1:9" s="261" customFormat="1" ht="12.75" hidden="1" customHeight="1" x14ac:dyDescent="0.2">
      <c r="A366" s="195"/>
      <c r="B366" s="196"/>
      <c r="C366" s="219"/>
      <c r="D366" s="232" t="s">
        <v>280</v>
      </c>
      <c r="E366" s="198"/>
      <c r="F366" s="328"/>
      <c r="G366" s="198"/>
      <c r="H366" s="297"/>
    </row>
    <row r="367" spans="1:9" s="261" customFormat="1" ht="12.75" hidden="1" customHeight="1" x14ac:dyDescent="0.2">
      <c r="A367" s="195"/>
      <c r="B367" s="196"/>
      <c r="C367" s="219"/>
      <c r="D367" s="232" t="s">
        <v>289</v>
      </c>
      <c r="E367" s="198"/>
      <c r="F367" s="328"/>
      <c r="G367" s="198"/>
      <c r="H367" s="297"/>
    </row>
    <row r="368" spans="1:9" s="261" customFormat="1" ht="12.75" hidden="1" customHeight="1" x14ac:dyDescent="0.2">
      <c r="A368" s="195"/>
      <c r="B368" s="196"/>
      <c r="C368" s="219"/>
      <c r="D368" s="232" t="s">
        <v>258</v>
      </c>
      <c r="E368" s="198"/>
      <c r="F368" s="328"/>
      <c r="G368" s="198"/>
      <c r="H368" s="297"/>
    </row>
    <row r="369" spans="1:9" s="261" customFormat="1" ht="12.75" hidden="1" customHeight="1" x14ac:dyDescent="0.2">
      <c r="A369" s="195"/>
      <c r="B369" s="196"/>
      <c r="C369" s="219"/>
      <c r="D369" s="437" t="s">
        <v>438</v>
      </c>
      <c r="E369" s="436"/>
      <c r="F369" s="328"/>
      <c r="G369" s="198"/>
      <c r="H369" s="297"/>
      <c r="I369" s="319"/>
    </row>
    <row r="370" spans="1:9" s="261" customFormat="1" ht="12.75" customHeight="1" x14ac:dyDescent="0.2">
      <c r="A370" s="199">
        <f>A361+1</f>
        <v>39</v>
      </c>
      <c r="B370" s="200">
        <v>4080</v>
      </c>
      <c r="C370" s="220" t="s">
        <v>238</v>
      </c>
      <c r="D370" s="278" t="str">
        <f>$D$5</f>
        <v>FTE July 2024</v>
      </c>
      <c r="E370" s="201">
        <f>'4080'!I$145</f>
        <v>191555.8</v>
      </c>
      <c r="F370" s="327"/>
      <c r="G370" s="201">
        <f>SUBTOTAL(109,E370:F376)</f>
        <v>191555.8</v>
      </c>
      <c r="H370" s="297"/>
    </row>
    <row r="371" spans="1:9" s="261" customFormat="1" ht="12.75" hidden="1" customHeight="1" x14ac:dyDescent="0.2">
      <c r="A371" s="199"/>
      <c r="B371" s="200"/>
      <c r="C371" s="220"/>
      <c r="D371" s="233" t="s">
        <v>279</v>
      </c>
      <c r="E371" s="201"/>
      <c r="F371" s="327"/>
      <c r="G371" s="201"/>
      <c r="H371" s="297"/>
    </row>
    <row r="372" spans="1:9" s="261" customFormat="1" ht="12.75" hidden="1" customHeight="1" x14ac:dyDescent="0.2">
      <c r="A372" s="199"/>
      <c r="B372" s="200"/>
      <c r="C372" s="220"/>
      <c r="D372" s="233" t="s">
        <v>475</v>
      </c>
      <c r="E372" s="201"/>
      <c r="F372" s="327"/>
      <c r="G372" s="201"/>
      <c r="H372" s="297"/>
    </row>
    <row r="373" spans="1:9" s="261" customFormat="1" ht="12.75" hidden="1" customHeight="1" x14ac:dyDescent="0.2">
      <c r="A373" s="199"/>
      <c r="B373" s="200"/>
      <c r="C373" s="220"/>
      <c r="D373" s="233" t="s">
        <v>280</v>
      </c>
      <c r="E373" s="201"/>
      <c r="F373" s="327"/>
      <c r="G373" s="201"/>
      <c r="H373" s="297"/>
      <c r="I373" s="196"/>
    </row>
    <row r="374" spans="1:9" s="261" customFormat="1" ht="12.75" hidden="1" customHeight="1" x14ac:dyDescent="0.2">
      <c r="A374" s="199"/>
      <c r="B374" s="200"/>
      <c r="C374" s="220"/>
      <c r="D374" s="233" t="s">
        <v>289</v>
      </c>
      <c r="E374" s="201"/>
      <c r="F374" s="327"/>
      <c r="G374" s="201"/>
      <c r="H374" s="297"/>
    </row>
    <row r="375" spans="1:9" s="261" customFormat="1" ht="12.75" hidden="1" customHeight="1" x14ac:dyDescent="0.2">
      <c r="A375" s="199"/>
      <c r="B375" s="200"/>
      <c r="C375" s="220"/>
      <c r="D375" s="233" t="s">
        <v>258</v>
      </c>
      <c r="E375" s="201"/>
      <c r="F375" s="327"/>
      <c r="G375" s="201"/>
      <c r="H375" s="297"/>
    </row>
    <row r="376" spans="1:9" s="261" customFormat="1" ht="12.75" hidden="1" customHeight="1" x14ac:dyDescent="0.2">
      <c r="A376" s="199"/>
      <c r="B376" s="200"/>
      <c r="C376" s="220"/>
      <c r="D376" s="233" t="s">
        <v>327</v>
      </c>
      <c r="E376" s="201"/>
      <c r="F376" s="327"/>
      <c r="G376" s="201"/>
      <c r="H376" s="297"/>
      <c r="I376" s="196"/>
    </row>
    <row r="377" spans="1:9" s="261" customFormat="1" ht="12.75" customHeight="1" x14ac:dyDescent="0.2">
      <c r="A377" s="195">
        <f>1+A370</f>
        <v>40</v>
      </c>
      <c r="B377" s="264">
        <v>4081</v>
      </c>
      <c r="C377" s="266" t="s">
        <v>235</v>
      </c>
      <c r="D377" s="494" t="str">
        <f>$D$5</f>
        <v>FTE July 2024</v>
      </c>
      <c r="E377" s="198">
        <f>'4081'!I$145</f>
        <v>80762.73</v>
      </c>
      <c r="F377" s="328"/>
      <c r="G377" s="198">
        <f>SUBTOTAL(109,E377:F385)</f>
        <v>80762.73</v>
      </c>
      <c r="H377" s="297"/>
    </row>
    <row r="378" spans="1:9" s="261" customFormat="1" ht="12.75" hidden="1" customHeight="1" x14ac:dyDescent="0.2">
      <c r="A378" s="195"/>
      <c r="B378" s="264"/>
      <c r="C378" s="266"/>
      <c r="D378" s="232" t="s">
        <v>279</v>
      </c>
      <c r="E378" s="198"/>
      <c r="F378" s="328"/>
      <c r="G378" s="198"/>
      <c r="H378" s="297"/>
      <c r="I378" s="317"/>
    </row>
    <row r="379" spans="1:9" s="261" customFormat="1" ht="12.75" hidden="1" customHeight="1" x14ac:dyDescent="0.2">
      <c r="A379" s="195"/>
      <c r="B379" s="196"/>
      <c r="C379" s="219"/>
      <c r="D379" s="341" t="s">
        <v>475</v>
      </c>
      <c r="E379" s="198"/>
      <c r="F379" s="328"/>
      <c r="G379" s="198"/>
      <c r="H379" s="297"/>
      <c r="I379" s="317"/>
    </row>
    <row r="380" spans="1:9" s="261" customFormat="1" ht="12.75" hidden="1" customHeight="1" x14ac:dyDescent="0.2">
      <c r="A380" s="195"/>
      <c r="B380" s="264"/>
      <c r="C380" s="266"/>
      <c r="D380" s="232" t="s">
        <v>281</v>
      </c>
      <c r="E380" s="198"/>
      <c r="F380" s="328"/>
      <c r="G380" s="198"/>
      <c r="H380" s="297"/>
    </row>
    <row r="381" spans="1:9" s="261" customFormat="1" ht="12.75" hidden="1" customHeight="1" x14ac:dyDescent="0.2">
      <c r="A381" s="195"/>
      <c r="B381" s="264"/>
      <c r="C381" s="266"/>
      <c r="D381" s="232" t="s">
        <v>280</v>
      </c>
      <c r="E381" s="198"/>
      <c r="F381" s="328"/>
      <c r="G381" s="198"/>
      <c r="H381" s="297"/>
    </row>
    <row r="382" spans="1:9" s="261" customFormat="1" ht="12.75" hidden="1" customHeight="1" x14ac:dyDescent="0.2">
      <c r="A382" s="195"/>
      <c r="B382" s="264"/>
      <c r="C382" s="266"/>
      <c r="D382" s="232" t="s">
        <v>289</v>
      </c>
      <c r="E382" s="198"/>
      <c r="F382" s="328"/>
      <c r="G382" s="198"/>
      <c r="H382" s="297"/>
    </row>
    <row r="383" spans="1:9" s="261" customFormat="1" ht="12.75" hidden="1" customHeight="1" x14ac:dyDescent="0.2">
      <c r="A383" s="195"/>
      <c r="B383" s="196"/>
      <c r="C383" s="219"/>
      <c r="D383" s="232" t="s">
        <v>258</v>
      </c>
      <c r="E383" s="198"/>
      <c r="F383" s="328"/>
      <c r="G383" s="198"/>
      <c r="H383" s="297"/>
    </row>
    <row r="384" spans="1:9" s="261" customFormat="1" ht="12.75" hidden="1" customHeight="1" x14ac:dyDescent="0.2">
      <c r="A384" s="195"/>
      <c r="B384" s="196"/>
      <c r="C384" s="219"/>
      <c r="D384" s="232" t="s">
        <v>340</v>
      </c>
      <c r="E384" s="198"/>
      <c r="F384" s="328"/>
      <c r="G384" s="198"/>
      <c r="H384" s="297"/>
    </row>
    <row r="385" spans="1:12" s="261" customFormat="1" ht="12.75" hidden="1" customHeight="1" x14ac:dyDescent="0.2">
      <c r="A385" s="195"/>
      <c r="B385" s="196"/>
      <c r="C385" s="219"/>
      <c r="D385" s="277" t="s">
        <v>327</v>
      </c>
      <c r="E385" s="198"/>
      <c r="F385" s="328"/>
      <c r="G385" s="198"/>
      <c r="H385" s="297"/>
    </row>
    <row r="386" spans="1:12" s="261" customFormat="1" ht="12.75" customHeight="1" x14ac:dyDescent="0.2">
      <c r="A386" s="199">
        <f>1+A377</f>
        <v>41</v>
      </c>
      <c r="B386" s="200">
        <v>4090</v>
      </c>
      <c r="C386" s="220" t="s">
        <v>275</v>
      </c>
      <c r="D386" s="278" t="str">
        <f>$D$5</f>
        <v>FTE July 2024</v>
      </c>
      <c r="E386" s="201">
        <f>'4090'!I$145</f>
        <v>224404.48000000001</v>
      </c>
      <c r="F386" s="327"/>
      <c r="G386" s="201">
        <f>SUBTOTAL(109,E386:F395)</f>
        <v>224404.48000000001</v>
      </c>
      <c r="H386" s="297"/>
    </row>
    <row r="387" spans="1:12" s="261" customFormat="1" ht="12.75" hidden="1" customHeight="1" x14ac:dyDescent="0.2">
      <c r="A387" s="199"/>
      <c r="B387" s="200"/>
      <c r="C387" s="220"/>
      <c r="D387" s="233" t="s">
        <v>279</v>
      </c>
      <c r="E387" s="201"/>
      <c r="F387" s="327"/>
      <c r="G387" s="201"/>
      <c r="H387" s="297"/>
      <c r="L387" s="318"/>
    </row>
    <row r="388" spans="1:12" s="261" customFormat="1" ht="12.75" hidden="1" customHeight="1" x14ac:dyDescent="0.2">
      <c r="A388" s="199"/>
      <c r="B388" s="200"/>
      <c r="C388" s="220"/>
      <c r="D388" s="373" t="s">
        <v>344</v>
      </c>
      <c r="E388" s="201"/>
      <c r="F388" s="327"/>
      <c r="G388" s="201"/>
      <c r="H388" s="297"/>
    </row>
    <row r="389" spans="1:12" s="261" customFormat="1" ht="12.75" hidden="1" customHeight="1" x14ac:dyDescent="0.2">
      <c r="A389" s="199"/>
      <c r="B389" s="200"/>
      <c r="C389" s="220"/>
      <c r="D389" s="373" t="s">
        <v>343</v>
      </c>
      <c r="E389" s="201"/>
      <c r="F389" s="327"/>
      <c r="G389" s="201"/>
      <c r="H389" s="297"/>
      <c r="I389" s="196"/>
    </row>
    <row r="390" spans="1:12" s="261" customFormat="1" ht="12.75" hidden="1" customHeight="1" x14ac:dyDescent="0.2">
      <c r="A390" s="199"/>
      <c r="B390" s="200"/>
      <c r="C390" s="220"/>
      <c r="D390" s="233" t="s">
        <v>281</v>
      </c>
      <c r="E390" s="201"/>
      <c r="F390" s="327"/>
      <c r="G390" s="201"/>
      <c r="H390" s="297"/>
    </row>
    <row r="391" spans="1:12" s="261" customFormat="1" ht="12.75" hidden="1" customHeight="1" x14ac:dyDescent="0.2">
      <c r="A391" s="199"/>
      <c r="B391" s="200"/>
      <c r="C391" s="220"/>
      <c r="D391" s="233" t="s">
        <v>280</v>
      </c>
      <c r="E391" s="201"/>
      <c r="F391" s="327"/>
      <c r="G391" s="201"/>
      <c r="H391" s="297"/>
    </row>
    <row r="392" spans="1:12" s="261" customFormat="1" ht="12.75" hidden="1" customHeight="1" x14ac:dyDescent="0.2">
      <c r="A392" s="199"/>
      <c r="B392" s="200"/>
      <c r="C392" s="220"/>
      <c r="D392" s="233" t="s">
        <v>289</v>
      </c>
      <c r="E392" s="201"/>
      <c r="F392" s="327"/>
      <c r="G392" s="201"/>
      <c r="H392" s="297"/>
    </row>
    <row r="393" spans="1:12" s="261" customFormat="1" ht="12.75" hidden="1" customHeight="1" x14ac:dyDescent="0.2">
      <c r="A393" s="199"/>
      <c r="B393" s="200"/>
      <c r="C393" s="220"/>
      <c r="D393" s="233" t="s">
        <v>258</v>
      </c>
      <c r="E393" s="201"/>
      <c r="F393" s="327"/>
      <c r="G393" s="201"/>
      <c r="H393" s="297"/>
      <c r="I393" s="317"/>
    </row>
    <row r="394" spans="1:12" s="261" customFormat="1" ht="12.75" hidden="1" customHeight="1" x14ac:dyDescent="0.2">
      <c r="A394" s="199"/>
      <c r="B394" s="200"/>
      <c r="C394" s="220"/>
      <c r="D394" s="233" t="s">
        <v>340</v>
      </c>
      <c r="E394" s="201"/>
      <c r="F394" s="327"/>
      <c r="G394" s="201"/>
      <c r="H394" s="297"/>
      <c r="I394" s="319"/>
    </row>
    <row r="395" spans="1:12" s="261" customFormat="1" ht="12.75" hidden="1" customHeight="1" x14ac:dyDescent="0.2">
      <c r="A395" s="199"/>
      <c r="B395" s="200"/>
      <c r="C395" s="220"/>
      <c r="D395" s="233" t="s">
        <v>512</v>
      </c>
      <c r="E395" s="201"/>
      <c r="F395" s="327"/>
      <c r="G395" s="201"/>
      <c r="H395" s="297"/>
      <c r="I395" s="317"/>
    </row>
    <row r="396" spans="1:12" s="261" customFormat="1" ht="12.75" customHeight="1" x14ac:dyDescent="0.2">
      <c r="A396" s="195">
        <f>1+A386</f>
        <v>42</v>
      </c>
      <c r="B396" s="264">
        <v>4091</v>
      </c>
      <c r="C396" s="266" t="s">
        <v>276</v>
      </c>
      <c r="D396" s="494" t="str">
        <f>$D$5</f>
        <v>FTE July 2024</v>
      </c>
      <c r="E396" s="198">
        <f>'4091'!I$145</f>
        <v>299464.48</v>
      </c>
      <c r="F396" s="328"/>
      <c r="G396" s="198">
        <f>SUBTOTAL(109,E396:F405)</f>
        <v>299464.48</v>
      </c>
      <c r="H396" s="297"/>
      <c r="L396" s="318"/>
    </row>
    <row r="397" spans="1:12" s="261" customFormat="1" ht="12.75" hidden="1" customHeight="1" x14ac:dyDescent="0.2">
      <c r="A397" s="195"/>
      <c r="B397" s="264"/>
      <c r="C397" s="266"/>
      <c r="D397" s="232" t="s">
        <v>279</v>
      </c>
      <c r="E397" s="198"/>
      <c r="F397" s="328"/>
      <c r="G397" s="198"/>
      <c r="H397" s="297"/>
    </row>
    <row r="398" spans="1:12" s="261" customFormat="1" ht="12.75" hidden="1" customHeight="1" x14ac:dyDescent="0.2">
      <c r="A398" s="195"/>
      <c r="B398" s="196"/>
      <c r="C398" s="219"/>
      <c r="D398" s="341" t="s">
        <v>475</v>
      </c>
      <c r="E398" s="198"/>
      <c r="F398" s="328"/>
      <c r="G398" s="198"/>
      <c r="H398" s="297"/>
      <c r="I398" s="196"/>
    </row>
    <row r="399" spans="1:12" s="261" customFormat="1" ht="12.75" hidden="1" customHeight="1" x14ac:dyDescent="0.2">
      <c r="A399" s="195"/>
      <c r="B399" s="264"/>
      <c r="C399" s="266"/>
      <c r="D399" s="232" t="s">
        <v>281</v>
      </c>
      <c r="E399" s="198"/>
      <c r="F399" s="328"/>
      <c r="G399" s="198"/>
      <c r="H399" s="297"/>
      <c r="I399" s="196"/>
    </row>
    <row r="400" spans="1:12" s="261" customFormat="1" ht="12.75" hidden="1" customHeight="1" x14ac:dyDescent="0.2">
      <c r="A400" s="195"/>
      <c r="B400" s="264"/>
      <c r="C400" s="266"/>
      <c r="D400" s="232" t="s">
        <v>280</v>
      </c>
      <c r="E400" s="198"/>
      <c r="F400" s="328"/>
      <c r="G400" s="198"/>
      <c r="H400" s="297"/>
    </row>
    <row r="401" spans="1:13" s="261" customFormat="1" ht="12.75" hidden="1" customHeight="1" x14ac:dyDescent="0.2">
      <c r="A401" s="195"/>
      <c r="B401" s="264"/>
      <c r="C401" s="266"/>
      <c r="D401" s="232" t="s">
        <v>289</v>
      </c>
      <c r="E401" s="198"/>
      <c r="F401" s="328"/>
      <c r="G401" s="198"/>
      <c r="H401" s="297"/>
    </row>
    <row r="402" spans="1:13" s="261" customFormat="1" ht="12.75" hidden="1" customHeight="1" x14ac:dyDescent="0.2">
      <c r="A402" s="195"/>
      <c r="B402" s="196"/>
      <c r="C402" s="219"/>
      <c r="D402" s="232" t="s">
        <v>258</v>
      </c>
      <c r="E402" s="198"/>
      <c r="F402" s="328"/>
      <c r="G402" s="198"/>
      <c r="H402" s="297"/>
    </row>
    <row r="403" spans="1:13" s="261" customFormat="1" ht="12.75" hidden="1" customHeight="1" x14ac:dyDescent="0.2">
      <c r="A403" s="195"/>
      <c r="B403" s="196"/>
      <c r="C403" s="219"/>
      <c r="D403" s="232" t="s">
        <v>340</v>
      </c>
      <c r="E403" s="198"/>
      <c r="F403" s="328"/>
      <c r="G403" s="198"/>
      <c r="H403" s="297"/>
    </row>
    <row r="404" spans="1:13" s="261" customFormat="1" ht="12.75" hidden="1" customHeight="1" x14ac:dyDescent="0.2">
      <c r="A404" s="195"/>
      <c r="B404" s="196"/>
      <c r="C404" s="219"/>
      <c r="D404" s="277" t="s">
        <v>476</v>
      </c>
      <c r="E404" s="198"/>
      <c r="F404" s="328"/>
      <c r="G404" s="198"/>
      <c r="H404" s="297"/>
    </row>
    <row r="405" spans="1:13" s="261" customFormat="1" ht="12.75" hidden="1" customHeight="1" x14ac:dyDescent="0.2">
      <c r="A405" s="195"/>
      <c r="B405" s="196"/>
      <c r="C405" s="219"/>
      <c r="D405" s="277" t="s">
        <v>371</v>
      </c>
      <c r="E405" s="198"/>
      <c r="F405" s="328"/>
      <c r="G405" s="198"/>
      <c r="H405" s="297"/>
    </row>
    <row r="406" spans="1:13" s="261" customFormat="1" ht="12.75" customHeight="1" x14ac:dyDescent="0.2">
      <c r="A406" s="199">
        <f>1+A396</f>
        <v>43</v>
      </c>
      <c r="B406" s="200">
        <v>4100</v>
      </c>
      <c r="C406" s="220" t="s">
        <v>268</v>
      </c>
      <c r="D406" s="278" t="str">
        <f>$D$5</f>
        <v>FTE July 2024</v>
      </c>
      <c r="E406" s="201">
        <f>'4100'!I$145</f>
        <v>267680.53000000003</v>
      </c>
      <c r="F406" s="327"/>
      <c r="G406" s="201">
        <f>SUBTOTAL(109,E406:F414)</f>
        <v>267680.53000000003</v>
      </c>
      <c r="H406" s="297"/>
      <c r="M406" s="318"/>
    </row>
    <row r="407" spans="1:13" s="261" customFormat="1" ht="12.75" hidden="1" customHeight="1" x14ac:dyDescent="0.2">
      <c r="A407" s="199"/>
      <c r="B407" s="200"/>
      <c r="C407" s="220"/>
      <c r="D407" s="233" t="s">
        <v>279</v>
      </c>
      <c r="E407" s="201"/>
      <c r="F407" s="327"/>
      <c r="G407" s="201"/>
      <c r="H407" s="297"/>
    </row>
    <row r="408" spans="1:13" s="261" customFormat="1" ht="12.75" hidden="1" customHeight="1" x14ac:dyDescent="0.2">
      <c r="A408" s="199"/>
      <c r="B408" s="200"/>
      <c r="C408" s="220"/>
      <c r="D408" s="373" t="s">
        <v>475</v>
      </c>
      <c r="E408" s="201"/>
      <c r="F408" s="327"/>
      <c r="G408" s="201"/>
      <c r="H408" s="297"/>
      <c r="I408" s="196"/>
    </row>
    <row r="409" spans="1:13" s="261" customFormat="1" ht="12.75" hidden="1" customHeight="1" x14ac:dyDescent="0.2">
      <c r="A409" s="199"/>
      <c r="B409" s="200"/>
      <c r="C409" s="220"/>
      <c r="D409" s="233" t="s">
        <v>281</v>
      </c>
      <c r="E409" s="201"/>
      <c r="F409" s="327"/>
      <c r="G409" s="201"/>
      <c r="H409" s="297"/>
    </row>
    <row r="410" spans="1:13" s="261" customFormat="1" ht="12.75" hidden="1" customHeight="1" x14ac:dyDescent="0.2">
      <c r="A410" s="199"/>
      <c r="B410" s="200"/>
      <c r="C410" s="220"/>
      <c r="D410" s="233" t="s">
        <v>280</v>
      </c>
      <c r="E410" s="201"/>
      <c r="F410" s="327"/>
      <c r="G410" s="201"/>
      <c r="H410" s="297"/>
    </row>
    <row r="411" spans="1:13" s="261" customFormat="1" ht="12.75" hidden="1" customHeight="1" x14ac:dyDescent="0.2">
      <c r="A411" s="199"/>
      <c r="B411" s="200"/>
      <c r="C411" s="220"/>
      <c r="D411" s="233" t="s">
        <v>289</v>
      </c>
      <c r="E411" s="201"/>
      <c r="F411" s="327"/>
      <c r="G411" s="201"/>
      <c r="H411" s="297"/>
    </row>
    <row r="412" spans="1:13" s="261" customFormat="1" ht="12.75" hidden="1" customHeight="1" x14ac:dyDescent="0.2">
      <c r="A412" s="199"/>
      <c r="B412" s="200"/>
      <c r="C412" s="220"/>
      <c r="D412" s="233" t="s">
        <v>258</v>
      </c>
      <c r="E412" s="201"/>
      <c r="F412" s="327"/>
      <c r="G412" s="201"/>
      <c r="H412" s="297"/>
      <c r="I412" s="317"/>
    </row>
    <row r="413" spans="1:13" s="261" customFormat="1" ht="12.75" hidden="1" customHeight="1" x14ac:dyDescent="0.2">
      <c r="A413" s="199"/>
      <c r="B413" s="200"/>
      <c r="C413" s="220"/>
      <c r="D413" s="233" t="s">
        <v>340</v>
      </c>
      <c r="E413" s="201"/>
      <c r="F413" s="327"/>
      <c r="G413" s="201"/>
      <c r="H413" s="297"/>
      <c r="I413" s="319"/>
    </row>
    <row r="414" spans="1:13" s="261" customFormat="1" ht="12.75" hidden="1" customHeight="1" x14ac:dyDescent="0.2">
      <c r="A414" s="199"/>
      <c r="B414" s="200"/>
      <c r="C414" s="220"/>
      <c r="D414" s="233" t="s">
        <v>327</v>
      </c>
      <c r="E414" s="201"/>
      <c r="F414" s="327"/>
      <c r="G414" s="201"/>
      <c r="H414" s="297"/>
    </row>
    <row r="415" spans="1:13" s="261" customFormat="1" ht="12.75" customHeight="1" x14ac:dyDescent="0.2">
      <c r="A415" s="195">
        <f>1+A406</f>
        <v>44</v>
      </c>
      <c r="B415" s="264">
        <v>4102</v>
      </c>
      <c r="C415" s="266" t="s">
        <v>283</v>
      </c>
      <c r="D415" s="494" t="str">
        <f>$D$5</f>
        <v>FTE July 2024</v>
      </c>
      <c r="E415" s="198">
        <v>0</v>
      </c>
      <c r="F415" s="328"/>
      <c r="G415" s="198">
        <f>SUBTOTAL(109,E415:F422)</f>
        <v>0</v>
      </c>
      <c r="H415" s="297"/>
    </row>
    <row r="416" spans="1:13" s="261" customFormat="1" ht="12.75" hidden="1" customHeight="1" x14ac:dyDescent="0.2">
      <c r="A416" s="195"/>
      <c r="B416" s="264"/>
      <c r="C416" s="266"/>
      <c r="D416" s="232" t="s">
        <v>279</v>
      </c>
      <c r="E416" s="198"/>
      <c r="F416" s="328"/>
      <c r="G416" s="198"/>
      <c r="H416" s="297"/>
    </row>
    <row r="417" spans="1:9" s="261" customFormat="1" ht="12.75" hidden="1" customHeight="1" x14ac:dyDescent="0.2">
      <c r="A417" s="195"/>
      <c r="B417" s="196"/>
      <c r="C417" s="219"/>
      <c r="D417" s="341"/>
      <c r="E417" s="436"/>
      <c r="F417" s="328"/>
      <c r="G417" s="198"/>
      <c r="H417" s="297"/>
    </row>
    <row r="418" spans="1:9" s="261" customFormat="1" ht="12.75" hidden="1" customHeight="1" x14ac:dyDescent="0.2">
      <c r="A418" s="195"/>
      <c r="B418" s="264"/>
      <c r="C418" s="266"/>
      <c r="D418" s="232" t="s">
        <v>281</v>
      </c>
      <c r="E418" s="198"/>
      <c r="F418" s="328"/>
      <c r="G418" s="198"/>
      <c r="H418" s="297"/>
      <c r="I418" s="196"/>
    </row>
    <row r="419" spans="1:9" s="261" customFormat="1" ht="12.75" hidden="1" customHeight="1" x14ac:dyDescent="0.2">
      <c r="A419" s="195"/>
      <c r="B419" s="264"/>
      <c r="C419" s="266"/>
      <c r="D419" s="232" t="s">
        <v>280</v>
      </c>
      <c r="E419" s="198"/>
      <c r="F419" s="328"/>
      <c r="G419" s="198"/>
      <c r="H419" s="297"/>
    </row>
    <row r="420" spans="1:9" s="261" customFormat="1" ht="12.75" hidden="1" customHeight="1" x14ac:dyDescent="0.2">
      <c r="A420" s="195"/>
      <c r="B420" s="264"/>
      <c r="C420" s="266"/>
      <c r="D420" s="232" t="s">
        <v>289</v>
      </c>
      <c r="E420" s="198"/>
      <c r="F420" s="328"/>
      <c r="G420" s="198"/>
      <c r="H420" s="297"/>
    </row>
    <row r="421" spans="1:9" s="261" customFormat="1" ht="12.75" hidden="1" customHeight="1" x14ac:dyDescent="0.2">
      <c r="A421" s="195"/>
      <c r="B421" s="196"/>
      <c r="C421" s="219"/>
      <c r="D421" s="232" t="s">
        <v>258</v>
      </c>
      <c r="E421" s="198"/>
      <c r="F421" s="328"/>
      <c r="G421" s="198"/>
      <c r="H421" s="297"/>
    </row>
    <row r="422" spans="1:9" s="261" customFormat="1" ht="12.75" hidden="1" customHeight="1" x14ac:dyDescent="0.2">
      <c r="A422" s="195"/>
      <c r="B422" s="196"/>
      <c r="C422" s="219"/>
      <c r="D422" s="277"/>
      <c r="E422" s="198"/>
      <c r="F422" s="328"/>
      <c r="G422" s="198"/>
      <c r="H422" s="297"/>
    </row>
    <row r="423" spans="1:9" s="261" customFormat="1" ht="12.75" customHeight="1" x14ac:dyDescent="0.2">
      <c r="A423" s="199">
        <f>A415+1</f>
        <v>45</v>
      </c>
      <c r="B423" s="200">
        <v>4103</v>
      </c>
      <c r="C423" s="220" t="s">
        <v>306</v>
      </c>
      <c r="D423" s="278" t="str">
        <f>$D$5</f>
        <v>FTE July 2024</v>
      </c>
      <c r="E423" s="201">
        <f>'4103'!I$145</f>
        <v>703538.19</v>
      </c>
      <c r="F423" s="327"/>
      <c r="G423" s="201">
        <f>SUBTOTAL(109,E423:F432)</f>
        <v>703538.19</v>
      </c>
      <c r="H423" s="297"/>
    </row>
    <row r="424" spans="1:9" s="261" customFormat="1" ht="12.75" hidden="1" customHeight="1" x14ac:dyDescent="0.2">
      <c r="A424" s="199"/>
      <c r="B424" s="200"/>
      <c r="C424" s="220"/>
      <c r="D424" s="233" t="s">
        <v>279</v>
      </c>
      <c r="E424" s="201"/>
      <c r="F424" s="327"/>
      <c r="G424" s="201"/>
      <c r="H424" s="297"/>
    </row>
    <row r="425" spans="1:9" s="261" customFormat="1" ht="12.75" hidden="1" customHeight="1" x14ac:dyDescent="0.2">
      <c r="A425" s="199"/>
      <c r="B425" s="200"/>
      <c r="C425" s="220"/>
      <c r="D425" s="373" t="s">
        <v>475</v>
      </c>
      <c r="E425" s="201"/>
      <c r="F425" s="327"/>
      <c r="G425" s="201"/>
      <c r="H425" s="297"/>
    </row>
    <row r="426" spans="1:9" s="261" customFormat="1" ht="12.75" hidden="1" customHeight="1" x14ac:dyDescent="0.2">
      <c r="A426" s="199"/>
      <c r="B426" s="200"/>
      <c r="C426" s="220"/>
      <c r="D426" s="373" t="s">
        <v>343</v>
      </c>
      <c r="E426" s="201"/>
      <c r="F426" s="327"/>
      <c r="G426" s="201"/>
      <c r="H426" s="297"/>
    </row>
    <row r="427" spans="1:9" s="261" customFormat="1" ht="12.75" hidden="1" customHeight="1" x14ac:dyDescent="0.2">
      <c r="A427" s="199"/>
      <c r="B427" s="200"/>
      <c r="C427" s="220"/>
      <c r="D427" s="233" t="s">
        <v>281</v>
      </c>
      <c r="E427" s="201"/>
      <c r="F427" s="327"/>
      <c r="G427" s="201"/>
      <c r="H427" s="297"/>
      <c r="I427" s="196"/>
    </row>
    <row r="428" spans="1:9" s="261" customFormat="1" ht="12.75" hidden="1" customHeight="1" x14ac:dyDescent="0.2">
      <c r="A428" s="199"/>
      <c r="B428" s="200"/>
      <c r="C428" s="220"/>
      <c r="D428" s="233" t="s">
        <v>280</v>
      </c>
      <c r="E428" s="201"/>
      <c r="F428" s="327"/>
      <c r="G428" s="201"/>
      <c r="H428" s="297"/>
    </row>
    <row r="429" spans="1:9" s="261" customFormat="1" ht="12.75" hidden="1" customHeight="1" x14ac:dyDescent="0.2">
      <c r="A429" s="199"/>
      <c r="B429" s="200"/>
      <c r="C429" s="220"/>
      <c r="D429" s="233" t="s">
        <v>289</v>
      </c>
      <c r="E429" s="201"/>
      <c r="F429" s="327"/>
      <c r="G429" s="201"/>
      <c r="H429" s="297"/>
    </row>
    <row r="430" spans="1:9" s="261" customFormat="1" ht="12.75" hidden="1" customHeight="1" x14ac:dyDescent="0.2">
      <c r="A430" s="199"/>
      <c r="B430" s="200"/>
      <c r="C430" s="220"/>
      <c r="D430" s="233" t="s">
        <v>258</v>
      </c>
      <c r="E430" s="201"/>
      <c r="F430" s="327"/>
      <c r="G430" s="201"/>
      <c r="H430" s="297"/>
      <c r="I430" s="188"/>
    </row>
    <row r="431" spans="1:9" s="261" customFormat="1" ht="12.75" hidden="1" customHeight="1" x14ac:dyDescent="0.2">
      <c r="A431" s="199"/>
      <c r="B431" s="200"/>
      <c r="C431" s="220"/>
      <c r="D431" s="233" t="s">
        <v>340</v>
      </c>
      <c r="E431" s="201"/>
      <c r="F431" s="327"/>
      <c r="G431" s="201"/>
      <c r="H431" s="297"/>
      <c r="I431" s="317"/>
    </row>
    <row r="432" spans="1:9" s="261" customFormat="1" ht="12.75" hidden="1" customHeight="1" x14ac:dyDescent="0.2">
      <c r="A432" s="199"/>
      <c r="B432" s="200"/>
      <c r="C432" s="220"/>
      <c r="D432" s="233" t="s">
        <v>327</v>
      </c>
      <c r="E432" s="201"/>
      <c r="F432" s="327"/>
      <c r="G432" s="201"/>
      <c r="H432" s="297"/>
      <c r="I432" s="317"/>
    </row>
    <row r="433" spans="1:9" s="261" customFormat="1" ht="12.75" customHeight="1" x14ac:dyDescent="0.2">
      <c r="A433" s="195">
        <f>1+A423</f>
        <v>46</v>
      </c>
      <c r="B433" s="264">
        <v>4111</v>
      </c>
      <c r="C433" s="266" t="s">
        <v>324</v>
      </c>
      <c r="D433" s="494" t="str">
        <f>$D$5</f>
        <v>FTE July 2024</v>
      </c>
      <c r="E433" s="198">
        <f>'4111'!I$145</f>
        <v>202038.36</v>
      </c>
      <c r="F433" s="328"/>
      <c r="G433" s="198">
        <f>SUBTOTAL(109,E433:F441)</f>
        <v>202038.36</v>
      </c>
      <c r="H433" s="297"/>
    </row>
    <row r="434" spans="1:9" s="261" customFormat="1" ht="12.75" hidden="1" customHeight="1" x14ac:dyDescent="0.2">
      <c r="A434" s="195"/>
      <c r="B434" s="264"/>
      <c r="C434" s="266"/>
      <c r="D434" s="232" t="s">
        <v>279</v>
      </c>
      <c r="E434" s="198"/>
      <c r="F434" s="328"/>
      <c r="G434" s="198"/>
      <c r="H434" s="297"/>
    </row>
    <row r="435" spans="1:9" s="261" customFormat="1" ht="12.75" hidden="1" customHeight="1" x14ac:dyDescent="0.2">
      <c r="A435" s="195"/>
      <c r="B435" s="196"/>
      <c r="C435" s="219"/>
      <c r="D435" s="341" t="s">
        <v>475</v>
      </c>
      <c r="E435" s="198"/>
      <c r="F435" s="328"/>
      <c r="G435" s="198"/>
      <c r="H435" s="297"/>
      <c r="I435" s="196"/>
    </row>
    <row r="436" spans="1:9" s="261" customFormat="1" ht="12.75" hidden="1" customHeight="1" x14ac:dyDescent="0.2">
      <c r="A436" s="195"/>
      <c r="B436" s="264"/>
      <c r="C436" s="266"/>
      <c r="D436" s="232" t="s">
        <v>281</v>
      </c>
      <c r="E436" s="198"/>
      <c r="F436" s="328"/>
      <c r="G436" s="198"/>
      <c r="H436" s="297"/>
      <c r="I436" s="196"/>
    </row>
    <row r="437" spans="1:9" s="261" customFormat="1" ht="12.75" hidden="1" customHeight="1" x14ac:dyDescent="0.2">
      <c r="A437" s="195"/>
      <c r="B437" s="264"/>
      <c r="C437" s="266"/>
      <c r="D437" s="232" t="s">
        <v>280</v>
      </c>
      <c r="E437" s="198"/>
      <c r="F437" s="328"/>
      <c r="G437" s="198"/>
      <c r="H437" s="297"/>
    </row>
    <row r="438" spans="1:9" s="261" customFormat="1" ht="12.75" hidden="1" customHeight="1" x14ac:dyDescent="0.2">
      <c r="A438" s="195"/>
      <c r="B438" s="264"/>
      <c r="C438" s="266"/>
      <c r="D438" s="232" t="s">
        <v>289</v>
      </c>
      <c r="E438" s="198"/>
      <c r="F438" s="328"/>
      <c r="G438" s="198"/>
      <c r="H438" s="297"/>
    </row>
    <row r="439" spans="1:9" s="261" customFormat="1" ht="12.75" hidden="1" customHeight="1" x14ac:dyDescent="0.2">
      <c r="A439" s="195"/>
      <c r="B439" s="196"/>
      <c r="C439" s="219"/>
      <c r="D439" s="232" t="s">
        <v>258</v>
      </c>
      <c r="E439" s="198"/>
      <c r="F439" s="328"/>
      <c r="G439" s="198"/>
      <c r="H439" s="297"/>
    </row>
    <row r="440" spans="1:9" s="261" customFormat="1" ht="12.75" hidden="1" customHeight="1" x14ac:dyDescent="0.2">
      <c r="A440" s="195"/>
      <c r="B440" s="196"/>
      <c r="C440" s="219"/>
      <c r="D440" s="232" t="s">
        <v>340</v>
      </c>
      <c r="E440" s="198"/>
      <c r="F440" s="328"/>
      <c r="G440" s="198"/>
      <c r="H440" s="297"/>
    </row>
    <row r="441" spans="1:9" s="261" customFormat="1" ht="1.5" customHeight="1" x14ac:dyDescent="0.2">
      <c r="A441" s="195"/>
      <c r="B441" s="196"/>
      <c r="C441" s="219"/>
      <c r="D441" s="277" t="s">
        <v>327</v>
      </c>
      <c r="E441" s="198"/>
      <c r="F441" s="328"/>
      <c r="G441" s="198"/>
      <c r="H441" s="297"/>
    </row>
    <row r="442" spans="1:9" s="261" customFormat="1" ht="12.75" customHeight="1" x14ac:dyDescent="0.2">
      <c r="A442" s="199">
        <f>1+A433</f>
        <v>47</v>
      </c>
      <c r="B442" s="379">
        <v>4131</v>
      </c>
      <c r="C442" s="380" t="s">
        <v>356</v>
      </c>
      <c r="D442" s="278" t="str">
        <f>$D$5</f>
        <v>FTE July 2024</v>
      </c>
      <c r="E442" s="201">
        <f>'4131'!I$145</f>
        <v>44299.33</v>
      </c>
      <c r="F442" s="327"/>
      <c r="G442" s="201">
        <f>SUBTOTAL(109,E442:F450)</f>
        <v>44299.33</v>
      </c>
      <c r="H442" s="297"/>
    </row>
    <row r="443" spans="1:9" s="261" customFormat="1" ht="12.75" hidden="1" customHeight="1" x14ac:dyDescent="0.2">
      <c r="A443" s="199"/>
      <c r="B443" s="379"/>
      <c r="C443" s="380"/>
      <c r="D443" s="233" t="s">
        <v>279</v>
      </c>
      <c r="E443" s="201"/>
      <c r="F443" s="327"/>
      <c r="G443" s="201"/>
      <c r="H443" s="297"/>
    </row>
    <row r="444" spans="1:9" s="261" customFormat="1" ht="12.75" hidden="1" customHeight="1" x14ac:dyDescent="0.2">
      <c r="A444" s="199"/>
      <c r="B444" s="200"/>
      <c r="C444" s="220"/>
      <c r="D444" s="373" t="s">
        <v>344</v>
      </c>
      <c r="E444" s="201"/>
      <c r="F444" s="327"/>
      <c r="G444" s="201"/>
      <c r="H444" s="297"/>
    </row>
    <row r="445" spans="1:9" s="261" customFormat="1" ht="12.75" hidden="1" customHeight="1" x14ac:dyDescent="0.2">
      <c r="A445" s="199"/>
      <c r="B445" s="379"/>
      <c r="C445" s="380"/>
      <c r="D445" s="233" t="s">
        <v>281</v>
      </c>
      <c r="E445" s="201"/>
      <c r="F445" s="327"/>
      <c r="G445" s="201"/>
      <c r="H445" s="297"/>
      <c r="I445" s="196"/>
    </row>
    <row r="446" spans="1:9" s="261" customFormat="1" ht="12.75" hidden="1" customHeight="1" x14ac:dyDescent="0.2">
      <c r="A446" s="199"/>
      <c r="B446" s="379"/>
      <c r="C446" s="380"/>
      <c r="D446" s="233" t="s">
        <v>280</v>
      </c>
      <c r="E446" s="201"/>
      <c r="F446" s="327"/>
      <c r="G446" s="201"/>
      <c r="H446" s="297"/>
    </row>
    <row r="447" spans="1:9" s="261" customFormat="1" ht="12.75" hidden="1" customHeight="1" x14ac:dyDescent="0.2">
      <c r="A447" s="199"/>
      <c r="B447" s="379"/>
      <c r="C447" s="380"/>
      <c r="D447" s="233" t="s">
        <v>289</v>
      </c>
      <c r="E447" s="201"/>
      <c r="F447" s="327"/>
      <c r="G447" s="201"/>
      <c r="H447" s="297"/>
    </row>
    <row r="448" spans="1:9" s="261" customFormat="1" ht="12.75" hidden="1" customHeight="1" x14ac:dyDescent="0.2">
      <c r="A448" s="199"/>
      <c r="B448" s="200"/>
      <c r="C448" s="220"/>
      <c r="D448" s="233" t="s">
        <v>258</v>
      </c>
      <c r="E448" s="201"/>
      <c r="F448" s="327"/>
      <c r="G448" s="201"/>
      <c r="H448" s="297"/>
      <c r="I448" s="188"/>
    </row>
    <row r="449" spans="1:9" s="261" customFormat="1" ht="12.75" hidden="1" customHeight="1" x14ac:dyDescent="0.2">
      <c r="A449" s="199"/>
      <c r="B449" s="200"/>
      <c r="C449" s="220"/>
      <c r="D449" s="233" t="s">
        <v>340</v>
      </c>
      <c r="E449" s="201"/>
      <c r="F449" s="327"/>
      <c r="G449" s="201"/>
      <c r="H449" s="297"/>
      <c r="I449" s="317"/>
    </row>
    <row r="450" spans="1:9" s="261" customFormat="1" ht="12.75" hidden="1" customHeight="1" x14ac:dyDescent="0.2">
      <c r="A450" s="199"/>
      <c r="B450" s="200"/>
      <c r="C450" s="220"/>
      <c r="D450" s="279" t="s">
        <v>327</v>
      </c>
      <c r="E450" s="201"/>
      <c r="F450" s="327"/>
      <c r="G450" s="201"/>
      <c r="H450" s="297"/>
      <c r="I450" s="319"/>
    </row>
    <row r="451" spans="1:9" s="261" customFormat="1" ht="12.75" customHeight="1" x14ac:dyDescent="0.2">
      <c r="A451" s="192"/>
      <c r="B451" s="188"/>
      <c r="C451" s="188"/>
      <c r="D451" s="281"/>
      <c r="E451" s="188"/>
      <c r="F451" s="329"/>
      <c r="G451" s="188"/>
      <c r="H451" s="297"/>
      <c r="I451" s="317"/>
    </row>
    <row r="452" spans="1:9" s="261" customFormat="1" ht="12.75" customHeight="1" thickBot="1" x14ac:dyDescent="0.25">
      <c r="A452" s="188"/>
      <c r="B452" s="191"/>
      <c r="C452" s="218"/>
      <c r="D452" s="281" t="s">
        <v>185</v>
      </c>
      <c r="E452" s="203">
        <f>SUBTOTAL(109,E5:E451)</f>
        <v>17016582.480000004</v>
      </c>
      <c r="F452" s="203">
        <f>SUBTOTAL(109,F5:F451)</f>
        <v>-164382.58000000002</v>
      </c>
      <c r="G452" s="203">
        <f>ROUND(SUM(G5:G451),2)</f>
        <v>16852199.899999999</v>
      </c>
      <c r="H452" s="297"/>
    </row>
    <row r="453" spans="1:9" s="261" customFormat="1" ht="12.75" customHeight="1" thickTop="1" x14ac:dyDescent="0.2">
      <c r="A453" s="188"/>
      <c r="B453" s="191"/>
      <c r="C453" s="218"/>
      <c r="D453" s="188"/>
      <c r="E453" s="188"/>
      <c r="F453" s="239"/>
      <c r="G453" s="202">
        <f>ROUND(G452-E452-F452,2)</f>
        <v>0</v>
      </c>
      <c r="H453" s="297"/>
    </row>
    <row r="454" spans="1:9" s="261" customFormat="1" ht="12.75" customHeight="1" x14ac:dyDescent="0.2">
      <c r="A454" s="188"/>
      <c r="B454" s="191"/>
      <c r="C454" s="218"/>
      <c r="D454" s="188"/>
      <c r="E454" s="188"/>
      <c r="F454" s="239"/>
      <c r="G454" s="188"/>
      <c r="H454" s="297"/>
      <c r="I454" s="196"/>
    </row>
    <row r="455" spans="1:9" s="261" customFormat="1" ht="12.75" customHeight="1" x14ac:dyDescent="0.2">
      <c r="A455" s="188"/>
      <c r="B455" s="191"/>
      <c r="C455" s="218"/>
      <c r="D455" s="188"/>
      <c r="E455" s="188"/>
      <c r="F455" s="239"/>
      <c r="G455" s="188"/>
      <c r="H455" s="297"/>
    </row>
    <row r="456" spans="1:9" s="261" customFormat="1" ht="12.75" customHeight="1" x14ac:dyDescent="0.2">
      <c r="A456" s="188"/>
      <c r="B456" s="191"/>
      <c r="C456" s="218"/>
      <c r="D456" s="188"/>
      <c r="E456" s="188"/>
      <c r="F456" s="239"/>
      <c r="G456" s="188"/>
      <c r="H456" s="297"/>
    </row>
    <row r="457" spans="1:9" s="261" customFormat="1" ht="12.75" customHeight="1" x14ac:dyDescent="0.2">
      <c r="A457" s="188"/>
      <c r="B457" s="191"/>
      <c r="C457" s="218"/>
      <c r="D457" s="188"/>
      <c r="E457" s="188"/>
      <c r="F457" s="239"/>
      <c r="G457" s="188"/>
      <c r="H457" s="297"/>
      <c r="I457" s="188"/>
    </row>
    <row r="458" spans="1:9" s="261" customFormat="1" ht="12.75" customHeight="1" x14ac:dyDescent="0.2">
      <c r="A458" s="188"/>
      <c r="B458" s="191"/>
      <c r="C458" s="218"/>
      <c r="D458" s="188"/>
      <c r="E458" s="188"/>
      <c r="F458" s="239"/>
      <c r="G458" s="188"/>
      <c r="H458" s="297"/>
      <c r="I458" s="317"/>
    </row>
    <row r="459" spans="1:9" s="261" customFormat="1" ht="12.75" customHeight="1" x14ac:dyDescent="0.2">
      <c r="A459" s="270"/>
      <c r="B459" s="191"/>
      <c r="C459" s="242"/>
      <c r="D459" s="270" t="s">
        <v>255</v>
      </c>
      <c r="E459" s="202">
        <f>Consolidated!I143</f>
        <v>17016582.480000004</v>
      </c>
      <c r="F459" s="239"/>
      <c r="G459" s="202">
        <f>E459+F459</f>
        <v>17016582.480000004</v>
      </c>
      <c r="H459" s="297"/>
      <c r="I459" s="319"/>
    </row>
    <row r="460" spans="1:9" s="261" customFormat="1" ht="12.75" hidden="1" customHeight="1" x14ac:dyDescent="0.2">
      <c r="A460" s="188"/>
      <c r="B460" s="188"/>
      <c r="C460" s="188"/>
      <c r="D460" s="197" t="s">
        <v>279</v>
      </c>
      <c r="E460" s="188"/>
      <c r="F460" s="260">
        <f>SUM(SUMIF(D$5:D$451,D460,F$5:F$451))</f>
        <v>0</v>
      </c>
      <c r="G460" s="202">
        <f t="shared" ref="G460:G464" si="0">E460+F460</f>
        <v>0</v>
      </c>
      <c r="H460" s="297"/>
      <c r="I460" s="505"/>
    </row>
    <row r="461" spans="1:9" ht="12.75" hidden="1" customHeight="1" x14ac:dyDescent="0.2">
      <c r="D461" s="501" t="s">
        <v>475</v>
      </c>
      <c r="F461" s="260">
        <f t="shared" ref="F461:F478" si="1">SUM(SUMIF(D$5:D$451,D461,F$5:F$451))</f>
        <v>0</v>
      </c>
      <c r="G461" s="202">
        <f t="shared" si="0"/>
        <v>0</v>
      </c>
      <c r="H461" s="298"/>
    </row>
    <row r="462" spans="1:9" ht="12.75" hidden="1" customHeight="1" x14ac:dyDescent="0.2">
      <c r="D462" s="197" t="s">
        <v>345</v>
      </c>
      <c r="F462" s="260">
        <f t="shared" si="1"/>
        <v>0</v>
      </c>
      <c r="G462" s="202">
        <f t="shared" si="0"/>
        <v>0</v>
      </c>
    </row>
    <row r="463" spans="1:9" ht="12.75" hidden="1" customHeight="1" x14ac:dyDescent="0.2">
      <c r="D463" s="197" t="s">
        <v>346</v>
      </c>
      <c r="F463" s="260">
        <f t="shared" si="1"/>
        <v>0</v>
      </c>
      <c r="G463" s="202">
        <f t="shared" si="0"/>
        <v>0</v>
      </c>
    </row>
    <row r="464" spans="1:9" ht="12.75" hidden="1" customHeight="1" x14ac:dyDescent="0.2">
      <c r="D464" s="372" t="s">
        <v>343</v>
      </c>
      <c r="F464" s="260">
        <f t="shared" si="1"/>
        <v>0</v>
      </c>
      <c r="G464" s="202">
        <f t="shared" si="0"/>
        <v>0</v>
      </c>
    </row>
    <row r="465" spans="1:10" ht="12.75" hidden="1" customHeight="1" x14ac:dyDescent="0.2">
      <c r="D465" s="197" t="s">
        <v>281</v>
      </c>
      <c r="F465" s="260">
        <f t="shared" si="1"/>
        <v>0</v>
      </c>
      <c r="G465" s="202">
        <f t="shared" ref="G465:G470" si="2">E465+F465</f>
        <v>0</v>
      </c>
    </row>
    <row r="466" spans="1:10" ht="12.75" hidden="1" customHeight="1" x14ac:dyDescent="0.2">
      <c r="D466" s="197" t="s">
        <v>336</v>
      </c>
      <c r="F466" s="260">
        <f t="shared" si="1"/>
        <v>0</v>
      </c>
      <c r="G466" s="202">
        <f t="shared" si="2"/>
        <v>0</v>
      </c>
    </row>
    <row r="467" spans="1:10" ht="12.75" hidden="1" customHeight="1" x14ac:dyDescent="0.2">
      <c r="D467" s="188" t="s">
        <v>289</v>
      </c>
      <c r="F467" s="260">
        <f t="shared" si="1"/>
        <v>0</v>
      </c>
      <c r="G467" s="202">
        <f t="shared" si="2"/>
        <v>0</v>
      </c>
    </row>
    <row r="468" spans="1:10" ht="12.75" hidden="1" customHeight="1" x14ac:dyDescent="0.2">
      <c r="A468" s="195"/>
      <c r="B468" s="196"/>
      <c r="C468" s="219"/>
      <c r="D468" s="197" t="s">
        <v>258</v>
      </c>
      <c r="E468" s="198"/>
      <c r="F468" s="260">
        <f t="shared" si="1"/>
        <v>0</v>
      </c>
      <c r="G468" s="202">
        <f t="shared" si="2"/>
        <v>0</v>
      </c>
    </row>
    <row r="469" spans="1:10" ht="12.75" hidden="1" customHeight="1" x14ac:dyDescent="0.2">
      <c r="D469" s="313" t="s">
        <v>298</v>
      </c>
      <c r="F469" s="260">
        <f t="shared" si="1"/>
        <v>0</v>
      </c>
      <c r="G469" s="202">
        <f t="shared" si="2"/>
        <v>0</v>
      </c>
      <c r="J469" s="202"/>
    </row>
    <row r="470" spans="1:10" ht="12.75" customHeight="1" x14ac:dyDescent="0.2">
      <c r="D470" s="313" t="s">
        <v>285</v>
      </c>
      <c r="F470" s="260">
        <f t="shared" si="1"/>
        <v>-69513.88</v>
      </c>
      <c r="G470" s="202">
        <f t="shared" si="2"/>
        <v>-69513.88</v>
      </c>
      <c r="J470" s="202"/>
    </row>
    <row r="471" spans="1:10" ht="12.75" customHeight="1" x14ac:dyDescent="0.2">
      <c r="D471" s="188" t="s">
        <v>230</v>
      </c>
      <c r="F471" s="260">
        <f t="shared" si="1"/>
        <v>-16909</v>
      </c>
      <c r="G471" s="202">
        <f t="shared" ref="G471:G480" si="3">E471+F471</f>
        <v>-16909</v>
      </c>
      <c r="J471" s="202"/>
    </row>
    <row r="472" spans="1:10" ht="12.75" customHeight="1" x14ac:dyDescent="0.2">
      <c r="D472" s="188" t="s">
        <v>231</v>
      </c>
      <c r="F472" s="260">
        <f>SUM(SUMIF(D$5:D$451,D472,F$5:F$451))</f>
        <v>-293.15999999999997</v>
      </c>
      <c r="G472" s="202">
        <f t="shared" si="3"/>
        <v>-293.15999999999997</v>
      </c>
      <c r="J472" s="202"/>
    </row>
    <row r="473" spans="1:10" ht="12.75" customHeight="1" x14ac:dyDescent="0.2">
      <c r="D473" s="242" t="s">
        <v>436</v>
      </c>
      <c r="F473" s="260">
        <f t="shared" si="1"/>
        <v>-188.96</v>
      </c>
      <c r="G473" s="202">
        <f t="shared" si="3"/>
        <v>-188.96</v>
      </c>
      <c r="J473" s="202"/>
    </row>
    <row r="474" spans="1:10" ht="12.75" customHeight="1" x14ac:dyDescent="0.2">
      <c r="D474" s="188" t="s">
        <v>319</v>
      </c>
      <c r="F474" s="260">
        <f t="shared" si="1"/>
        <v>-180</v>
      </c>
      <c r="G474" s="202">
        <f t="shared" si="3"/>
        <v>-180</v>
      </c>
      <c r="J474" s="202"/>
    </row>
    <row r="475" spans="1:10" ht="12.75" hidden="1" customHeight="1" x14ac:dyDescent="0.2">
      <c r="A475" s="195"/>
      <c r="B475" s="196"/>
      <c r="C475" s="219"/>
      <c r="D475" s="197" t="s">
        <v>296</v>
      </c>
      <c r="E475" s="198"/>
      <c r="F475" s="260">
        <f t="shared" si="1"/>
        <v>0</v>
      </c>
      <c r="G475" s="202">
        <f t="shared" si="3"/>
        <v>0</v>
      </c>
    </row>
    <row r="476" spans="1:10" ht="12.75" hidden="1" customHeight="1" x14ac:dyDescent="0.2">
      <c r="D476" s="242" t="s">
        <v>339</v>
      </c>
      <c r="F476" s="260">
        <f t="shared" si="1"/>
        <v>0</v>
      </c>
      <c r="G476" s="202">
        <f t="shared" si="3"/>
        <v>0</v>
      </c>
    </row>
    <row r="477" spans="1:10" ht="12.75" customHeight="1" x14ac:dyDescent="0.2">
      <c r="D477" s="242" t="s">
        <v>338</v>
      </c>
      <c r="F477" s="260">
        <f t="shared" si="1"/>
        <v>-71407.210000000006</v>
      </c>
      <c r="G477" s="202">
        <f t="shared" si="3"/>
        <v>-71407.210000000006</v>
      </c>
    </row>
    <row r="478" spans="1:10" s="261" customFormat="1" ht="12.75" hidden="1" customHeight="1" x14ac:dyDescent="0.2">
      <c r="A478" s="188"/>
      <c r="B478" s="188"/>
      <c r="C478" s="188"/>
      <c r="D478" s="242" t="s">
        <v>340</v>
      </c>
      <c r="E478" s="188"/>
      <c r="F478" s="260">
        <f t="shared" si="1"/>
        <v>0</v>
      </c>
      <c r="G478" s="202">
        <f t="shared" si="3"/>
        <v>0</v>
      </c>
      <c r="H478" s="297"/>
      <c r="I478" s="317"/>
    </row>
    <row r="479" spans="1:10" ht="12.75" customHeight="1" x14ac:dyDescent="0.2">
      <c r="D479" s="197" t="s">
        <v>509</v>
      </c>
      <c r="F479" s="330">
        <f>SUM(SUMIF(D$5:D$451,"*WPB*",F$5:F$451))</f>
        <v>-5890.37</v>
      </c>
      <c r="G479" s="202">
        <f t="shared" si="3"/>
        <v>-5890.37</v>
      </c>
    </row>
    <row r="480" spans="1:10" ht="12.75" customHeight="1" x14ac:dyDescent="0.2">
      <c r="D480" s="197" t="s">
        <v>506</v>
      </c>
      <c r="F480" s="330">
        <f>SUM(SUMIF(D$5:D$451,"*Receivable Collection*",F$5:F$451))</f>
        <v>0</v>
      </c>
      <c r="G480" s="202">
        <f t="shared" si="3"/>
        <v>0</v>
      </c>
    </row>
    <row r="481" spans="1:9" ht="12.75" customHeight="1" x14ac:dyDescent="0.2">
      <c r="D481" s="197"/>
      <c r="F481" s="330"/>
      <c r="G481" s="202"/>
    </row>
    <row r="482" spans="1:9" ht="12.75" customHeight="1" thickBot="1" x14ac:dyDescent="0.25">
      <c r="D482" s="284" t="s">
        <v>250</v>
      </c>
      <c r="E482" s="203">
        <f>SUM(E459:E480)</f>
        <v>17016582.480000004</v>
      </c>
      <c r="F482" s="203">
        <f>SUM(F459:F480)</f>
        <v>-164382.58000000002</v>
      </c>
      <c r="G482" s="203">
        <f>SUM(G459:G481)</f>
        <v>16852199.900000002</v>
      </c>
    </row>
    <row r="483" spans="1:9" ht="12.75" customHeight="1" thickTop="1" x14ac:dyDescent="0.2">
      <c r="D483" s="284"/>
      <c r="E483" s="502"/>
      <c r="F483" s="502"/>
      <c r="G483" s="502"/>
    </row>
    <row r="484" spans="1:9" ht="12.75" customHeight="1" x14ac:dyDescent="0.2">
      <c r="D484" s="284"/>
      <c r="E484" s="502"/>
      <c r="F484" s="502"/>
      <c r="G484" s="502">
        <f>G452-G482</f>
        <v>0</v>
      </c>
    </row>
    <row r="485" spans="1:9" ht="12" customHeight="1" x14ac:dyDescent="0.2">
      <c r="D485" s="284"/>
      <c r="E485" s="502"/>
      <c r="F485" s="502"/>
      <c r="G485" s="502"/>
    </row>
    <row r="486" spans="1:9" ht="12.75" customHeight="1" thickBot="1" x14ac:dyDescent="0.25">
      <c r="E486" s="202"/>
      <c r="F486" s="202"/>
      <c r="G486" s="202"/>
    </row>
    <row r="487" spans="1:9" ht="12.75" customHeight="1" thickBot="1" x14ac:dyDescent="0.25">
      <c r="C487" s="550" t="s">
        <v>278</v>
      </c>
      <c r="D487" s="551"/>
      <c r="E487" s="551"/>
      <c r="F487" s="551"/>
      <c r="G487" s="552"/>
    </row>
    <row r="488" spans="1:9" s="261" customFormat="1" ht="12.75" customHeight="1" x14ac:dyDescent="0.2">
      <c r="A488" s="188"/>
      <c r="B488" s="188"/>
      <c r="C488" s="369"/>
      <c r="D488" s="370"/>
      <c r="E488" s="370"/>
      <c r="F488" s="496"/>
      <c r="G488" s="497"/>
      <c r="H488" s="297"/>
      <c r="I488" s="188"/>
    </row>
    <row r="489" spans="1:9" ht="12.75" customHeight="1" x14ac:dyDescent="0.2">
      <c r="C489" s="438" t="s">
        <v>508</v>
      </c>
      <c r="D489" s="518"/>
      <c r="E489" s="518"/>
      <c r="F489" s="496"/>
      <c r="G489" s="498"/>
    </row>
    <row r="490" spans="1:9" ht="12.75" customHeight="1" x14ac:dyDescent="0.2">
      <c r="C490" s="382" t="s">
        <v>520</v>
      </c>
      <c r="D490" s="518"/>
      <c r="E490" s="518"/>
      <c r="F490" s="496"/>
      <c r="G490" s="498"/>
    </row>
    <row r="491" spans="1:9" ht="12.75" customHeight="1" x14ac:dyDescent="0.2">
      <c r="C491" s="382" t="s">
        <v>507</v>
      </c>
      <c r="D491" s="370"/>
      <c r="E491" s="370"/>
      <c r="F491" s="496"/>
      <c r="G491" s="498"/>
    </row>
    <row r="492" spans="1:9" ht="12.75" customHeight="1" x14ac:dyDescent="0.2">
      <c r="C492" s="382"/>
      <c r="D492" s="370"/>
      <c r="E492" s="370"/>
      <c r="F492" s="496"/>
      <c r="G492" s="498"/>
    </row>
    <row r="493" spans="1:9" ht="12.75" customHeight="1" x14ac:dyDescent="0.2">
      <c r="C493" s="369" t="s">
        <v>521</v>
      </c>
      <c r="D493" s="370"/>
      <c r="E493" s="370"/>
      <c r="F493" s="496"/>
      <c r="G493" s="498"/>
      <c r="I493" s="308"/>
    </row>
    <row r="494" spans="1:9" ht="12.75" customHeight="1" x14ac:dyDescent="0.2">
      <c r="C494" s="382" t="s">
        <v>522</v>
      </c>
      <c r="D494" s="370"/>
      <c r="E494" s="370"/>
      <c r="F494" s="496"/>
      <c r="G494" s="498"/>
      <c r="H494" s="308"/>
      <c r="I494" s="261"/>
    </row>
    <row r="495" spans="1:9" ht="12.75" customHeight="1" x14ac:dyDescent="0.2">
      <c r="C495" s="382"/>
      <c r="D495" s="370"/>
      <c r="E495" s="370"/>
      <c r="F495" s="496"/>
      <c r="G495" s="498"/>
      <c r="H495" s="308"/>
      <c r="I495" s="261"/>
    </row>
    <row r="496" spans="1:9" ht="12.75" customHeight="1" x14ac:dyDescent="0.2">
      <c r="C496" s="382"/>
      <c r="D496" s="370"/>
      <c r="E496" s="370"/>
      <c r="F496" s="496"/>
      <c r="G496" s="498"/>
      <c r="H496" s="308"/>
      <c r="I496" s="261"/>
    </row>
    <row r="497" spans="3:9" ht="12.75" customHeight="1" x14ac:dyDescent="0.2">
      <c r="C497" s="382"/>
      <c r="D497" s="370"/>
      <c r="E497" s="370"/>
      <c r="F497" s="496"/>
      <c r="G497" s="498"/>
      <c r="H497" s="308"/>
      <c r="I497" s="261"/>
    </row>
    <row r="498" spans="3:9" ht="12.75" customHeight="1" x14ac:dyDescent="0.2">
      <c r="C498" s="382"/>
      <c r="D498" s="370"/>
      <c r="E498" s="370"/>
      <c r="F498" s="496"/>
      <c r="G498" s="498"/>
      <c r="H498" s="308"/>
      <c r="I498" s="261"/>
    </row>
    <row r="499" spans="3:9" ht="12.75" customHeight="1" x14ac:dyDescent="0.2">
      <c r="C499" s="382"/>
      <c r="D499" s="370"/>
      <c r="E499" s="370"/>
      <c r="F499" s="496"/>
      <c r="G499" s="498"/>
      <c r="H499" s="308"/>
      <c r="I499" s="261"/>
    </row>
    <row r="500" spans="3:9" ht="12.75" customHeight="1" x14ac:dyDescent="0.2">
      <c r="C500" s="382"/>
      <c r="D500" s="370"/>
      <c r="E500" s="370"/>
      <c r="F500" s="496"/>
      <c r="G500" s="498"/>
      <c r="H500" s="308"/>
      <c r="I500" s="261"/>
    </row>
    <row r="501" spans="3:9" ht="12.75" customHeight="1" x14ac:dyDescent="0.2">
      <c r="C501" s="382"/>
      <c r="D501" s="370"/>
      <c r="E501" s="370"/>
      <c r="F501" s="496"/>
      <c r="G501" s="498"/>
      <c r="H501" s="308"/>
      <c r="I501" s="261"/>
    </row>
    <row r="502" spans="3:9" ht="12.75" customHeight="1" x14ac:dyDescent="0.2">
      <c r="C502" s="382"/>
      <c r="D502" s="370"/>
      <c r="E502" s="370"/>
      <c r="F502" s="496"/>
      <c r="G502" s="498"/>
      <c r="H502" s="308"/>
      <c r="I502" s="261"/>
    </row>
    <row r="503" spans="3:9" ht="12.75" customHeight="1" x14ac:dyDescent="0.2">
      <c r="C503" s="382"/>
      <c r="D503" s="370"/>
      <c r="E503" s="370"/>
      <c r="F503" s="496"/>
      <c r="G503" s="498"/>
      <c r="H503" s="308"/>
      <c r="I503" s="261"/>
    </row>
    <row r="504" spans="3:9" ht="12.75" customHeight="1" x14ac:dyDescent="0.2">
      <c r="C504" s="382"/>
      <c r="D504" s="370"/>
      <c r="E504" s="370"/>
      <c r="F504" s="496"/>
      <c r="G504" s="498"/>
      <c r="H504" s="308"/>
      <c r="I504" s="261"/>
    </row>
    <row r="505" spans="3:9" ht="12.75" customHeight="1" x14ac:dyDescent="0.2">
      <c r="C505" s="382"/>
      <c r="D505" s="370"/>
      <c r="E505" s="370"/>
      <c r="F505" s="496"/>
      <c r="G505" s="498"/>
      <c r="H505" s="308"/>
      <c r="I505" s="261"/>
    </row>
    <row r="506" spans="3:9" ht="12.75" customHeight="1" x14ac:dyDescent="0.2">
      <c r="C506" s="382"/>
      <c r="D506" s="370"/>
      <c r="E506" s="370"/>
      <c r="F506" s="496"/>
      <c r="G506" s="498"/>
      <c r="H506" s="308"/>
      <c r="I506" s="261"/>
    </row>
    <row r="507" spans="3:9" ht="12.75" customHeight="1" x14ac:dyDescent="0.2">
      <c r="C507" s="382"/>
      <c r="D507" s="370"/>
      <c r="E507" s="370"/>
      <c r="F507" s="496"/>
      <c r="G507" s="498"/>
      <c r="H507" s="308"/>
      <c r="I507" s="261"/>
    </row>
    <row r="508" spans="3:9" ht="12.75" customHeight="1" x14ac:dyDescent="0.2">
      <c r="C508" s="438"/>
      <c r="D508" s="503"/>
      <c r="E508" s="503"/>
      <c r="F508" s="503"/>
      <c r="G508" s="504"/>
      <c r="H508" s="308"/>
      <c r="I508" s="261"/>
    </row>
    <row r="509" spans="3:9" ht="12.75" customHeight="1" x14ac:dyDescent="0.2">
      <c r="C509" s="369" t="s">
        <v>523</v>
      </c>
      <c r="D509" s="503"/>
      <c r="E509" s="503"/>
      <c r="F509" s="503"/>
      <c r="G509" s="504"/>
      <c r="H509" s="308"/>
      <c r="I509" s="261"/>
    </row>
    <row r="510" spans="3:9" ht="12.75" customHeight="1" x14ac:dyDescent="0.2">
      <c r="C510" s="382" t="s">
        <v>524</v>
      </c>
      <c r="D510" s="503"/>
      <c r="E510" s="503"/>
      <c r="F510" s="503"/>
      <c r="G510" s="504"/>
      <c r="H510" s="308"/>
      <c r="I510" s="261"/>
    </row>
    <row r="511" spans="3:9" ht="12.75" customHeight="1" x14ac:dyDescent="0.2">
      <c r="C511" s="382"/>
      <c r="D511" s="503"/>
      <c r="E511" s="503"/>
      <c r="F511" s="503"/>
      <c r="G511" s="504"/>
      <c r="H511" s="308"/>
      <c r="I511" s="261"/>
    </row>
    <row r="512" spans="3:9" ht="12.75" customHeight="1" x14ac:dyDescent="0.2">
      <c r="C512" s="382"/>
      <c r="D512" s="503"/>
      <c r="E512" s="503"/>
      <c r="F512" s="503"/>
      <c r="G512" s="504"/>
      <c r="H512" s="308"/>
      <c r="I512" s="261"/>
    </row>
    <row r="513" spans="3:11" ht="12.75" customHeight="1" thickBot="1" x14ac:dyDescent="0.25">
      <c r="C513" s="381"/>
      <c r="D513" s="371"/>
      <c r="E513" s="371"/>
      <c r="F513" s="371"/>
      <c r="G513" s="499"/>
      <c r="H513" s="308"/>
      <c r="I513" s="261"/>
    </row>
    <row r="514" spans="3:11" ht="12.75" customHeight="1" x14ac:dyDescent="0.2">
      <c r="H514" s="308"/>
      <c r="I514" s="261"/>
    </row>
    <row r="515" spans="3:11" ht="12.75" customHeight="1" x14ac:dyDescent="0.2">
      <c r="H515" s="308"/>
      <c r="I515" s="261"/>
    </row>
    <row r="516" spans="3:11" ht="12.75" customHeight="1" x14ac:dyDescent="0.2">
      <c r="H516" s="308"/>
      <c r="I516" s="261"/>
    </row>
    <row r="517" spans="3:11" ht="12.75" customHeight="1" x14ac:dyDescent="0.2">
      <c r="H517" s="308"/>
      <c r="I517" s="261"/>
    </row>
    <row r="518" spans="3:11" ht="12.75" customHeight="1" x14ac:dyDescent="0.2">
      <c r="H518" s="308"/>
      <c r="I518" s="261"/>
    </row>
    <row r="519" spans="3:11" ht="12.75" customHeight="1" x14ac:dyDescent="0.2">
      <c r="H519" s="308"/>
      <c r="I519" s="261"/>
    </row>
    <row r="520" spans="3:11" ht="12.75" customHeight="1" x14ac:dyDescent="0.2">
      <c r="H520" s="308"/>
      <c r="I520" s="261"/>
    </row>
    <row r="521" spans="3:11" ht="12.75" customHeight="1" x14ac:dyDescent="0.2">
      <c r="H521" s="308"/>
      <c r="I521" s="261"/>
    </row>
    <row r="522" spans="3:11" ht="12.75" customHeight="1" x14ac:dyDescent="0.2">
      <c r="H522" s="308"/>
      <c r="I522" s="261"/>
    </row>
    <row r="523" spans="3:11" ht="12.75" customHeight="1" x14ac:dyDescent="0.2">
      <c r="H523" s="252"/>
    </row>
    <row r="524" spans="3:11" ht="12.75" customHeight="1" x14ac:dyDescent="0.2">
      <c r="E524" s="296"/>
      <c r="F524" s="188"/>
    </row>
    <row r="525" spans="3:11" ht="12.75" customHeight="1" x14ac:dyDescent="0.2">
      <c r="E525" s="296"/>
      <c r="F525" s="188"/>
    </row>
    <row r="527" spans="3:11" ht="12.75" customHeight="1" x14ac:dyDescent="0.2">
      <c r="K527" s="296"/>
    </row>
    <row r="528" spans="3:11" ht="12.75" customHeight="1" x14ac:dyDescent="0.2">
      <c r="K528" s="296"/>
    </row>
    <row r="534" spans="8:8" ht="12.75" customHeight="1" x14ac:dyDescent="0.2">
      <c r="H534" s="188"/>
    </row>
    <row r="535" spans="8:8" ht="12.75" customHeight="1" x14ac:dyDescent="0.2">
      <c r="H535" s="188"/>
    </row>
  </sheetData>
  <mergeCells count="2">
    <mergeCell ref="F3:G3"/>
    <mergeCell ref="C487:G487"/>
  </mergeCells>
  <conditionalFormatting sqref="A5:A451">
    <cfRule type="cellIs" dxfId="8" priority="1" operator="equal">
      <formula>0</formula>
    </cfRule>
  </conditionalFormatting>
  <conditionalFormatting sqref="A468">
    <cfRule type="cellIs" dxfId="7" priority="178" operator="equal">
      <formula>0</formula>
    </cfRule>
  </conditionalFormatting>
  <conditionalFormatting sqref="A475">
    <cfRule type="cellIs" dxfId="6" priority="307" operator="equal">
      <formula>0</formula>
    </cfRule>
  </conditionalFormatting>
  <conditionalFormatting sqref="H470:H477 H479:H487">
    <cfRule type="cellIs" dxfId="5" priority="301" stopIfTrue="1" operator="notEqual">
      <formula>0</formula>
    </cfRule>
    <cfRule type="cellIs" dxfId="4" priority="302" stopIfTrue="1" operator="equal">
      <formula>0</formula>
    </cfRule>
  </conditionalFormatting>
  <conditionalFormatting sqref="H489:H491">
    <cfRule type="cellIs" dxfId="3" priority="299" stopIfTrue="1" operator="notEqual">
      <formula>0</formula>
    </cfRule>
    <cfRule type="cellIs" dxfId="2" priority="300" stopIfTrue="1" operator="equal">
      <formula>0</formula>
    </cfRule>
  </conditionalFormatting>
  <pageMargins left="1" right="0.1" top="0.5" bottom="0.5" header="0" footer="0.1"/>
  <pageSetup fitToHeight="0" orientation="landscape" r:id="rId1"/>
  <headerFooter>
    <oddFooter>&amp;L&amp;8&amp;Z&amp;F&amp;R&amp;8&amp;P /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6" t="s">
        <v>15</v>
      </c>
      <c r="C1" s="567"/>
      <c r="D1" s="567"/>
      <c r="E1" s="567"/>
      <c r="F1" s="567"/>
      <c r="G1" s="567"/>
      <c r="H1" s="567"/>
      <c r="I1" s="567"/>
      <c r="J1" s="135"/>
      <c r="K1" s="135"/>
      <c r="L1" s="135"/>
      <c r="N1" s="82">
        <f>A1</f>
        <v>0</v>
      </c>
      <c r="O1" s="658" t="s">
        <v>15</v>
      </c>
      <c r="P1" s="659"/>
      <c r="Q1" s="659"/>
      <c r="R1" s="659"/>
      <c r="S1" s="659"/>
      <c r="T1" s="659"/>
      <c r="U1" s="659"/>
    </row>
    <row r="2" spans="1:21" ht="21" x14ac:dyDescent="0.35">
      <c r="A2" s="1" t="s">
        <v>364</v>
      </c>
      <c r="B2" s="2"/>
      <c r="C2" s="2"/>
      <c r="D2" s="2"/>
      <c r="E2" s="2"/>
      <c r="F2" s="2"/>
      <c r="G2" s="2"/>
      <c r="H2" s="2"/>
      <c r="I2" s="2"/>
      <c r="N2" s="660" t="s">
        <v>18</v>
      </c>
      <c r="O2" s="660"/>
      <c r="P2" s="660"/>
      <c r="Q2" s="660"/>
      <c r="R2" s="660"/>
      <c r="S2" s="660"/>
      <c r="T2" s="660"/>
      <c r="U2" s="660"/>
    </row>
    <row r="3" spans="1:21" x14ac:dyDescent="0.25">
      <c r="A3" s="81" t="str">
        <f>'1461'!A3</f>
        <v>Based on the FLDOE 2024-25 Conference Calculation</v>
      </c>
      <c r="N3" s="627" t="str">
        <f>A3</f>
        <v>Based on the FLDOE 2024-25 Conference Calculation</v>
      </c>
      <c r="O3" s="627"/>
      <c r="P3" s="627"/>
      <c r="Q3" s="627"/>
      <c r="R3" s="627"/>
      <c r="S3" s="627"/>
      <c r="T3" s="627"/>
      <c r="U3" s="627"/>
    </row>
    <row r="4" spans="1:21" x14ac:dyDescent="0.25">
      <c r="A4" s="568" t="s">
        <v>0</v>
      </c>
      <c r="B4" s="568"/>
      <c r="C4" s="569" t="s">
        <v>9</v>
      </c>
      <c r="D4" s="569"/>
      <c r="E4" s="569"/>
      <c r="F4" s="4" t="str">
        <f>'1461'!F4</f>
        <v>July 2024</v>
      </c>
      <c r="G4" s="4"/>
      <c r="H4" s="4"/>
      <c r="I4" s="4"/>
      <c r="N4" s="661" t="s">
        <v>0</v>
      </c>
      <c r="O4" s="661"/>
      <c r="P4" s="662" t="str">
        <f>C4</f>
        <v>Palm Beach</v>
      </c>
      <c r="Q4" s="662"/>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70" t="s">
        <v>433</v>
      </c>
      <c r="B7" s="664"/>
      <c r="C7" s="664"/>
      <c r="D7" s="664"/>
      <c r="E7" s="664"/>
      <c r="F7" s="664"/>
      <c r="G7" s="664"/>
      <c r="H7" s="664"/>
      <c r="I7" s="664"/>
      <c r="N7" s="661" t="str">
        <f>A7</f>
        <v>1A.   2023-24 FEFP State and Local Funding</v>
      </c>
      <c r="O7" s="661"/>
      <c r="P7" s="661"/>
      <c r="Q7" s="661"/>
      <c r="R7" s="661"/>
      <c r="S7" s="661"/>
      <c r="T7" s="661"/>
      <c r="U7" s="661"/>
    </row>
    <row r="8" spans="1:21" x14ac:dyDescent="0.25">
      <c r="A8" s="84"/>
      <c r="B8" s="85" t="s">
        <v>92</v>
      </c>
      <c r="C8" s="299">
        <f>'1461'!C8</f>
        <v>5330.98</v>
      </c>
      <c r="D8" s="86"/>
      <c r="E8" s="87"/>
      <c r="F8" s="84"/>
      <c r="G8" s="85" t="s">
        <v>393</v>
      </c>
      <c r="H8" s="287">
        <f>'1461'!H8</f>
        <v>1.0407999999999999</v>
      </c>
      <c r="I8" s="75"/>
      <c r="N8" s="665" t="s">
        <v>10</v>
      </c>
      <c r="O8" s="665"/>
      <c r="P8" s="666">
        <f>C8</f>
        <v>5330.98</v>
      </c>
      <c r="Q8" s="666"/>
      <c r="R8" s="648" t="s">
        <v>394</v>
      </c>
      <c r="S8" s="649"/>
      <c r="T8" s="650">
        <f>H8</f>
        <v>1.0407999999999999</v>
      </c>
      <c r="U8" s="650"/>
    </row>
    <row r="9" spans="1:21" x14ac:dyDescent="0.25">
      <c r="A9" s="84"/>
      <c r="B9" s="85"/>
      <c r="C9" s="222"/>
      <c r="D9" s="86"/>
      <c r="E9" s="87"/>
      <c r="F9" s="84"/>
      <c r="G9" s="85" t="s">
        <v>391</v>
      </c>
      <c r="H9" s="287">
        <f>'1461'!H9</f>
        <v>1</v>
      </c>
      <c r="I9" s="75"/>
      <c r="N9" s="12"/>
      <c r="O9" s="12"/>
      <c r="P9" s="13"/>
      <c r="Q9" s="13"/>
      <c r="R9" s="387" t="s">
        <v>392</v>
      </c>
      <c r="S9" s="384"/>
      <c r="T9" s="650">
        <f>H9</f>
        <v>1</v>
      </c>
      <c r="U9" s="650"/>
    </row>
    <row r="10" spans="1:21" x14ac:dyDescent="0.25">
      <c r="A10" s="7"/>
      <c r="B10" s="42" t="s">
        <v>310</v>
      </c>
      <c r="C10" s="456" t="str">
        <f>'1461'!C10</f>
        <v xml:space="preserve"> </v>
      </c>
      <c r="D10" s="88" t="str">
        <f>'1461'!D10</f>
        <v xml:space="preserve"> </v>
      </c>
      <c r="E10" s="8"/>
      <c r="F10" s="9"/>
      <c r="G10" s="9"/>
      <c r="H10" s="10"/>
      <c r="I10" s="305" t="str">
        <f>'1461'!I10</f>
        <v>2024-25</v>
      </c>
      <c r="N10" s="12"/>
      <c r="O10" s="12"/>
      <c r="P10" s="13"/>
      <c r="Q10" s="13"/>
      <c r="R10" s="14"/>
      <c r="S10" s="14"/>
      <c r="T10" s="15"/>
      <c r="U10" s="366" t="str">
        <f>I10</f>
        <v>2024-25</v>
      </c>
    </row>
    <row r="11" spans="1:21" x14ac:dyDescent="0.25">
      <c r="A11" s="7"/>
      <c r="B11" s="7"/>
      <c r="C11" s="88" t="str">
        <f>'1461'!C11</f>
        <v>Oct 2023</v>
      </c>
      <c r="D11" s="333" t="str">
        <f>'1461'!D11</f>
        <v>Feb 2024</v>
      </c>
      <c r="E11" s="89" t="s">
        <v>8</v>
      </c>
      <c r="F11" s="571" t="s">
        <v>1</v>
      </c>
      <c r="G11" s="571"/>
      <c r="H11" s="10" t="s">
        <v>60</v>
      </c>
      <c r="I11" s="11" t="s">
        <v>27</v>
      </c>
      <c r="N11" s="12"/>
      <c r="O11" s="12"/>
      <c r="P11" s="13"/>
      <c r="Q11" s="13"/>
      <c r="R11" s="651" t="s">
        <v>1</v>
      </c>
      <c r="S11" s="651"/>
      <c r="T11" s="15" t="s">
        <v>60</v>
      </c>
      <c r="U11" s="16" t="s">
        <v>27</v>
      </c>
    </row>
    <row r="12" spans="1:21" ht="15.75" customHeight="1" x14ac:dyDescent="0.25">
      <c r="A12" s="572" t="s">
        <v>1</v>
      </c>
      <c r="B12" s="572"/>
      <c r="C12" s="324" t="str">
        <f>'1461'!C12</f>
        <v>FTE</v>
      </c>
      <c r="D12" s="324" t="str">
        <f>'1461'!D12</f>
        <v>FTE</v>
      </c>
      <c r="E12" s="324" t="s">
        <v>2</v>
      </c>
      <c r="F12" s="573" t="s">
        <v>63</v>
      </c>
      <c r="G12" s="573"/>
      <c r="H12" s="17" t="s">
        <v>59</v>
      </c>
      <c r="I12" s="388" t="s">
        <v>395</v>
      </c>
      <c r="N12" s="639" t="s">
        <v>1</v>
      </c>
      <c r="O12" s="639"/>
      <c r="P12" s="652" t="s">
        <v>19</v>
      </c>
      <c r="Q12" s="652"/>
      <c r="R12" s="653" t="s">
        <v>63</v>
      </c>
      <c r="S12" s="653"/>
      <c r="T12" s="18" t="s">
        <v>59</v>
      </c>
      <c r="U12" s="19" t="str">
        <f>I12</f>
        <v>(WFTE x BSA x CWF x SDF)</v>
      </c>
    </row>
    <row r="13" spans="1:21" x14ac:dyDescent="0.25">
      <c r="A13" s="574" t="s">
        <v>36</v>
      </c>
      <c r="B13" s="574"/>
      <c r="C13" s="91"/>
      <c r="D13" s="91"/>
      <c r="E13" s="92" t="s">
        <v>37</v>
      </c>
      <c r="F13" s="575" t="s">
        <v>38</v>
      </c>
      <c r="G13" s="575"/>
      <c r="H13" s="20" t="s">
        <v>39</v>
      </c>
      <c r="I13" s="21" t="s">
        <v>40</v>
      </c>
      <c r="N13" s="654" t="s">
        <v>36</v>
      </c>
      <c r="O13" s="654"/>
      <c r="P13" s="655" t="s">
        <v>37</v>
      </c>
      <c r="Q13" s="655"/>
      <c r="R13" s="656" t="s">
        <v>38</v>
      </c>
      <c r="S13" s="656"/>
      <c r="T13" s="22" t="s">
        <v>39</v>
      </c>
      <c r="U13" s="23" t="s">
        <v>40</v>
      </c>
    </row>
    <row r="14" spans="1:21" x14ac:dyDescent="0.25">
      <c r="A14" s="576" t="s">
        <v>20</v>
      </c>
      <c r="B14" s="576"/>
      <c r="C14" s="143">
        <v>133.43</v>
      </c>
      <c r="D14" s="141">
        <v>129.69999999999999</v>
      </c>
      <c r="E14" s="187">
        <f>IF(D$30=0,C14*2,C14+D14)</f>
        <v>263.13</v>
      </c>
      <c r="F14" s="667">
        <f>'1461'!F14:G14</f>
        <v>1.1180000000000001</v>
      </c>
      <c r="G14" s="667"/>
      <c r="H14" s="145">
        <f>ROUND(E14*F14,4)</f>
        <v>294.17930000000001</v>
      </c>
      <c r="I14" s="111">
        <f>ROUND(ROUND(ROUND(H14*$C$8,4)*($H$8),2)*(MAX($H$9,1)),2)</f>
        <v>1632249.13</v>
      </c>
      <c r="N14" s="641" t="s">
        <v>20</v>
      </c>
      <c r="O14" s="641"/>
      <c r="P14" s="642">
        <f t="shared" ref="P14:P29" si="0">IF($H$133=1,E14,0)</f>
        <v>0</v>
      </c>
      <c r="Q14" s="642"/>
      <c r="R14" s="657">
        <v>1</v>
      </c>
      <c r="S14" s="657"/>
      <c r="T14" s="95">
        <f>ROUND(P14*R14,4)</f>
        <v>0</v>
      </c>
      <c r="U14" s="473">
        <f>ROUND(ROUND(ROUND(T14*$C$8,4)*($H$8),2)*(MAX($H$9,1)),2)</f>
        <v>0</v>
      </c>
    </row>
    <row r="15" spans="1:21" x14ac:dyDescent="0.25">
      <c r="A15" s="578" t="s">
        <v>21</v>
      </c>
      <c r="B15" s="578"/>
      <c r="C15" s="143">
        <v>20.5</v>
      </c>
      <c r="D15" s="143">
        <v>23.01</v>
      </c>
      <c r="E15" s="116">
        <f t="shared" ref="E15:E29" si="1">IF(D$30=0,C15*2,C15+D15)</f>
        <v>43.510000000000005</v>
      </c>
      <c r="F15" s="663">
        <f>'1461'!F15:G15</f>
        <v>1.1180000000000001</v>
      </c>
      <c r="G15" s="663"/>
      <c r="H15" s="80">
        <f t="shared" ref="H15:H29" si="2">ROUND(E15*F15,4)</f>
        <v>48.644199999999998</v>
      </c>
      <c r="I15" s="101">
        <f t="shared" ref="I15:I29" si="3">ROUND(ROUND(ROUND(H15*$C$8,4)*($H$8),2)*(MAX($H$9,1)),2)</f>
        <v>269901.56</v>
      </c>
      <c r="J15" s="65" t="str">
        <f>IF(ROUND(E15,2)=ROUND(SUM(E57:E59),2)," ","CHECK PK-3 LINES BELOW")</f>
        <v xml:space="preserve"> </v>
      </c>
      <c r="N15" s="601" t="s">
        <v>21</v>
      </c>
      <c r="O15" s="601"/>
      <c r="P15" s="642">
        <f t="shared" si="0"/>
        <v>0</v>
      </c>
      <c r="Q15" s="642"/>
      <c r="R15" s="647">
        <v>1</v>
      </c>
      <c r="S15" s="647"/>
      <c r="T15" s="95">
        <f t="shared" ref="T15:T29" si="4">ROUND(P15*R15,4)</f>
        <v>0</v>
      </c>
      <c r="U15" s="473">
        <f t="shared" ref="U15:U29" si="5">ROUND(ROUND(ROUND(T15*$C$8,4)*($H$8),2)*(MAX($H$9,1)),2)</f>
        <v>0</v>
      </c>
    </row>
    <row r="16" spans="1:21" x14ac:dyDescent="0.25">
      <c r="A16" s="578" t="s">
        <v>22</v>
      </c>
      <c r="B16" s="578"/>
      <c r="C16" s="143">
        <v>58.46</v>
      </c>
      <c r="D16" s="143">
        <v>57.07</v>
      </c>
      <c r="E16" s="116">
        <f t="shared" si="1"/>
        <v>115.53</v>
      </c>
      <c r="F16" s="663">
        <f>'1461'!F16:G16</f>
        <v>1</v>
      </c>
      <c r="G16" s="663"/>
      <c r="H16" s="80">
        <f t="shared" si="2"/>
        <v>115.53</v>
      </c>
      <c r="I16" s="101">
        <f t="shared" si="3"/>
        <v>641016.35</v>
      </c>
      <c r="N16" s="601" t="s">
        <v>22</v>
      </c>
      <c r="O16" s="601"/>
      <c r="P16" s="642">
        <f t="shared" si="0"/>
        <v>0</v>
      </c>
      <c r="Q16" s="642"/>
      <c r="R16" s="647">
        <v>1</v>
      </c>
      <c r="S16" s="647"/>
      <c r="T16" s="95">
        <f t="shared" si="4"/>
        <v>0</v>
      </c>
      <c r="U16" s="473">
        <f t="shared" si="5"/>
        <v>0</v>
      </c>
    </row>
    <row r="17" spans="1:21" x14ac:dyDescent="0.25">
      <c r="A17" s="578" t="s">
        <v>23</v>
      </c>
      <c r="B17" s="578"/>
      <c r="C17" s="143">
        <v>20</v>
      </c>
      <c r="D17" s="143">
        <v>18.989999999999998</v>
      </c>
      <c r="E17" s="116">
        <f t="shared" si="1"/>
        <v>38.989999999999995</v>
      </c>
      <c r="F17" s="663">
        <f>'1461'!F17:G17</f>
        <v>1</v>
      </c>
      <c r="G17" s="663"/>
      <c r="H17" s="80">
        <f t="shared" si="2"/>
        <v>38.99</v>
      </c>
      <c r="I17" s="101">
        <f t="shared" si="3"/>
        <v>216335.39</v>
      </c>
      <c r="J17" s="65" t="str">
        <f>IF(ROUND(E17,2)=ROUND(SUM(E60:E62),2)," ","CHECK 4-8 LINES BELOW")</f>
        <v xml:space="preserve"> </v>
      </c>
      <c r="N17" s="601" t="s">
        <v>23</v>
      </c>
      <c r="O17" s="601"/>
      <c r="P17" s="642">
        <f t="shared" si="0"/>
        <v>0</v>
      </c>
      <c r="Q17" s="642"/>
      <c r="R17" s="647">
        <v>1</v>
      </c>
      <c r="S17" s="647"/>
      <c r="T17" s="95">
        <f t="shared" si="4"/>
        <v>0</v>
      </c>
      <c r="U17" s="473">
        <f t="shared" si="5"/>
        <v>0</v>
      </c>
    </row>
    <row r="18" spans="1:21" x14ac:dyDescent="0.25">
      <c r="A18" s="578" t="s">
        <v>24</v>
      </c>
      <c r="B18" s="578"/>
      <c r="C18" s="143">
        <v>0</v>
      </c>
      <c r="D18" s="143">
        <v>0</v>
      </c>
      <c r="E18" s="116">
        <f t="shared" si="1"/>
        <v>0</v>
      </c>
      <c r="F18" s="663">
        <f>'1461'!F18:G18</f>
        <v>0.97799999999999998</v>
      </c>
      <c r="G18" s="663"/>
      <c r="H18" s="80">
        <f t="shared" si="2"/>
        <v>0</v>
      </c>
      <c r="I18" s="101">
        <f t="shared" si="3"/>
        <v>0</v>
      </c>
      <c r="N18" s="601" t="s">
        <v>24</v>
      </c>
      <c r="O18" s="601"/>
      <c r="P18" s="642">
        <f t="shared" si="0"/>
        <v>0</v>
      </c>
      <c r="Q18" s="642"/>
      <c r="R18" s="647">
        <v>1</v>
      </c>
      <c r="S18" s="647"/>
      <c r="T18" s="95">
        <f t="shared" si="4"/>
        <v>0</v>
      </c>
      <c r="U18" s="473">
        <f t="shared" si="5"/>
        <v>0</v>
      </c>
    </row>
    <row r="19" spans="1:21" x14ac:dyDescent="0.25">
      <c r="A19" s="578" t="s">
        <v>25</v>
      </c>
      <c r="B19" s="578"/>
      <c r="C19" s="143">
        <v>0</v>
      </c>
      <c r="D19" s="143">
        <v>0</v>
      </c>
      <c r="E19" s="116">
        <f t="shared" si="1"/>
        <v>0</v>
      </c>
      <c r="F19" s="663">
        <f>'1461'!F19:G19</f>
        <v>0.97799999999999998</v>
      </c>
      <c r="G19" s="663"/>
      <c r="H19" s="80">
        <f t="shared" si="2"/>
        <v>0</v>
      </c>
      <c r="I19" s="101">
        <f t="shared" si="3"/>
        <v>0</v>
      </c>
      <c r="J19" s="65" t="str">
        <f>IF(ROUND(E19,2)=ROUND(SUM(E63:E65),2)," ","CHECK 4-8 LINES BELOW")</f>
        <v xml:space="preserve"> </v>
      </c>
      <c r="N19" s="601" t="s">
        <v>25</v>
      </c>
      <c r="O19" s="601"/>
      <c r="P19" s="642">
        <f t="shared" si="0"/>
        <v>0</v>
      </c>
      <c r="Q19" s="642"/>
      <c r="R19" s="647">
        <v>1</v>
      </c>
      <c r="S19" s="647"/>
      <c r="T19" s="95">
        <f t="shared" si="4"/>
        <v>0</v>
      </c>
      <c r="U19" s="472">
        <f t="shared" si="5"/>
        <v>0</v>
      </c>
    </row>
    <row r="20" spans="1:21" x14ac:dyDescent="0.25">
      <c r="A20" s="578" t="s">
        <v>79</v>
      </c>
      <c r="B20" s="578"/>
      <c r="C20" s="143">
        <v>0</v>
      </c>
      <c r="D20" s="143">
        <v>0</v>
      </c>
      <c r="E20" s="116">
        <f t="shared" si="1"/>
        <v>0</v>
      </c>
      <c r="F20" s="663">
        <f>'1461'!F20:G20</f>
        <v>3.6970000000000001</v>
      </c>
      <c r="G20" s="663"/>
      <c r="H20" s="80">
        <f t="shared" si="2"/>
        <v>0</v>
      </c>
      <c r="I20" s="101">
        <f t="shared" si="3"/>
        <v>0</v>
      </c>
      <c r="N20" s="601" t="s">
        <v>79</v>
      </c>
      <c r="O20" s="601"/>
      <c r="P20" s="642">
        <f t="shared" si="0"/>
        <v>0</v>
      </c>
      <c r="Q20" s="642"/>
      <c r="R20" s="647">
        <v>1</v>
      </c>
      <c r="S20" s="647"/>
      <c r="T20" s="95">
        <f t="shared" si="4"/>
        <v>0</v>
      </c>
      <c r="U20" s="473">
        <f t="shared" si="5"/>
        <v>0</v>
      </c>
    </row>
    <row r="21" spans="1:21" x14ac:dyDescent="0.25">
      <c r="A21" s="578" t="s">
        <v>80</v>
      </c>
      <c r="B21" s="578"/>
      <c r="C21" s="143">
        <v>0</v>
      </c>
      <c r="D21" s="143">
        <v>0</v>
      </c>
      <c r="E21" s="116">
        <f t="shared" si="1"/>
        <v>0</v>
      </c>
      <c r="F21" s="663">
        <f>'1461'!F21:G21</f>
        <v>3.6970000000000001</v>
      </c>
      <c r="G21" s="663"/>
      <c r="H21" s="80">
        <f t="shared" si="2"/>
        <v>0</v>
      </c>
      <c r="I21" s="101">
        <f t="shared" si="3"/>
        <v>0</v>
      </c>
      <c r="N21" s="601" t="s">
        <v>80</v>
      </c>
      <c r="O21" s="601"/>
      <c r="P21" s="642">
        <f t="shared" si="0"/>
        <v>0</v>
      </c>
      <c r="Q21" s="642"/>
      <c r="R21" s="647">
        <v>1</v>
      </c>
      <c r="S21" s="647"/>
      <c r="T21" s="95">
        <f t="shared" si="4"/>
        <v>0</v>
      </c>
      <c r="U21" s="473">
        <f t="shared" si="5"/>
        <v>0</v>
      </c>
    </row>
    <row r="22" spans="1:21" x14ac:dyDescent="0.25">
      <c r="A22" s="578" t="s">
        <v>81</v>
      </c>
      <c r="B22" s="578"/>
      <c r="C22" s="143">
        <v>0</v>
      </c>
      <c r="D22" s="143">
        <v>0</v>
      </c>
      <c r="E22" s="116">
        <f t="shared" si="1"/>
        <v>0</v>
      </c>
      <c r="F22" s="663">
        <f>'1461'!F22:G22</f>
        <v>3.6970000000000001</v>
      </c>
      <c r="G22" s="663"/>
      <c r="H22" s="80">
        <f t="shared" si="2"/>
        <v>0</v>
      </c>
      <c r="I22" s="101">
        <f t="shared" si="3"/>
        <v>0</v>
      </c>
      <c r="N22" s="601" t="s">
        <v>81</v>
      </c>
      <c r="O22" s="601"/>
      <c r="P22" s="642">
        <f t="shared" si="0"/>
        <v>0</v>
      </c>
      <c r="Q22" s="642"/>
      <c r="R22" s="647">
        <v>1</v>
      </c>
      <c r="S22" s="647"/>
      <c r="T22" s="95">
        <f t="shared" si="4"/>
        <v>0</v>
      </c>
      <c r="U22" s="473">
        <f t="shared" si="5"/>
        <v>0</v>
      </c>
    </row>
    <row r="23" spans="1:21" x14ac:dyDescent="0.25">
      <c r="A23" s="578" t="s">
        <v>82</v>
      </c>
      <c r="B23" s="578"/>
      <c r="C23" s="143">
        <v>0</v>
      </c>
      <c r="D23" s="143">
        <v>0</v>
      </c>
      <c r="E23" s="116">
        <f t="shared" si="1"/>
        <v>0</v>
      </c>
      <c r="F23" s="663">
        <f>'1461'!F23:G23</f>
        <v>5.992</v>
      </c>
      <c r="G23" s="663"/>
      <c r="H23" s="80">
        <f t="shared" si="2"/>
        <v>0</v>
      </c>
      <c r="I23" s="101">
        <f t="shared" si="3"/>
        <v>0</v>
      </c>
      <c r="N23" s="601" t="s">
        <v>82</v>
      </c>
      <c r="O23" s="601"/>
      <c r="P23" s="642">
        <f t="shared" si="0"/>
        <v>0</v>
      </c>
      <c r="Q23" s="642"/>
      <c r="R23" s="647">
        <v>1</v>
      </c>
      <c r="S23" s="647"/>
      <c r="T23" s="95">
        <f t="shared" si="4"/>
        <v>0</v>
      </c>
      <c r="U23" s="473">
        <f t="shared" si="5"/>
        <v>0</v>
      </c>
    </row>
    <row r="24" spans="1:21" x14ac:dyDescent="0.25">
      <c r="A24" s="578" t="s">
        <v>83</v>
      </c>
      <c r="B24" s="578"/>
      <c r="C24" s="143">
        <v>0</v>
      </c>
      <c r="D24" s="143">
        <v>0</v>
      </c>
      <c r="E24" s="116">
        <f t="shared" si="1"/>
        <v>0</v>
      </c>
      <c r="F24" s="663">
        <f>'1461'!F24:G24</f>
        <v>5.992</v>
      </c>
      <c r="G24" s="663"/>
      <c r="H24" s="80">
        <f t="shared" si="2"/>
        <v>0</v>
      </c>
      <c r="I24" s="101">
        <f t="shared" si="3"/>
        <v>0</v>
      </c>
      <c r="N24" s="601" t="s">
        <v>83</v>
      </c>
      <c r="O24" s="601"/>
      <c r="P24" s="642">
        <f t="shared" si="0"/>
        <v>0</v>
      </c>
      <c r="Q24" s="642"/>
      <c r="R24" s="647">
        <v>1</v>
      </c>
      <c r="S24" s="647"/>
      <c r="T24" s="95">
        <f t="shared" si="4"/>
        <v>0</v>
      </c>
      <c r="U24" s="473">
        <f t="shared" si="5"/>
        <v>0</v>
      </c>
    </row>
    <row r="25" spans="1:21" x14ac:dyDescent="0.25">
      <c r="A25" s="578" t="s">
        <v>84</v>
      </c>
      <c r="B25" s="578"/>
      <c r="C25" s="143">
        <v>0</v>
      </c>
      <c r="D25" s="143">
        <v>0</v>
      </c>
      <c r="E25" s="116">
        <f t="shared" si="1"/>
        <v>0</v>
      </c>
      <c r="F25" s="663">
        <f>'1461'!F25:G25</f>
        <v>5.992</v>
      </c>
      <c r="G25" s="663"/>
      <c r="H25" s="80">
        <f t="shared" si="2"/>
        <v>0</v>
      </c>
      <c r="I25" s="101">
        <f t="shared" si="3"/>
        <v>0</v>
      </c>
      <c r="N25" s="601" t="s">
        <v>84</v>
      </c>
      <c r="O25" s="601"/>
      <c r="P25" s="642">
        <f t="shared" si="0"/>
        <v>0</v>
      </c>
      <c r="Q25" s="642"/>
      <c r="R25" s="647">
        <v>1</v>
      </c>
      <c r="S25" s="647"/>
      <c r="T25" s="95">
        <f t="shared" si="4"/>
        <v>0</v>
      </c>
      <c r="U25" s="473">
        <f t="shared" si="5"/>
        <v>0</v>
      </c>
    </row>
    <row r="26" spans="1:21" x14ac:dyDescent="0.25">
      <c r="A26" s="578" t="s">
        <v>85</v>
      </c>
      <c r="B26" s="578"/>
      <c r="C26" s="143">
        <v>50.57</v>
      </c>
      <c r="D26" s="143">
        <v>52.3</v>
      </c>
      <c r="E26" s="116">
        <f t="shared" si="1"/>
        <v>102.87</v>
      </c>
      <c r="F26" s="663">
        <f>'1461'!F26:G26</f>
        <v>1.1919999999999999</v>
      </c>
      <c r="G26" s="663"/>
      <c r="H26" s="80">
        <f t="shared" si="2"/>
        <v>122.621</v>
      </c>
      <c r="I26" s="101">
        <f t="shared" si="3"/>
        <v>680360.65</v>
      </c>
      <c r="N26" s="601" t="s">
        <v>85</v>
      </c>
      <c r="O26" s="601"/>
      <c r="P26" s="642">
        <f t="shared" si="0"/>
        <v>0</v>
      </c>
      <c r="Q26" s="642"/>
      <c r="R26" s="647">
        <v>1</v>
      </c>
      <c r="S26" s="647"/>
      <c r="T26" s="95">
        <f t="shared" si="4"/>
        <v>0</v>
      </c>
      <c r="U26" s="473">
        <f t="shared" si="5"/>
        <v>0</v>
      </c>
    </row>
    <row r="27" spans="1:21" x14ac:dyDescent="0.25">
      <c r="A27" s="578" t="s">
        <v>86</v>
      </c>
      <c r="B27" s="578"/>
      <c r="C27" s="143">
        <v>12.54</v>
      </c>
      <c r="D27" s="143">
        <v>12.42</v>
      </c>
      <c r="E27" s="116">
        <f t="shared" si="1"/>
        <v>24.96</v>
      </c>
      <c r="F27" s="663">
        <f>'1461'!F27:G27</f>
        <v>1.1919999999999999</v>
      </c>
      <c r="G27" s="663"/>
      <c r="H27" s="80">
        <f t="shared" si="2"/>
        <v>29.752300000000002</v>
      </c>
      <c r="I27" s="101">
        <f t="shared" si="3"/>
        <v>165080.16</v>
      </c>
      <c r="N27" s="601" t="s">
        <v>86</v>
      </c>
      <c r="O27" s="601"/>
      <c r="P27" s="642">
        <f t="shared" si="0"/>
        <v>0</v>
      </c>
      <c r="Q27" s="642"/>
      <c r="R27" s="647">
        <v>1</v>
      </c>
      <c r="S27" s="647"/>
      <c r="T27" s="95">
        <f t="shared" si="4"/>
        <v>0</v>
      </c>
      <c r="U27" s="473">
        <f t="shared" si="5"/>
        <v>0</v>
      </c>
    </row>
    <row r="28" spans="1:21" x14ac:dyDescent="0.25">
      <c r="A28" s="578" t="s">
        <v>87</v>
      </c>
      <c r="B28" s="578"/>
      <c r="C28" s="143">
        <v>0</v>
      </c>
      <c r="D28" s="143">
        <v>0</v>
      </c>
      <c r="E28" s="116">
        <f t="shared" si="1"/>
        <v>0</v>
      </c>
      <c r="F28" s="663">
        <f>'1461'!F28:G28</f>
        <v>1.1919999999999999</v>
      </c>
      <c r="G28" s="663"/>
      <c r="H28" s="80">
        <f t="shared" si="2"/>
        <v>0</v>
      </c>
      <c r="I28" s="101">
        <f t="shared" si="3"/>
        <v>0</v>
      </c>
      <c r="N28" s="601" t="s">
        <v>87</v>
      </c>
      <c r="O28" s="601"/>
      <c r="P28" s="642">
        <f t="shared" si="0"/>
        <v>0</v>
      </c>
      <c r="Q28" s="642"/>
      <c r="R28" s="647">
        <v>1</v>
      </c>
      <c r="S28" s="647"/>
      <c r="T28" s="95">
        <f t="shared" si="4"/>
        <v>0</v>
      </c>
      <c r="U28" s="473">
        <f t="shared" si="5"/>
        <v>0</v>
      </c>
    </row>
    <row r="29" spans="1:21" x14ac:dyDescent="0.25">
      <c r="A29" s="578" t="s">
        <v>88</v>
      </c>
      <c r="B29" s="578"/>
      <c r="C29" s="110">
        <v>0</v>
      </c>
      <c r="D29" s="110">
        <v>0</v>
      </c>
      <c r="E29" s="154">
        <f t="shared" si="1"/>
        <v>0</v>
      </c>
      <c r="F29" s="663">
        <f>'1461'!F29:G29</f>
        <v>1.079</v>
      </c>
      <c r="G29" s="663"/>
      <c r="H29" s="93">
        <f t="shared" si="2"/>
        <v>0</v>
      </c>
      <c r="I29" s="94">
        <f t="shared" si="3"/>
        <v>0</v>
      </c>
      <c r="N29" s="616" t="s">
        <v>88</v>
      </c>
      <c r="O29" s="616"/>
      <c r="P29" s="642">
        <f t="shared" si="0"/>
        <v>0</v>
      </c>
      <c r="Q29" s="642"/>
      <c r="R29" s="643">
        <v>1</v>
      </c>
      <c r="S29" s="643"/>
      <c r="T29" s="95">
        <f t="shared" si="4"/>
        <v>0</v>
      </c>
      <c r="U29" s="473">
        <f t="shared" si="5"/>
        <v>0</v>
      </c>
    </row>
    <row r="30" spans="1:21" x14ac:dyDescent="0.25">
      <c r="A30" s="590" t="s">
        <v>5</v>
      </c>
      <c r="B30" s="590"/>
      <c r="C30" s="94">
        <f>SUM(C14:C29)</f>
        <v>295.50000000000006</v>
      </c>
      <c r="D30" s="94">
        <f>SUM(D14:D29)</f>
        <v>293.49</v>
      </c>
      <c r="E30" s="94">
        <f>SUM(E14:E29)</f>
        <v>588.99</v>
      </c>
      <c r="F30" s="582"/>
      <c r="G30" s="582"/>
      <c r="H30" s="99">
        <f>SUM(H14:H29)</f>
        <v>649.71680000000003</v>
      </c>
      <c r="I30" s="94">
        <f>SUM(I14:I29)</f>
        <v>3604943.24</v>
      </c>
      <c r="N30" s="644" t="s">
        <v>5</v>
      </c>
      <c r="O30" s="644"/>
      <c r="P30" s="645">
        <f>SUM(P14:P29)</f>
        <v>0</v>
      </c>
      <c r="Q30" s="645"/>
      <c r="R30" s="617"/>
      <c r="S30" s="617"/>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0" t="s">
        <v>233</v>
      </c>
      <c r="G34" s="670"/>
      <c r="H34" s="670"/>
      <c r="I34" s="101"/>
      <c r="N34" s="28"/>
      <c r="O34" s="28"/>
      <c r="P34" s="29"/>
      <c r="Q34" s="29"/>
      <c r="R34" s="30"/>
      <c r="S34" s="30"/>
      <c r="T34" s="102"/>
      <c r="U34" s="103"/>
    </row>
    <row r="35" spans="1:21" hidden="1" x14ac:dyDescent="0.25">
      <c r="A35" s="3"/>
      <c r="B35" s="69"/>
      <c r="C35" s="69"/>
      <c r="D35" s="69"/>
      <c r="E35" s="69"/>
      <c r="F35" s="670"/>
      <c r="G35" s="670"/>
      <c r="H35" s="670"/>
      <c r="I35" s="24" t="s">
        <v>61</v>
      </c>
      <c r="N35" s="627" t="s">
        <v>26</v>
      </c>
      <c r="O35" s="627"/>
      <c r="P35" s="627"/>
      <c r="Q35" s="627"/>
      <c r="R35" s="627"/>
      <c r="S35" s="627"/>
      <c r="T35" s="627"/>
      <c r="U35" s="25" t="str">
        <f>I35</f>
        <v>2015-16</v>
      </c>
    </row>
    <row r="36" spans="1:21" hidden="1" x14ac:dyDescent="0.25">
      <c r="A36" s="26"/>
      <c r="B36" s="26"/>
      <c r="C36" s="88" t="s">
        <v>93</v>
      </c>
      <c r="D36" s="88" t="s">
        <v>94</v>
      </c>
      <c r="E36" s="89" t="s">
        <v>8</v>
      </c>
      <c r="F36" s="670"/>
      <c r="G36" s="670"/>
      <c r="H36" s="670"/>
      <c r="I36" s="24" t="s">
        <v>27</v>
      </c>
      <c r="N36" s="28"/>
      <c r="O36" s="28"/>
      <c r="P36" s="29"/>
      <c r="Q36" s="29"/>
      <c r="R36" s="30"/>
      <c r="S36" s="30"/>
      <c r="T36" s="102"/>
      <c r="U36" s="25" t="s">
        <v>27</v>
      </c>
    </row>
    <row r="37" spans="1:21" ht="26.25" hidden="1" x14ac:dyDescent="0.25">
      <c r="A37" s="572" t="s">
        <v>50</v>
      </c>
      <c r="B37" s="572"/>
      <c r="C37" s="90" t="s">
        <v>2</v>
      </c>
      <c r="D37" s="90" t="s">
        <v>2</v>
      </c>
      <c r="E37" s="90" t="s">
        <v>2</v>
      </c>
      <c r="F37" s="671"/>
      <c r="G37" s="671"/>
      <c r="H37" s="671"/>
      <c r="I37" s="31" t="s">
        <v>395</v>
      </c>
      <c r="N37" s="639" t="s">
        <v>50</v>
      </c>
      <c r="O37" s="639"/>
      <c r="P37" s="640" t="s">
        <v>19</v>
      </c>
      <c r="Q37" s="640"/>
      <c r="R37" s="640"/>
      <c r="S37" s="640"/>
      <c r="T37" s="640"/>
      <c r="U37" s="19" t="str">
        <f>I37</f>
        <v>(WFTE x BSA x CWF x SDF)</v>
      </c>
    </row>
    <row r="38" spans="1:21" hidden="1" x14ac:dyDescent="0.25">
      <c r="A38" s="576" t="s">
        <v>45</v>
      </c>
      <c r="B38" s="576"/>
      <c r="C38" s="147">
        <v>0</v>
      </c>
      <c r="D38" s="147">
        <v>0</v>
      </c>
      <c r="E38" s="187">
        <f t="shared" ref="E38:E43" si="6">IF(D$44=0,C38*2,C38+D38)</f>
        <v>0</v>
      </c>
      <c r="F38" s="148"/>
      <c r="G38" s="148"/>
      <c r="H38" s="148"/>
      <c r="I38" s="111">
        <f>ROUND(ROUND(ROUND(E38*$C$8,4)*($H$8),2)*(MAX($H$9,1)),2)</f>
        <v>0</v>
      </c>
      <c r="N38" s="641" t="s">
        <v>45</v>
      </c>
      <c r="O38" s="641"/>
      <c r="P38" s="608">
        <f t="shared" ref="P38:P43" si="7">IF($H$133=1,E38,0)</f>
        <v>0</v>
      </c>
      <c r="Q38" s="608"/>
      <c r="R38" s="608"/>
      <c r="S38" s="608"/>
      <c r="T38" s="608"/>
      <c r="U38" s="98">
        <f>ROUND(ROUND(ROUND(P38*$C$8,4)*($H$8),2)*(MAX($H$9,1)),2)</f>
        <v>0</v>
      </c>
    </row>
    <row r="39" spans="1:21" hidden="1" x14ac:dyDescent="0.25">
      <c r="A39" s="578" t="s">
        <v>46</v>
      </c>
      <c r="B39" s="578"/>
      <c r="C39" s="150">
        <v>0</v>
      </c>
      <c r="D39" s="150">
        <v>0</v>
      </c>
      <c r="E39" s="116">
        <f t="shared" si="6"/>
        <v>0</v>
      </c>
      <c r="F39" s="151"/>
      <c r="G39" s="151"/>
      <c r="H39" s="151"/>
      <c r="I39" s="101">
        <f t="shared" ref="I39:I43" si="8">ROUND(ROUND(ROUND(E39*$C$8,4)*($H$8),2)*(MAX($H$9,1)),2)</f>
        <v>0</v>
      </c>
      <c r="N39" s="601" t="s">
        <v>46</v>
      </c>
      <c r="O39" s="601"/>
      <c r="P39" s="608">
        <f t="shared" si="7"/>
        <v>0</v>
      </c>
      <c r="Q39" s="608"/>
      <c r="R39" s="608"/>
      <c r="S39" s="608"/>
      <c r="T39" s="608"/>
      <c r="U39" s="98">
        <f t="shared" ref="U39:U43" si="9">ROUND(ROUND(ROUND(P39*$C$8,4)*($H$8),2)*(MAX($H$9,1)),2)</f>
        <v>0</v>
      </c>
    </row>
    <row r="40" spans="1:21" hidden="1" x14ac:dyDescent="0.25">
      <c r="A40" s="583" t="s">
        <v>47</v>
      </c>
      <c r="B40" s="583"/>
      <c r="C40" s="150">
        <v>0</v>
      </c>
      <c r="D40" s="150">
        <v>0</v>
      </c>
      <c r="E40" s="116">
        <f t="shared" si="6"/>
        <v>0</v>
      </c>
      <c r="F40" s="151"/>
      <c r="G40" s="151"/>
      <c r="H40" s="151"/>
      <c r="I40" s="101">
        <f t="shared" si="8"/>
        <v>0</v>
      </c>
      <c r="N40" s="646" t="s">
        <v>47</v>
      </c>
      <c r="O40" s="646"/>
      <c r="P40" s="608">
        <f t="shared" si="7"/>
        <v>0</v>
      </c>
      <c r="Q40" s="608"/>
      <c r="R40" s="608"/>
      <c r="S40" s="608"/>
      <c r="T40" s="608"/>
      <c r="U40" s="98">
        <f t="shared" si="9"/>
        <v>0</v>
      </c>
    </row>
    <row r="41" spans="1:21" hidden="1" x14ac:dyDescent="0.25">
      <c r="A41" s="578" t="s">
        <v>48</v>
      </c>
      <c r="B41" s="578"/>
      <c r="C41" s="150">
        <v>0</v>
      </c>
      <c r="D41" s="150">
        <v>0</v>
      </c>
      <c r="E41" s="116">
        <f t="shared" si="6"/>
        <v>0</v>
      </c>
      <c r="F41" s="151"/>
      <c r="G41" s="151"/>
      <c r="H41" s="151"/>
      <c r="I41" s="101">
        <f t="shared" si="8"/>
        <v>0</v>
      </c>
      <c r="N41" s="601" t="s">
        <v>48</v>
      </c>
      <c r="O41" s="601"/>
      <c r="P41" s="608">
        <f t="shared" si="7"/>
        <v>0</v>
      </c>
      <c r="Q41" s="608"/>
      <c r="R41" s="608"/>
      <c r="S41" s="608"/>
      <c r="T41" s="608"/>
      <c r="U41" s="98">
        <f t="shared" si="9"/>
        <v>0</v>
      </c>
    </row>
    <row r="42" spans="1:21" hidden="1" x14ac:dyDescent="0.25">
      <c r="A42" s="578" t="s">
        <v>49</v>
      </c>
      <c r="B42" s="578"/>
      <c r="C42" s="150">
        <v>0</v>
      </c>
      <c r="D42" s="150">
        <v>0</v>
      </c>
      <c r="E42" s="116">
        <f t="shared" si="6"/>
        <v>0</v>
      </c>
      <c r="F42" s="151"/>
      <c r="G42" s="151"/>
      <c r="H42" s="151"/>
      <c r="I42" s="101">
        <f t="shared" si="8"/>
        <v>0</v>
      </c>
      <c r="N42" s="601" t="s">
        <v>49</v>
      </c>
      <c r="O42" s="601"/>
      <c r="P42" s="608">
        <f t="shared" si="7"/>
        <v>0</v>
      </c>
      <c r="Q42" s="608"/>
      <c r="R42" s="608"/>
      <c r="S42" s="608"/>
      <c r="T42" s="608"/>
      <c r="U42" s="98">
        <f t="shared" si="9"/>
        <v>0</v>
      </c>
    </row>
    <row r="43" spans="1:21" hidden="1" x14ac:dyDescent="0.25">
      <c r="A43" s="578" t="s">
        <v>41</v>
      </c>
      <c r="B43" s="578"/>
      <c r="C43" s="149">
        <v>0</v>
      </c>
      <c r="D43" s="149">
        <v>0</v>
      </c>
      <c r="E43" s="154">
        <f t="shared" si="6"/>
        <v>0</v>
      </c>
      <c r="F43" s="151"/>
      <c r="G43" s="151"/>
      <c r="H43" s="151"/>
      <c r="I43" s="94">
        <f t="shared" si="8"/>
        <v>0</v>
      </c>
      <c r="N43" s="616" t="s">
        <v>41</v>
      </c>
      <c r="O43" s="616"/>
      <c r="P43" s="608">
        <f t="shared" si="7"/>
        <v>0</v>
      </c>
      <c r="Q43" s="608"/>
      <c r="R43" s="608"/>
      <c r="S43" s="608"/>
      <c r="T43" s="60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3" t="s">
        <v>43</v>
      </c>
      <c r="O44" s="603"/>
      <c r="P44" s="603"/>
      <c r="Q44" s="603"/>
      <c r="R44" s="33">
        <f>SUM(P38:R43)</f>
        <v>0</v>
      </c>
      <c r="S44" s="617" t="s">
        <v>51</v>
      </c>
      <c r="T44" s="617"/>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649.71680000000003</v>
      </c>
      <c r="F46" s="34"/>
      <c r="G46" s="106"/>
      <c r="H46" s="107" t="s">
        <v>98</v>
      </c>
      <c r="I46" s="94">
        <f>SUM(I44,I30)</f>
        <v>3604943.24</v>
      </c>
      <c r="N46" s="603" t="s">
        <v>44</v>
      </c>
      <c r="O46" s="603"/>
      <c r="P46" s="603"/>
      <c r="Q46" s="603"/>
      <c r="R46" s="35">
        <f>R44+T30</f>
        <v>0</v>
      </c>
      <c r="S46" s="617" t="s">
        <v>42</v>
      </c>
      <c r="T46" s="617"/>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396</v>
      </c>
      <c r="B48" s="26"/>
      <c r="C48" s="26"/>
      <c r="D48" s="26"/>
      <c r="E48" s="26"/>
      <c r="F48" s="34"/>
      <c r="G48" s="27"/>
      <c r="H48" s="27"/>
      <c r="I48" s="101"/>
      <c r="N48" s="383" t="s">
        <v>396</v>
      </c>
      <c r="O48" s="28"/>
      <c r="P48" s="28"/>
      <c r="Q48" s="28"/>
      <c r="R48" s="35"/>
      <c r="S48" s="30"/>
      <c r="T48" s="30"/>
      <c r="U48" s="402"/>
    </row>
    <row r="49" spans="1:22" s="391" customFormat="1" ht="9" customHeight="1" x14ac:dyDescent="0.2">
      <c r="A49" s="481" t="s">
        <v>397</v>
      </c>
      <c r="F49" s="392"/>
      <c r="G49" s="393"/>
      <c r="H49" s="393"/>
      <c r="I49" s="394"/>
      <c r="N49" s="403" t="s">
        <v>397</v>
      </c>
      <c r="O49" s="395"/>
      <c r="P49" s="395"/>
      <c r="Q49" s="395"/>
      <c r="R49" s="396"/>
      <c r="S49" s="397"/>
      <c r="T49" s="397"/>
      <c r="U49" s="404"/>
    </row>
    <row r="50" spans="1:22" s="391" customFormat="1" ht="11.25" customHeight="1" x14ac:dyDescent="0.2">
      <c r="A50" s="483" t="s">
        <v>398</v>
      </c>
      <c r="F50" s="392"/>
      <c r="G50" s="393"/>
      <c r="H50" s="393"/>
      <c r="I50" s="394"/>
      <c r="N50" s="405" t="s">
        <v>398</v>
      </c>
      <c r="O50" s="395"/>
      <c r="P50" s="395"/>
      <c r="Q50" s="395"/>
      <c r="R50" s="396"/>
      <c r="S50" s="397"/>
      <c r="T50" s="397"/>
      <c r="U50" s="404"/>
    </row>
    <row r="51" spans="1:22" x14ac:dyDescent="0.25">
      <c r="A51" s="389"/>
      <c r="B51" s="399" t="s">
        <v>399</v>
      </c>
      <c r="C51" s="26"/>
      <c r="D51" s="26"/>
      <c r="E51" s="43" t="s">
        <v>400</v>
      </c>
      <c r="F51" s="400">
        <f>I46</f>
        <v>3604943.24</v>
      </c>
      <c r="G51" s="109" t="s">
        <v>6</v>
      </c>
      <c r="H51" s="401">
        <v>4.5199999999999997E-2</v>
      </c>
      <c r="I51" s="101">
        <f>ROUND(F51*H51,2)</f>
        <v>162943.43</v>
      </c>
      <c r="N51" s="406"/>
      <c r="O51" s="407" t="s">
        <v>399</v>
      </c>
      <c r="P51" s="28"/>
      <c r="Q51" s="44" t="s">
        <v>400</v>
      </c>
      <c r="R51" s="408">
        <f>U30</f>
        <v>0</v>
      </c>
      <c r="S51" s="409" t="s">
        <v>6</v>
      </c>
      <c r="T51" s="410">
        <v>4.5199999999999997E-2</v>
      </c>
      <c r="U51" s="402">
        <f>ROUND(R51*T51,2)</f>
        <v>0</v>
      </c>
    </row>
    <row r="52" spans="1:22" x14ac:dyDescent="0.25">
      <c r="A52" s="26"/>
      <c r="B52" s="81" t="s">
        <v>401</v>
      </c>
      <c r="C52" s="26"/>
      <c r="D52" s="26"/>
      <c r="E52" s="43" t="s">
        <v>400</v>
      </c>
      <c r="F52" s="400">
        <f>I46</f>
        <v>3604943.24</v>
      </c>
      <c r="G52" s="109" t="s">
        <v>6</v>
      </c>
      <c r="H52" s="401">
        <v>1.41E-2</v>
      </c>
      <c r="I52" s="101">
        <f>ROUND(F52*H52,2)</f>
        <v>50829.7</v>
      </c>
      <c r="N52" s="28"/>
      <c r="O52" s="383" t="s">
        <v>401</v>
      </c>
      <c r="P52" s="28"/>
      <c r="Q52" s="44" t="s">
        <v>400</v>
      </c>
      <c r="R52" s="408">
        <f>U30</f>
        <v>0</v>
      </c>
      <c r="S52" s="409" t="s">
        <v>6</v>
      </c>
      <c r="T52" s="410">
        <v>1.41E-2</v>
      </c>
      <c r="U52" s="411">
        <f>ROUND(R52*T52,2)</f>
        <v>0</v>
      </c>
    </row>
    <row r="53" spans="1:22" x14ac:dyDescent="0.25">
      <c r="A53" s="26"/>
      <c r="B53" s="81" t="s">
        <v>402</v>
      </c>
      <c r="C53" s="26"/>
      <c r="D53" s="26"/>
      <c r="E53" s="43"/>
      <c r="F53" s="400"/>
      <c r="G53" s="109"/>
      <c r="H53" s="401"/>
      <c r="I53" s="97">
        <f>SUM(I51:I52)</f>
        <v>213773.13</v>
      </c>
      <c r="N53" s="28"/>
      <c r="O53" s="383" t="s">
        <v>402</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440</v>
      </c>
      <c r="G55" s="109" t="s">
        <v>441</v>
      </c>
      <c r="H55" s="454" t="s">
        <v>442</v>
      </c>
      <c r="I55" s="101"/>
      <c r="N55" s="448"/>
      <c r="O55" s="448"/>
      <c r="P55" s="464"/>
      <c r="Q55" s="465"/>
      <c r="R55" s="466"/>
      <c r="S55" s="468" t="s">
        <v>441</v>
      </c>
      <c r="T55" s="469" t="s">
        <v>442</v>
      </c>
      <c r="U55" s="467"/>
      <c r="V55" s="424"/>
    </row>
    <row r="56" spans="1:22" x14ac:dyDescent="0.25">
      <c r="A56" s="36" t="s">
        <v>443</v>
      </c>
      <c r="B56" s="36"/>
      <c r="C56" s="324" t="str">
        <f>'1461'!C56</f>
        <v>FTE</v>
      </c>
      <c r="D56" s="324" t="str">
        <f>'1461'!D56</f>
        <v>FTE</v>
      </c>
      <c r="E56" s="90" t="s">
        <v>2</v>
      </c>
      <c r="F56" s="439" t="s">
        <v>444</v>
      </c>
      <c r="G56" s="441" t="s">
        <v>444</v>
      </c>
      <c r="H56" s="455" t="s">
        <v>445</v>
      </c>
      <c r="I56" s="36"/>
      <c r="N56" s="459" t="s">
        <v>443</v>
      </c>
      <c r="O56" s="459"/>
      <c r="P56" s="620" t="s">
        <v>2</v>
      </c>
      <c r="Q56" s="620"/>
      <c r="R56" s="459" t="s">
        <v>449</v>
      </c>
      <c r="S56" s="450" t="s">
        <v>444</v>
      </c>
      <c r="T56" s="470" t="s">
        <v>445</v>
      </c>
      <c r="U56" s="459"/>
      <c r="V56" s="458"/>
    </row>
    <row r="57" spans="1:22" x14ac:dyDescent="0.25">
      <c r="A57" s="588" t="s">
        <v>447</v>
      </c>
      <c r="B57" s="588"/>
      <c r="C57" s="143">
        <v>18.5</v>
      </c>
      <c r="D57" s="143">
        <v>21.01</v>
      </c>
      <c r="E57" s="116">
        <f>IF(D$66=0,C57*2,C57+D57)</f>
        <v>39.510000000000005</v>
      </c>
      <c r="F57" s="443" t="s">
        <v>439</v>
      </c>
      <c r="G57" s="443">
        <v>251</v>
      </c>
      <c r="H57" s="457">
        <f>'1461'!H57</f>
        <v>1047</v>
      </c>
      <c r="I57" s="101">
        <f>ROUND(E57*H57,2)</f>
        <v>41366.97</v>
      </c>
      <c r="N57" s="618" t="s">
        <v>447</v>
      </c>
      <c r="O57" s="618"/>
      <c r="P57" s="621"/>
      <c r="Q57" s="621"/>
      <c r="R57" s="449" t="s">
        <v>439</v>
      </c>
      <c r="S57" s="449">
        <v>251</v>
      </c>
      <c r="T57" s="460">
        <f>H57</f>
        <v>1047</v>
      </c>
      <c r="U57" s="474">
        <f>ROUND(P57*T57,2)</f>
        <v>0</v>
      </c>
      <c r="V57" s="424"/>
    </row>
    <row r="58" spans="1:22" x14ac:dyDescent="0.25">
      <c r="A58" s="589"/>
      <c r="B58" s="589"/>
      <c r="C58" s="143">
        <v>2</v>
      </c>
      <c r="D58" s="143">
        <v>2</v>
      </c>
      <c r="E58" s="116">
        <f>IF(D$66=0,C58*2,C58+D58)</f>
        <v>4</v>
      </c>
      <c r="F58" s="443" t="s">
        <v>439</v>
      </c>
      <c r="G58" s="443">
        <v>252</v>
      </c>
      <c r="H58" s="457">
        <f>'1461'!H58</f>
        <v>3380</v>
      </c>
      <c r="I58" s="101">
        <f t="shared" ref="I58:I65" si="10">ROUND(E58*H58,2)</f>
        <v>13520</v>
      </c>
      <c r="N58" s="619"/>
      <c r="O58" s="619"/>
      <c r="P58" s="622"/>
      <c r="Q58" s="622"/>
      <c r="R58" s="449" t="s">
        <v>439</v>
      </c>
      <c r="S58" s="449">
        <v>252</v>
      </c>
      <c r="T58" s="460">
        <f t="shared" ref="T58:T65" si="11">H58</f>
        <v>3380</v>
      </c>
      <c r="U58" s="474">
        <f t="shared" ref="U58:U65" si="12">ROUND(P58*T58,2)</f>
        <v>0</v>
      </c>
      <c r="V58" s="424"/>
    </row>
    <row r="59" spans="1:22" x14ac:dyDescent="0.25">
      <c r="A59" s="589"/>
      <c r="B59" s="589"/>
      <c r="C59" s="143">
        <v>0</v>
      </c>
      <c r="D59" s="143">
        <v>0</v>
      </c>
      <c r="E59" s="116">
        <f>IF(D$66=0,C59*2,C59+D59)</f>
        <v>0</v>
      </c>
      <c r="F59" s="443" t="s">
        <v>439</v>
      </c>
      <c r="G59" s="443">
        <v>253</v>
      </c>
      <c r="H59" s="457">
        <f>'1461'!H59</f>
        <v>6896</v>
      </c>
      <c r="I59" s="101">
        <f t="shared" si="10"/>
        <v>0</v>
      </c>
      <c r="N59" s="619"/>
      <c r="O59" s="619"/>
      <c r="P59" s="622"/>
      <c r="Q59" s="622"/>
      <c r="R59" s="449" t="s">
        <v>439</v>
      </c>
      <c r="S59" s="449">
        <v>253</v>
      </c>
      <c r="T59" s="460">
        <f t="shared" si="11"/>
        <v>6896</v>
      </c>
      <c r="U59" s="474">
        <f t="shared" si="12"/>
        <v>0</v>
      </c>
      <c r="V59" s="424"/>
    </row>
    <row r="60" spans="1:22" x14ac:dyDescent="0.25">
      <c r="A60" s="589"/>
      <c r="B60" s="589"/>
      <c r="C60" s="143">
        <v>19</v>
      </c>
      <c r="D60" s="143">
        <v>18.989999999999998</v>
      </c>
      <c r="E60" s="116">
        <f>IF(D$66=0,C60*2,C60+D60)</f>
        <v>37.989999999999995</v>
      </c>
      <c r="F60" s="444" t="s">
        <v>13</v>
      </c>
      <c r="G60" s="443">
        <v>251</v>
      </c>
      <c r="H60" s="457">
        <f>'1461'!H60</f>
        <v>1173</v>
      </c>
      <c r="I60" s="101">
        <f t="shared" si="10"/>
        <v>44562.27</v>
      </c>
      <c r="N60" s="619"/>
      <c r="O60" s="619"/>
      <c r="P60" s="622"/>
      <c r="Q60" s="622"/>
      <c r="R60" s="40" t="s">
        <v>13</v>
      </c>
      <c r="S60" s="449">
        <v>251</v>
      </c>
      <c r="T60" s="460">
        <f t="shared" si="11"/>
        <v>1173</v>
      </c>
      <c r="U60" s="474">
        <f t="shared" si="12"/>
        <v>0</v>
      </c>
      <c r="V60" s="424"/>
    </row>
    <row r="61" spans="1:22" x14ac:dyDescent="0.25">
      <c r="A61" s="589"/>
      <c r="B61" s="589"/>
      <c r="C61" s="143">
        <v>1</v>
      </c>
      <c r="D61" s="143">
        <v>0</v>
      </c>
      <c r="E61" s="116">
        <f>IF(D$66=0,C61*2,C61+D61)</f>
        <v>1</v>
      </c>
      <c r="F61" s="444" t="s">
        <v>13</v>
      </c>
      <c r="G61" s="443">
        <v>252</v>
      </c>
      <c r="H61" s="457">
        <f>'1461'!H61</f>
        <v>3506</v>
      </c>
      <c r="I61" s="101">
        <f t="shared" si="10"/>
        <v>3506</v>
      </c>
      <c r="N61" s="619"/>
      <c r="O61" s="619"/>
      <c r="P61" s="622"/>
      <c r="Q61" s="622"/>
      <c r="R61" s="40" t="s">
        <v>13</v>
      </c>
      <c r="S61" s="449">
        <v>252</v>
      </c>
      <c r="T61" s="460">
        <f t="shared" si="11"/>
        <v>3506</v>
      </c>
      <c r="U61" s="474">
        <f t="shared" si="12"/>
        <v>0</v>
      </c>
      <c r="V61" s="424"/>
    </row>
    <row r="62" spans="1:22" x14ac:dyDescent="0.25">
      <c r="A62" s="589"/>
      <c r="B62" s="589"/>
      <c r="C62" s="143">
        <v>0</v>
      </c>
      <c r="D62" s="143">
        <v>0</v>
      </c>
      <c r="E62" s="116">
        <f t="shared" ref="E62:E65" si="13">IF(D$72=0,C62*2,C62+D62)</f>
        <v>0</v>
      </c>
      <c r="F62" s="444" t="s">
        <v>13</v>
      </c>
      <c r="G62" s="443">
        <v>253</v>
      </c>
      <c r="H62" s="457">
        <f>'1461'!H62</f>
        <v>7023</v>
      </c>
      <c r="I62" s="101">
        <f t="shared" si="10"/>
        <v>0</v>
      </c>
      <c r="N62" s="619"/>
      <c r="O62" s="619"/>
      <c r="P62" s="622"/>
      <c r="Q62" s="622"/>
      <c r="R62" s="40" t="s">
        <v>13</v>
      </c>
      <c r="S62" s="449">
        <v>253</v>
      </c>
      <c r="T62" s="460">
        <f t="shared" si="11"/>
        <v>7023</v>
      </c>
      <c r="U62" s="474">
        <f t="shared" si="12"/>
        <v>0</v>
      </c>
      <c r="V62" s="424"/>
    </row>
    <row r="63" spans="1:22" x14ac:dyDescent="0.25">
      <c r="A63" s="589"/>
      <c r="B63" s="589"/>
      <c r="C63" s="143">
        <v>0</v>
      </c>
      <c r="D63" s="143">
        <v>0</v>
      </c>
      <c r="E63" s="116">
        <f t="shared" si="13"/>
        <v>0</v>
      </c>
      <c r="F63" s="444" t="s">
        <v>14</v>
      </c>
      <c r="G63" s="443">
        <v>251</v>
      </c>
      <c r="H63" s="457">
        <f>'1461'!H63</f>
        <v>835</v>
      </c>
      <c r="I63" s="101">
        <f t="shared" si="10"/>
        <v>0</v>
      </c>
      <c r="N63" s="619"/>
      <c r="O63" s="619"/>
      <c r="P63" s="622"/>
      <c r="Q63" s="622"/>
      <c r="R63" s="40" t="s">
        <v>14</v>
      </c>
      <c r="S63" s="449">
        <v>251</v>
      </c>
      <c r="T63" s="460">
        <f t="shared" si="11"/>
        <v>835</v>
      </c>
      <c r="U63" s="474">
        <f t="shared" si="12"/>
        <v>0</v>
      </c>
      <c r="V63" s="424"/>
    </row>
    <row r="64" spans="1:22" x14ac:dyDescent="0.25">
      <c r="A64" s="589"/>
      <c r="B64" s="589"/>
      <c r="C64" s="143">
        <v>0</v>
      </c>
      <c r="D64" s="143">
        <v>0</v>
      </c>
      <c r="E64" s="116">
        <f t="shared" si="13"/>
        <v>0</v>
      </c>
      <c r="F64" s="444" t="s">
        <v>14</v>
      </c>
      <c r="G64" s="443">
        <v>252</v>
      </c>
      <c r="H64" s="457">
        <f>'1461'!H64</f>
        <v>3168</v>
      </c>
      <c r="I64" s="101">
        <f t="shared" si="10"/>
        <v>0</v>
      </c>
      <c r="N64" s="619"/>
      <c r="O64" s="619"/>
      <c r="P64" s="622"/>
      <c r="Q64" s="622"/>
      <c r="R64" s="40" t="s">
        <v>14</v>
      </c>
      <c r="S64" s="449">
        <v>252</v>
      </c>
      <c r="T64" s="460">
        <f t="shared" si="11"/>
        <v>3168</v>
      </c>
      <c r="U64" s="474">
        <f t="shared" si="12"/>
        <v>0</v>
      </c>
      <c r="V64" s="424"/>
    </row>
    <row r="65" spans="1:22" ht="16.5" thickBot="1" x14ac:dyDescent="0.3">
      <c r="A65" s="589"/>
      <c r="B65" s="589"/>
      <c r="C65" s="143">
        <v>0</v>
      </c>
      <c r="D65" s="143">
        <v>0</v>
      </c>
      <c r="E65" s="116">
        <f t="shared" si="13"/>
        <v>0</v>
      </c>
      <c r="F65" s="444" t="s">
        <v>14</v>
      </c>
      <c r="G65" s="443">
        <v>253</v>
      </c>
      <c r="H65" s="457">
        <f>'1461'!H65</f>
        <v>6685</v>
      </c>
      <c r="I65" s="101">
        <f t="shared" si="10"/>
        <v>0</v>
      </c>
      <c r="N65" s="619"/>
      <c r="O65" s="619"/>
      <c r="P65" s="623"/>
      <c r="Q65" s="623"/>
      <c r="R65" s="40" t="s">
        <v>14</v>
      </c>
      <c r="S65" s="449">
        <v>253</v>
      </c>
      <c r="T65" s="460">
        <f t="shared" si="11"/>
        <v>6685</v>
      </c>
      <c r="U65" s="475">
        <f t="shared" si="12"/>
        <v>0</v>
      </c>
      <c r="V65" s="424"/>
    </row>
    <row r="66" spans="1:22" ht="16.5" thickBot="1" x14ac:dyDescent="0.3">
      <c r="A66" s="440"/>
      <c r="C66" s="97">
        <f>SUM(C57:C65)</f>
        <v>40.5</v>
      </c>
      <c r="D66" s="97">
        <f>SUM(D57:D65)</f>
        <v>42</v>
      </c>
      <c r="E66" s="97">
        <f>SUM(E57:E65)</f>
        <v>82.5</v>
      </c>
      <c r="F66" s="590" t="s">
        <v>448</v>
      </c>
      <c r="G66" s="590"/>
      <c r="H66" s="590"/>
      <c r="I66" s="97">
        <f>SUM(I57:I65)</f>
        <v>102955.23999999999</v>
      </c>
      <c r="N66" s="446"/>
      <c r="O66" s="51"/>
      <c r="P66" s="602">
        <f>SUM(P57:P65)</f>
        <v>0</v>
      </c>
      <c r="Q66" s="602"/>
      <c r="R66" s="603" t="s">
        <v>448</v>
      </c>
      <c r="S66" s="603"/>
      <c r="T66" s="603"/>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450</v>
      </c>
      <c r="N68" s="453" t="s">
        <v>458</v>
      </c>
      <c r="O68" s="51"/>
      <c r="P68" s="51"/>
      <c r="Q68" s="51"/>
      <c r="R68" s="51"/>
      <c r="S68" s="51"/>
      <c r="T68" s="51"/>
      <c r="U68" s="51"/>
    </row>
    <row r="69" spans="1:22" x14ac:dyDescent="0.25">
      <c r="A69" s="584" t="s">
        <v>403</v>
      </c>
      <c r="B69" s="578"/>
      <c r="C69" s="112">
        <f>E30</f>
        <v>588.99</v>
      </c>
      <c r="D69" s="565" t="s">
        <v>414</v>
      </c>
      <c r="E69" s="565"/>
      <c r="F69" s="565"/>
      <c r="G69" s="565"/>
      <c r="H69" s="300">
        <f>'1461'!H69</f>
        <v>210228.91</v>
      </c>
      <c r="I69" s="113"/>
      <c r="N69" s="600" t="s">
        <v>407</v>
      </c>
      <c r="O69" s="601"/>
      <c r="P69" s="41">
        <f>P30</f>
        <v>0</v>
      </c>
      <c r="Q69" s="606" t="s">
        <v>409</v>
      </c>
      <c r="R69" s="607"/>
      <c r="S69" s="607"/>
      <c r="T69" s="604">
        <f>H69</f>
        <v>210228.91</v>
      </c>
      <c r="U69" s="604"/>
    </row>
    <row r="70" spans="1:22" x14ac:dyDescent="0.25">
      <c r="B70" s="69"/>
      <c r="G70" s="42" t="s">
        <v>12</v>
      </c>
      <c r="H70" s="114">
        <f>ROUND(C69/H69,6)</f>
        <v>2.8019999999999998E-3</v>
      </c>
      <c r="I70" s="115"/>
      <c r="N70" s="601"/>
      <c r="O70" s="601"/>
      <c r="P70" s="601"/>
      <c r="Q70" s="601"/>
      <c r="R70" s="601"/>
      <c r="S70" s="601"/>
      <c r="T70" s="605">
        <f>ROUND(P69/T69,6)</f>
        <v>0</v>
      </c>
      <c r="U70" s="605"/>
    </row>
    <row r="71" spans="1:22" x14ac:dyDescent="0.25">
      <c r="A71" s="442" t="s">
        <v>451</v>
      </c>
      <c r="N71" s="453" t="s">
        <v>459</v>
      </c>
      <c r="O71" s="51"/>
      <c r="P71" s="51"/>
      <c r="Q71" s="51"/>
      <c r="R71" s="51"/>
      <c r="S71" s="51"/>
      <c r="T71" s="51"/>
      <c r="U71" s="51"/>
    </row>
    <row r="72" spans="1:22" x14ac:dyDescent="0.25">
      <c r="A72" s="584" t="s">
        <v>404</v>
      </c>
      <c r="B72" s="578"/>
      <c r="C72" s="112">
        <f>H30</f>
        <v>649.71680000000003</v>
      </c>
      <c r="D72" s="565" t="s">
        <v>415</v>
      </c>
      <c r="E72" s="565"/>
      <c r="F72" s="565"/>
      <c r="G72" s="565"/>
      <c r="H72" s="301">
        <f>'1461'!H72</f>
        <v>234891.44</v>
      </c>
      <c r="I72" s="116"/>
      <c r="N72" s="600" t="s">
        <v>408</v>
      </c>
      <c r="O72" s="601"/>
      <c r="P72" s="41">
        <f>T30</f>
        <v>0</v>
      </c>
      <c r="Q72" s="606" t="s">
        <v>410</v>
      </c>
      <c r="R72" s="607"/>
      <c r="S72" s="607"/>
      <c r="T72" s="604">
        <f>H72</f>
        <v>234891.44</v>
      </c>
      <c r="U72" s="604"/>
    </row>
    <row r="73" spans="1:22" x14ac:dyDescent="0.25">
      <c r="G73" s="42" t="s">
        <v>12</v>
      </c>
      <c r="H73" s="114">
        <f>ROUND(C72/H72,6)</f>
        <v>2.7659999999999998E-3</v>
      </c>
      <c r="I73" s="114"/>
      <c r="N73" s="601"/>
      <c r="O73" s="601"/>
      <c r="P73" s="601"/>
      <c r="Q73" s="601"/>
      <c r="R73" s="601"/>
      <c r="S73" s="601"/>
      <c r="T73" s="605">
        <f>ROUND(P72/T72,6)</f>
        <v>0</v>
      </c>
      <c r="U73" s="605"/>
    </row>
    <row r="74" spans="1:22" x14ac:dyDescent="0.25">
      <c r="A74" s="417" t="s">
        <v>452</v>
      </c>
      <c r="B74" s="414"/>
      <c r="C74" s="414"/>
      <c r="D74" s="414"/>
      <c r="E74" s="414"/>
      <c r="F74" s="414"/>
      <c r="G74" s="414"/>
      <c r="H74" s="414"/>
      <c r="I74" s="414"/>
      <c r="N74" s="416" t="s">
        <v>460</v>
      </c>
      <c r="O74" s="415"/>
      <c r="P74" s="415"/>
      <c r="Q74" s="415"/>
      <c r="R74" s="415"/>
      <c r="S74" s="415"/>
      <c r="T74" s="415"/>
      <c r="U74" s="415"/>
      <c r="V74" s="414"/>
    </row>
    <row r="75" spans="1:22" x14ac:dyDescent="0.25">
      <c r="A75" s="584" t="s">
        <v>405</v>
      </c>
      <c r="B75" s="578"/>
      <c r="C75" s="112">
        <f>E30</f>
        <v>588.99</v>
      </c>
      <c r="D75" s="557" t="s">
        <v>416</v>
      </c>
      <c r="E75" s="557"/>
      <c r="F75" s="557"/>
      <c r="G75" s="557"/>
      <c r="H75" s="300">
        <f>'1461'!H75</f>
        <v>187665.41</v>
      </c>
      <c r="I75" s="113"/>
      <c r="N75" s="600" t="s">
        <v>406</v>
      </c>
      <c r="O75" s="601"/>
      <c r="P75" s="41">
        <f>P30</f>
        <v>0</v>
      </c>
      <c r="Q75" s="636" t="s">
        <v>411</v>
      </c>
      <c r="R75" s="637"/>
      <c r="S75" s="637"/>
      <c r="T75" s="604">
        <f>H75</f>
        <v>187665.41</v>
      </c>
      <c r="U75" s="604"/>
    </row>
    <row r="76" spans="1:22" x14ac:dyDescent="0.25">
      <c r="B76" s="69"/>
      <c r="G76" s="42" t="s">
        <v>12</v>
      </c>
      <c r="H76" s="114">
        <f>ROUND(C75/H75,6)</f>
        <v>3.1389999999999999E-3</v>
      </c>
      <c r="I76" s="115"/>
      <c r="N76" s="601"/>
      <c r="O76" s="601"/>
      <c r="P76" s="601"/>
      <c r="Q76" s="601"/>
      <c r="R76" s="601"/>
      <c r="S76" s="601"/>
      <c r="T76" s="605">
        <f>ROUND(P75/T75,6)</f>
        <v>0</v>
      </c>
      <c r="U76" s="605"/>
    </row>
    <row r="77" spans="1:22" x14ac:dyDescent="0.25">
      <c r="A77" s="417" t="s">
        <v>453</v>
      </c>
      <c r="B77" s="414"/>
      <c r="C77" s="414"/>
      <c r="D77" s="414"/>
      <c r="E77" s="414"/>
      <c r="F77" s="414"/>
      <c r="G77" s="414"/>
      <c r="H77" s="414"/>
      <c r="I77" s="414"/>
      <c r="N77" s="416" t="s">
        <v>461</v>
      </c>
      <c r="O77" s="415"/>
      <c r="P77" s="415"/>
      <c r="Q77" s="415"/>
      <c r="R77" s="415"/>
      <c r="S77" s="415"/>
      <c r="T77" s="415"/>
      <c r="U77" s="415"/>
      <c r="V77" s="414"/>
    </row>
    <row r="78" spans="1:22" x14ac:dyDescent="0.25">
      <c r="A78" s="584" t="s">
        <v>405</v>
      </c>
      <c r="B78" s="578"/>
      <c r="C78" s="112">
        <f>E30</f>
        <v>588.99</v>
      </c>
      <c r="D78" s="585" t="s">
        <v>417</v>
      </c>
      <c r="E78" s="585"/>
      <c r="F78" s="585"/>
      <c r="G78" s="585"/>
      <c r="H78" s="300">
        <f>'1461'!H78</f>
        <v>209892.26</v>
      </c>
      <c r="I78" s="113"/>
      <c r="N78" s="600" t="s">
        <v>406</v>
      </c>
      <c r="O78" s="601"/>
      <c r="P78" s="41">
        <f>P30</f>
        <v>0</v>
      </c>
      <c r="Q78" s="634" t="s">
        <v>412</v>
      </c>
      <c r="R78" s="635"/>
      <c r="S78" s="635"/>
      <c r="T78" s="604">
        <f>H78</f>
        <v>209892.26</v>
      </c>
      <c r="U78" s="604"/>
    </row>
    <row r="79" spans="1:22" x14ac:dyDescent="0.25">
      <c r="B79" s="69"/>
      <c r="G79" s="42" t="s">
        <v>12</v>
      </c>
      <c r="H79" s="114">
        <f>ROUND(C78/H78,6)</f>
        <v>2.8059999999999999E-3</v>
      </c>
      <c r="I79" s="115"/>
      <c r="N79" s="601"/>
      <c r="O79" s="601"/>
      <c r="P79" s="601"/>
      <c r="Q79" s="601"/>
      <c r="R79" s="601"/>
      <c r="S79" s="601"/>
      <c r="T79" s="605">
        <f>ROUND(P78/T78,6)</f>
        <v>0</v>
      </c>
      <c r="U79" s="605"/>
    </row>
    <row r="80" spans="1:22" x14ac:dyDescent="0.25">
      <c r="A80" s="417" t="s">
        <v>454</v>
      </c>
      <c r="B80" s="414"/>
      <c r="C80" s="414"/>
      <c r="D80" s="414"/>
      <c r="E80" s="414"/>
      <c r="F80" s="414"/>
      <c r="G80" s="414"/>
      <c r="H80" s="414"/>
      <c r="I80" s="414"/>
      <c r="N80" s="416" t="s">
        <v>462</v>
      </c>
      <c r="O80" s="415"/>
      <c r="P80" s="415"/>
      <c r="Q80" s="415"/>
      <c r="R80" s="415"/>
      <c r="S80" s="415"/>
      <c r="T80" s="415"/>
      <c r="U80" s="415"/>
      <c r="V80" s="414"/>
    </row>
    <row r="81" spans="1:21" x14ac:dyDescent="0.25">
      <c r="A81" s="584" t="s">
        <v>413</v>
      </c>
      <c r="B81" s="578"/>
      <c r="C81" s="112">
        <f>E30</f>
        <v>588.99</v>
      </c>
      <c r="D81" s="557" t="s">
        <v>418</v>
      </c>
      <c r="E81" s="557"/>
      <c r="F81" s="557"/>
      <c r="G81" s="557"/>
      <c r="H81" s="300">
        <f>'1461'!H81</f>
        <v>187328.76</v>
      </c>
      <c r="I81" s="113"/>
      <c r="N81" s="600" t="s">
        <v>419</v>
      </c>
      <c r="O81" s="601"/>
      <c r="P81" s="41">
        <f>P30</f>
        <v>0</v>
      </c>
      <c r="Q81" s="636" t="s">
        <v>420</v>
      </c>
      <c r="R81" s="637"/>
      <c r="S81" s="637"/>
      <c r="T81" s="604">
        <f>H81</f>
        <v>187328.76</v>
      </c>
      <c r="U81" s="604"/>
    </row>
    <row r="82" spans="1:21" x14ac:dyDescent="0.25">
      <c r="B82" s="69"/>
      <c r="G82" s="42" t="s">
        <v>12</v>
      </c>
      <c r="H82" s="114">
        <f>ROUND(C81/H81,6)</f>
        <v>3.1440000000000001E-3</v>
      </c>
      <c r="I82" s="115"/>
      <c r="N82" s="601"/>
      <c r="O82" s="601"/>
      <c r="P82" s="601"/>
      <c r="Q82" s="601"/>
      <c r="R82" s="601"/>
      <c r="S82" s="601"/>
      <c r="T82" s="605">
        <f>ROUND(P81/T81,6)</f>
        <v>0</v>
      </c>
      <c r="U82" s="605"/>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455</v>
      </c>
      <c r="D85" s="69"/>
      <c r="E85" s="43" t="s">
        <v>299</v>
      </c>
      <c r="F85" s="302">
        <f>'1461'!F85</f>
        <v>46163704</v>
      </c>
      <c r="G85" s="37" t="s">
        <v>6</v>
      </c>
      <c r="H85" s="422">
        <f>H79</f>
        <v>2.8059999999999999E-3</v>
      </c>
      <c r="I85" s="101">
        <f>ROUND(F85*H85,2)</f>
        <v>129535.35</v>
      </c>
      <c r="N85" s="453" t="s">
        <v>455</v>
      </c>
      <c r="O85" s="51"/>
      <c r="P85" s="51"/>
      <c r="Q85" s="44"/>
      <c r="R85" s="419">
        <f>F85</f>
        <v>46163704</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87" t="s">
        <v>71</v>
      </c>
      <c r="B87" s="578"/>
      <c r="C87" s="578"/>
      <c r="D87" s="69"/>
      <c r="E87" s="43"/>
      <c r="F87" s="117"/>
      <c r="G87" s="37"/>
      <c r="H87" s="422"/>
      <c r="I87" s="101"/>
      <c r="N87" s="600" t="s">
        <v>463</v>
      </c>
      <c r="O87" s="601"/>
      <c r="P87" s="601"/>
      <c r="Q87" s="51"/>
      <c r="R87" s="420"/>
      <c r="S87" s="51"/>
      <c r="T87" s="38"/>
      <c r="U87" s="478"/>
    </row>
    <row r="88" spans="1:21" x14ac:dyDescent="0.25">
      <c r="A88" s="587" t="s">
        <v>99</v>
      </c>
      <c r="B88" s="578"/>
      <c r="C88" s="578"/>
      <c r="D88" s="69"/>
      <c r="E88" s="43" t="s">
        <v>3</v>
      </c>
      <c r="F88" s="302">
        <f>'1461'!F88</f>
        <v>0</v>
      </c>
      <c r="G88" s="37" t="s">
        <v>6</v>
      </c>
      <c r="H88" s="422">
        <f>H70</f>
        <v>2.8019999999999998E-3</v>
      </c>
      <c r="I88" s="101">
        <f>ROUND(F88*H88,2)</f>
        <v>0</v>
      </c>
      <c r="N88" s="638" t="s">
        <v>99</v>
      </c>
      <c r="O88" s="601"/>
      <c r="P88" s="601"/>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456</v>
      </c>
      <c r="D90" s="69"/>
      <c r="E90" s="43" t="s">
        <v>421</v>
      </c>
      <c r="F90" s="302">
        <f>'1461'!F90</f>
        <v>19042026</v>
      </c>
      <c r="G90" s="37" t="s">
        <v>6</v>
      </c>
      <c r="H90" s="422">
        <f>H82</f>
        <v>3.1440000000000001E-3</v>
      </c>
      <c r="I90" s="101">
        <f>ROUND(F90*H90,2)</f>
        <v>59868.13</v>
      </c>
      <c r="N90" s="453" t="s">
        <v>456</v>
      </c>
      <c r="O90" s="51"/>
      <c r="P90" s="51"/>
      <c r="Q90" s="44"/>
      <c r="R90" s="419">
        <f>F90</f>
        <v>19042026</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457</v>
      </c>
      <c r="D92" s="69"/>
      <c r="E92" s="43" t="s">
        <v>3</v>
      </c>
      <c r="F92" s="302">
        <f>'1461'!F92</f>
        <v>11441151</v>
      </c>
      <c r="G92" s="37" t="s">
        <v>6</v>
      </c>
      <c r="H92" s="422">
        <f>H76</f>
        <v>3.1389999999999999E-3</v>
      </c>
      <c r="I92" s="101">
        <f t="shared" ref="I92:I96" si="14">ROUND(F92*H92,2)</f>
        <v>35913.769999999997</v>
      </c>
      <c r="N92" s="453" t="s">
        <v>457</v>
      </c>
      <c r="O92" s="51"/>
      <c r="P92" s="51"/>
      <c r="Q92" s="44"/>
      <c r="R92" s="419">
        <f t="shared" ref="R92:R96" si="15">F92</f>
        <v>11441151</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84" t="s">
        <v>422</v>
      </c>
      <c r="B94" s="578"/>
      <c r="C94" s="578"/>
      <c r="D94" s="69"/>
      <c r="E94" s="43" t="s">
        <v>4</v>
      </c>
      <c r="F94" s="302">
        <f>'1461'!F94</f>
        <v>247265670</v>
      </c>
      <c r="G94" s="37" t="s">
        <v>6</v>
      </c>
      <c r="H94" s="422">
        <f>H73</f>
        <v>2.7659999999999998E-3</v>
      </c>
      <c r="I94" s="101">
        <f t="shared" si="14"/>
        <v>683936.84</v>
      </c>
      <c r="N94" s="601" t="s">
        <v>422</v>
      </c>
      <c r="O94" s="601"/>
      <c r="P94" s="601"/>
      <c r="Q94" s="44"/>
      <c r="R94" s="419">
        <f t="shared" si="15"/>
        <v>247265670</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4" t="s">
        <v>423</v>
      </c>
      <c r="B96" s="578"/>
      <c r="C96" s="578"/>
      <c r="D96" s="69"/>
      <c r="E96" s="43" t="s">
        <v>4</v>
      </c>
      <c r="F96" s="302">
        <f>'1461'!F96</f>
        <v>0</v>
      </c>
      <c r="G96" s="37" t="s">
        <v>6</v>
      </c>
      <c r="H96" s="422">
        <f>H73</f>
        <v>2.7659999999999998E-3</v>
      </c>
      <c r="I96" s="101">
        <f t="shared" si="14"/>
        <v>0</v>
      </c>
      <c r="N96" s="600" t="s">
        <v>423</v>
      </c>
      <c r="O96" s="601"/>
      <c r="P96" s="601"/>
      <c r="Q96" s="44"/>
      <c r="R96" s="419">
        <f t="shared" si="15"/>
        <v>0</v>
      </c>
      <c r="S96" s="38" t="s">
        <v>6</v>
      </c>
      <c r="T96" s="421">
        <f>T73</f>
        <v>0</v>
      </c>
      <c r="U96" s="473">
        <f>ROUND(R96*T96,2)</f>
        <v>0</v>
      </c>
    </row>
    <row r="97" spans="1:21" x14ac:dyDescent="0.25">
      <c r="A97" s="530"/>
      <c r="B97" s="529"/>
      <c r="C97" s="529"/>
      <c r="D97" s="529"/>
      <c r="E97" s="527"/>
      <c r="F97" s="117"/>
      <c r="G97" s="528"/>
      <c r="H97" s="422"/>
      <c r="I97" s="101"/>
      <c r="N97" s="533"/>
      <c r="O97" s="532"/>
      <c r="P97" s="532"/>
      <c r="Q97" s="44"/>
      <c r="R97" s="535"/>
      <c r="S97" s="534"/>
      <c r="T97" s="421"/>
      <c r="U97" s="477"/>
    </row>
    <row r="98" spans="1:21" x14ac:dyDescent="0.25">
      <c r="A98" s="530" t="s">
        <v>497</v>
      </c>
      <c r="B98" s="529"/>
      <c r="C98" s="529"/>
      <c r="D98" s="529"/>
      <c r="E98" s="527" t="s">
        <v>3</v>
      </c>
      <c r="F98" s="290">
        <v>0</v>
      </c>
      <c r="G98" s="528" t="s">
        <v>6</v>
      </c>
      <c r="H98" s="422">
        <f>H70</f>
        <v>2.8019999999999998E-3</v>
      </c>
      <c r="I98" s="101">
        <f t="shared" ref="I98" si="16">ROUND(F98*H98,2)</f>
        <v>0</v>
      </c>
      <c r="N98" s="533" t="s">
        <v>497</v>
      </c>
      <c r="O98" s="533"/>
      <c r="P98" s="533"/>
      <c r="Q98" s="44"/>
      <c r="R98" s="536">
        <f>F98</f>
        <v>0</v>
      </c>
      <c r="S98" s="534" t="s">
        <v>6</v>
      </c>
      <c r="T98" s="421">
        <f>T70</f>
        <v>0</v>
      </c>
      <c r="U98" s="473">
        <f>ROUND(R98*T98,2)</f>
        <v>0</v>
      </c>
    </row>
    <row r="99" spans="1:21" x14ac:dyDescent="0.25">
      <c r="A99" s="530"/>
      <c r="B99" s="529"/>
      <c r="C99" s="529"/>
      <c r="D99" s="529"/>
      <c r="E99" s="527"/>
      <c r="F99" s="276"/>
      <c r="G99" s="528"/>
      <c r="H99" s="422"/>
      <c r="I99" s="101"/>
      <c r="N99" s="533"/>
      <c r="O99" s="533"/>
      <c r="P99" s="533"/>
      <c r="Q99" s="44"/>
      <c r="R99" s="535"/>
      <c r="S99" s="534"/>
      <c r="T99" s="421"/>
      <c r="U99" s="477"/>
    </row>
    <row r="100" spans="1:21" x14ac:dyDescent="0.25">
      <c r="A100" s="530"/>
      <c r="B100" s="529"/>
      <c r="C100" s="529"/>
      <c r="D100" s="529"/>
      <c r="E100" s="527"/>
      <c r="F100" s="276"/>
      <c r="G100" s="528"/>
      <c r="H100" s="422"/>
      <c r="I100" s="101"/>
      <c r="N100" s="533"/>
      <c r="O100" s="533"/>
      <c r="P100" s="533"/>
      <c r="Q100" s="44"/>
      <c r="R100" s="420"/>
      <c r="S100" s="534"/>
      <c r="T100" s="421"/>
      <c r="U100" s="103"/>
    </row>
    <row r="101" spans="1:21" x14ac:dyDescent="0.25">
      <c r="A101" s="399" t="s">
        <v>498</v>
      </c>
      <c r="N101" s="407" t="s">
        <v>498</v>
      </c>
      <c r="O101" s="51"/>
      <c r="P101" s="51"/>
      <c r="Q101" s="51"/>
      <c r="R101" s="51"/>
      <c r="S101" s="51"/>
      <c r="T101" s="51"/>
      <c r="U101" s="51"/>
    </row>
    <row r="102" spans="1:21" x14ac:dyDescent="0.25">
      <c r="B102" s="69"/>
      <c r="C102" s="563" t="s">
        <v>60</v>
      </c>
      <c r="D102" s="563"/>
      <c r="E102" s="69"/>
      <c r="F102" s="39" t="s">
        <v>28</v>
      </c>
      <c r="G102" s="69"/>
      <c r="H102" s="69"/>
      <c r="I102" s="69"/>
      <c r="N102" s="45"/>
      <c r="O102" s="45"/>
      <c r="P102" s="45"/>
      <c r="Q102" s="45"/>
      <c r="R102" s="45"/>
      <c r="S102" s="45"/>
      <c r="T102" s="45"/>
      <c r="U102" s="45"/>
    </row>
    <row r="103" spans="1:21" x14ac:dyDescent="0.25">
      <c r="A103" s="3"/>
      <c r="B103" s="118"/>
      <c r="C103" s="564" t="s">
        <v>101</v>
      </c>
      <c r="D103" s="564"/>
      <c r="E103" s="423" t="s">
        <v>426</v>
      </c>
      <c r="F103" s="120" t="s">
        <v>106</v>
      </c>
      <c r="G103" s="121"/>
      <c r="H103" s="121"/>
      <c r="I103" s="121"/>
      <c r="N103" s="631" t="s">
        <v>35</v>
      </c>
      <c r="O103" s="631"/>
      <c r="P103" s="672" t="s">
        <v>428</v>
      </c>
      <c r="Q103" s="633"/>
      <c r="R103" s="604" t="s">
        <v>31</v>
      </c>
      <c r="S103" s="604"/>
      <c r="T103" s="604"/>
      <c r="U103" s="604"/>
    </row>
    <row r="104" spans="1:21" x14ac:dyDescent="0.25">
      <c r="A104" s="26"/>
      <c r="B104" s="52" t="s">
        <v>105</v>
      </c>
      <c r="C104" s="596">
        <f>H14+H15+H20+H23+H26</f>
        <v>465.44450000000001</v>
      </c>
      <c r="D104" s="596"/>
      <c r="E104" s="46">
        <f>H8</f>
        <v>1.0407999999999999</v>
      </c>
      <c r="F104" s="303">
        <f>'1461'!F104</f>
        <v>950.92</v>
      </c>
      <c r="G104" s="39" t="s">
        <v>12</v>
      </c>
      <c r="H104" s="101">
        <f>ROUND(C104*E104*F104,2)</f>
        <v>460658.58</v>
      </c>
      <c r="I104" s="104"/>
      <c r="N104" s="28" t="s">
        <v>17</v>
      </c>
      <c r="O104" s="47">
        <f>T14+T15+T20+T23+T26</f>
        <v>0</v>
      </c>
      <c r="P104" s="611">
        <f>T8</f>
        <v>1.0407999999999999</v>
      </c>
      <c r="Q104" s="611"/>
      <c r="R104" s="48">
        <f>F104</f>
        <v>950.92</v>
      </c>
      <c r="S104" s="40" t="s">
        <v>12</v>
      </c>
      <c r="T104" s="479">
        <f>ROUND(O104*P104*R104,2)</f>
        <v>0</v>
      </c>
      <c r="U104" s="102"/>
    </row>
    <row r="105" spans="1:21" x14ac:dyDescent="0.25">
      <c r="A105" s="49"/>
      <c r="B105" s="49" t="s">
        <v>104</v>
      </c>
      <c r="C105" s="596">
        <f>H16+H17+H21+H24+H27</f>
        <v>184.2723</v>
      </c>
      <c r="D105" s="596"/>
      <c r="E105" s="46">
        <f>H8</f>
        <v>1.0407999999999999</v>
      </c>
      <c r="F105" s="303">
        <f>'1461'!F105</f>
        <v>907.92</v>
      </c>
      <c r="G105" s="39" t="s">
        <v>12</v>
      </c>
      <c r="H105" s="101">
        <f>ROUND(C105*E105*F105,2)</f>
        <v>174130.53</v>
      </c>
      <c r="N105" s="50" t="s">
        <v>13</v>
      </c>
      <c r="O105" s="47">
        <f>T16+T17+T21+T24+T27</f>
        <v>0</v>
      </c>
      <c r="P105" s="611">
        <f>T8</f>
        <v>1.0407999999999999</v>
      </c>
      <c r="Q105" s="611"/>
      <c r="R105" s="48">
        <f>F105</f>
        <v>907.92</v>
      </c>
      <c r="S105" s="40" t="s">
        <v>12</v>
      </c>
      <c r="T105" s="479">
        <f>ROUND(O105*P105*R105,2)</f>
        <v>0</v>
      </c>
      <c r="U105" s="51"/>
    </row>
    <row r="106" spans="1:21" ht="16.5" thickBot="1" x14ac:dyDescent="0.3">
      <c r="A106" s="52"/>
      <c r="B106" s="52" t="s">
        <v>103</v>
      </c>
      <c r="C106" s="596">
        <f>H18+H19+H22+H25+H28+H29</f>
        <v>0</v>
      </c>
      <c r="D106" s="596"/>
      <c r="E106" s="46">
        <f>H8</f>
        <v>1.0407999999999999</v>
      </c>
      <c r="F106" s="303">
        <f>'1461'!F106</f>
        <v>910.12</v>
      </c>
      <c r="G106" s="39" t="s">
        <v>12</v>
      </c>
      <c r="H106" s="94">
        <f>ROUND(C106*E106*F106,2)</f>
        <v>0</v>
      </c>
      <c r="N106" s="53" t="s">
        <v>14</v>
      </c>
      <c r="O106" s="54">
        <f>T18+T19+T22+T25+T28+T29</f>
        <v>0</v>
      </c>
      <c r="P106" s="611">
        <f>T8</f>
        <v>1.0407999999999999</v>
      </c>
      <c r="Q106" s="611"/>
      <c r="R106" s="48">
        <f>F106</f>
        <v>910.12</v>
      </c>
      <c r="S106" s="40" t="s">
        <v>12</v>
      </c>
      <c r="T106" s="479">
        <f>ROUND(O106*P106*R106,2)</f>
        <v>0</v>
      </c>
      <c r="U106" s="51"/>
    </row>
    <row r="107" spans="1:21" ht="16.5" thickBot="1" x14ac:dyDescent="0.3">
      <c r="A107" s="55"/>
      <c r="B107" s="122" t="s">
        <v>102</v>
      </c>
      <c r="C107" s="586">
        <f>SUM(C104:C106)</f>
        <v>649.71680000000003</v>
      </c>
      <c r="D107" s="586"/>
      <c r="E107" s="123"/>
      <c r="F107" s="123"/>
      <c r="G107" s="123"/>
      <c r="H107" s="124" t="s">
        <v>100</v>
      </c>
      <c r="I107" s="101">
        <f>IF(A1=75,0,H106+H105+H104)</f>
        <v>634789.11</v>
      </c>
      <c r="N107" s="56" t="s">
        <v>89</v>
      </c>
      <c r="O107" s="57">
        <f>SUM(O104:O106)</f>
        <v>0</v>
      </c>
      <c r="P107" s="612" t="s">
        <v>16</v>
      </c>
      <c r="Q107" s="613"/>
      <c r="R107" s="613"/>
      <c r="S107" s="613"/>
      <c r="T107" s="613"/>
      <c r="U107" s="473">
        <f>IF(N1=75,0,T106+T105+T104)</f>
        <v>0</v>
      </c>
    </row>
    <row r="108" spans="1:21" ht="16.5" thickTop="1" x14ac:dyDescent="0.25">
      <c r="A108" s="555" t="s">
        <v>65</v>
      </c>
      <c r="B108" s="555"/>
      <c r="C108" s="555"/>
      <c r="D108" s="555"/>
      <c r="E108" s="555"/>
      <c r="F108" s="555"/>
      <c r="G108" s="555"/>
      <c r="H108" s="555"/>
      <c r="I108" s="555"/>
      <c r="N108" s="614" t="s">
        <v>65</v>
      </c>
      <c r="O108" s="614"/>
      <c r="P108" s="614"/>
      <c r="Q108" s="614"/>
      <c r="R108" s="614"/>
      <c r="S108" s="614"/>
      <c r="T108" s="614"/>
      <c r="U108" s="614"/>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0" t="s">
        <v>499</v>
      </c>
      <c r="C110" s="43"/>
      <c r="D110" s="69"/>
      <c r="E110" s="43" t="s">
        <v>32</v>
      </c>
      <c r="F110" s="556"/>
      <c r="G110" s="556"/>
      <c r="H110" s="556"/>
      <c r="I110" s="556"/>
      <c r="N110" s="600" t="s">
        <v>499</v>
      </c>
      <c r="O110" s="601"/>
      <c r="P110" s="601"/>
      <c r="Q110" s="615"/>
      <c r="R110" s="615"/>
      <c r="S110" s="615"/>
      <c r="T110" s="615"/>
      <c r="U110" s="103"/>
    </row>
    <row r="111" spans="1:21" x14ac:dyDescent="0.25">
      <c r="B111" s="69"/>
      <c r="C111" s="88" t="s">
        <v>494</v>
      </c>
      <c r="D111" s="333" t="s">
        <v>495</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57" t="s">
        <v>381</v>
      </c>
      <c r="B113" s="558"/>
      <c r="C113" s="143">
        <v>203</v>
      </c>
      <c r="D113" s="143">
        <v>201</v>
      </c>
      <c r="E113" s="116">
        <f>(C113+D113)/2</f>
        <v>202</v>
      </c>
      <c r="F113" s="126" t="s">
        <v>30</v>
      </c>
      <c r="G113" s="304">
        <f>'1461'!G113</f>
        <v>576</v>
      </c>
      <c r="I113" s="101">
        <f>ROUND(G113*E113,2)</f>
        <v>116352</v>
      </c>
      <c r="N113" s="630" t="s">
        <v>52</v>
      </c>
      <c r="O113" s="630"/>
      <c r="P113" s="610">
        <f>IF(H133=1,E113,0)</f>
        <v>0</v>
      </c>
      <c r="Q113" s="610"/>
      <c r="R113" s="610"/>
      <c r="S113" s="83" t="s">
        <v>30</v>
      </c>
      <c r="T113" s="58">
        <f>G113</f>
        <v>576</v>
      </c>
      <c r="U113" s="473">
        <f>ROUND(T113*P113,2)</f>
        <v>0</v>
      </c>
    </row>
    <row r="114" spans="1:21" x14ac:dyDescent="0.25">
      <c r="A114" s="557" t="s">
        <v>382</v>
      </c>
      <c r="B114" s="558"/>
      <c r="C114" s="143">
        <v>0</v>
      </c>
      <c r="D114" s="143">
        <v>0</v>
      </c>
      <c r="E114" s="116">
        <f>C114</f>
        <v>0</v>
      </c>
      <c r="F114" s="126" t="s">
        <v>30</v>
      </c>
      <c r="G114" s="304">
        <f>'1461'!G114</f>
        <v>1823</v>
      </c>
      <c r="I114" s="101">
        <f>ROUND(G114*E114,2)</f>
        <v>0</v>
      </c>
      <c r="N114" s="630" t="s">
        <v>64</v>
      </c>
      <c r="O114" s="630"/>
      <c r="P114" s="608"/>
      <c r="Q114" s="608"/>
      <c r="R114" s="608"/>
      <c r="S114" s="83" t="s">
        <v>30</v>
      </c>
      <c r="T114" s="58">
        <f>G114</f>
        <v>1823</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4" t="s">
        <v>430</v>
      </c>
      <c r="B117" s="578"/>
      <c r="C117" s="578"/>
      <c r="D117" s="69"/>
      <c r="E117" s="39" t="s">
        <v>300</v>
      </c>
      <c r="F117" s="563"/>
      <c r="G117" s="563"/>
      <c r="H117" s="563"/>
      <c r="I117" s="563"/>
      <c r="N117" s="600" t="s">
        <v>431</v>
      </c>
      <c r="O117" s="601"/>
      <c r="P117" s="601"/>
      <c r="Q117" s="601"/>
      <c r="R117" s="601"/>
      <c r="S117" s="601"/>
      <c r="T117" s="601"/>
      <c r="U117" s="601"/>
    </row>
    <row r="118" spans="1:21" hidden="1" x14ac:dyDescent="0.25">
      <c r="B118" s="69"/>
      <c r="C118" s="564" t="s">
        <v>66</v>
      </c>
      <c r="D118" s="564"/>
      <c r="E118" s="564"/>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5" t="s">
        <v>109</v>
      </c>
      <c r="G119" s="563"/>
      <c r="H119" s="37" t="s">
        <v>29</v>
      </c>
      <c r="I119" s="37"/>
      <c r="N119" s="45"/>
      <c r="O119" s="45"/>
      <c r="P119" s="45"/>
      <c r="Q119" s="45"/>
      <c r="R119" s="45"/>
      <c r="S119" s="45"/>
      <c r="T119" s="45"/>
      <c r="U119" s="45"/>
    </row>
    <row r="120" spans="1:21" hidden="1" x14ac:dyDescent="0.25">
      <c r="A120" s="564" t="s">
        <v>69</v>
      </c>
      <c r="B120" s="564"/>
      <c r="C120" s="90" t="s">
        <v>2</v>
      </c>
      <c r="D120" s="90" t="s">
        <v>2</v>
      </c>
      <c r="E120" s="59" t="s">
        <v>2</v>
      </c>
      <c r="F120" s="564" t="s">
        <v>28</v>
      </c>
      <c r="G120" s="564"/>
      <c r="H120" s="59" t="s">
        <v>28</v>
      </c>
      <c r="I120" s="59" t="s">
        <v>8</v>
      </c>
      <c r="N120" s="609" t="s">
        <v>53</v>
      </c>
      <c r="O120" s="609"/>
      <c r="P120" s="610" t="s">
        <v>66</v>
      </c>
      <c r="Q120" s="610"/>
      <c r="R120" s="609" t="s">
        <v>54</v>
      </c>
      <c r="S120" s="609"/>
      <c r="T120" s="60" t="s">
        <v>55</v>
      </c>
      <c r="U120" s="60" t="s">
        <v>8</v>
      </c>
    </row>
    <row r="121" spans="1:21" hidden="1" x14ac:dyDescent="0.25">
      <c r="A121" s="561" t="s">
        <v>56</v>
      </c>
      <c r="B121" s="561"/>
      <c r="C121" s="141">
        <v>0</v>
      </c>
      <c r="D121" s="141">
        <v>0</v>
      </c>
      <c r="E121" s="187">
        <f>IF(D30=0,C121*2,C121+D121)</f>
        <v>0</v>
      </c>
      <c r="F121" s="562">
        <v>0</v>
      </c>
      <c r="G121" s="562"/>
      <c r="H121" s="224">
        <f>IF(C121=0,0,125)</f>
        <v>0</v>
      </c>
      <c r="I121" s="101">
        <f>ROUND((H121+F121)*E121,2)</f>
        <v>0</v>
      </c>
      <c r="N121" s="601" t="s">
        <v>56</v>
      </c>
      <c r="O121" s="601"/>
      <c r="P121" s="608">
        <f>IF(H$133=1,C121,0)</f>
        <v>0</v>
      </c>
      <c r="Q121" s="608"/>
      <c r="R121" s="628">
        <f>F121</f>
        <v>0</v>
      </c>
      <c r="S121" s="628"/>
      <c r="T121" s="62">
        <f>H121</f>
        <v>0</v>
      </c>
      <c r="U121" s="96">
        <f>ROUND((T121+R121)*P121,0)</f>
        <v>0</v>
      </c>
    </row>
    <row r="122" spans="1:21" hidden="1" x14ac:dyDescent="0.25">
      <c r="A122" s="581" t="s">
        <v>57</v>
      </c>
      <c r="B122" s="581"/>
      <c r="C122" s="143">
        <v>0</v>
      </c>
      <c r="D122" s="143">
        <v>0</v>
      </c>
      <c r="E122" s="116">
        <f>IF(D31=0,C122*2,C122+D122)</f>
        <v>0</v>
      </c>
      <c r="F122" s="598">
        <f>ROUND(F121/2,2)</f>
        <v>0</v>
      </c>
      <c r="G122" s="598"/>
      <c r="H122" s="224">
        <f>IF(C122=0,0,62.5)</f>
        <v>0</v>
      </c>
      <c r="I122" s="101">
        <f>ROUND((H122+F122)*E122,2)</f>
        <v>0</v>
      </c>
      <c r="N122" s="601" t="s">
        <v>57</v>
      </c>
      <c r="O122" s="601"/>
      <c r="P122" s="608">
        <f>IF(H$133=1,C122,0)</f>
        <v>0</v>
      </c>
      <c r="Q122" s="608"/>
      <c r="R122" s="629">
        <f>ROUND(R121/2,2)</f>
        <v>0</v>
      </c>
      <c r="S122" s="629"/>
      <c r="T122" s="62">
        <f>H122</f>
        <v>0</v>
      </c>
      <c r="U122" s="96">
        <f>ROUND((T122+R122)*P122,0)</f>
        <v>0</v>
      </c>
    </row>
    <row r="123" spans="1:21" ht="16.5" hidden="1" thickBot="1" x14ac:dyDescent="0.3">
      <c r="A123" s="581" t="s">
        <v>58</v>
      </c>
      <c r="B123" s="581"/>
      <c r="C123" s="143">
        <v>0</v>
      </c>
      <c r="D123" s="143">
        <v>0</v>
      </c>
      <c r="E123" s="116">
        <f>IF(D32=0,C123*2,C123+D123)</f>
        <v>0</v>
      </c>
      <c r="F123" s="599"/>
      <c r="G123" s="599"/>
      <c r="H123" s="225">
        <f>IF(H121&gt;0,436,0)</f>
        <v>0</v>
      </c>
      <c r="I123" s="101">
        <f>ROUND(H123*E123,2)</f>
        <v>0</v>
      </c>
      <c r="N123" s="616" t="s">
        <v>58</v>
      </c>
      <c r="O123" s="616"/>
      <c r="P123" s="608">
        <f>IF(H$133=1,C123,0)</f>
        <v>0</v>
      </c>
      <c r="Q123" s="608"/>
      <c r="R123" s="609"/>
      <c r="S123" s="609"/>
      <c r="T123" s="64">
        <f>H123</f>
        <v>0</v>
      </c>
      <c r="U123" s="103">
        <f>ROUND(T123*P123,0)</f>
        <v>0</v>
      </c>
    </row>
    <row r="124" spans="1:21" ht="16.5" hidden="1" thickBot="1" x14ac:dyDescent="0.3">
      <c r="A124" s="563" t="s">
        <v>8</v>
      </c>
      <c r="B124" s="563"/>
      <c r="C124" s="65"/>
      <c r="D124" s="65"/>
      <c r="E124" s="65"/>
      <c r="F124" s="65"/>
      <c r="G124" s="65"/>
      <c r="H124" s="65"/>
      <c r="I124" s="97">
        <f>SUM(I121:I123)</f>
        <v>0</v>
      </c>
      <c r="N124" s="627" t="s">
        <v>8</v>
      </c>
      <c r="O124" s="627"/>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4" t="s">
        <v>432</v>
      </c>
      <c r="B126" s="578"/>
      <c r="C126" s="578"/>
      <c r="D126" s="69"/>
      <c r="E126" s="68" t="s">
        <v>34</v>
      </c>
      <c r="F126" s="597"/>
      <c r="G126" s="597"/>
      <c r="H126" s="597"/>
      <c r="I126" s="154">
        <v>0</v>
      </c>
      <c r="N126" s="600" t="s">
        <v>432</v>
      </c>
      <c r="O126" s="601"/>
      <c r="P126" s="601"/>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90" t="s">
        <v>8</v>
      </c>
      <c r="B128" s="590"/>
      <c r="C128" s="590"/>
      <c r="D128" s="590"/>
      <c r="E128" s="590"/>
      <c r="F128" s="590"/>
      <c r="G128" s="590"/>
      <c r="H128" s="590"/>
      <c r="I128" s="94">
        <f>SUM(I46,I66,I85,I88,I90,I92,I94,I96,I107,I113,I114,I124,I126)</f>
        <v>5368293.6800000006</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434</v>
      </c>
      <c r="B130" s="26"/>
      <c r="C130" s="26"/>
      <c r="D130" s="26"/>
      <c r="E130" s="26"/>
      <c r="F130" s="26"/>
      <c r="G130" s="26"/>
      <c r="H130" s="26"/>
      <c r="I130" s="101">
        <f>I128-I53</f>
        <v>5154520.5500000007</v>
      </c>
      <c r="N130" s="600" t="s">
        <v>434</v>
      </c>
      <c r="O130" s="601"/>
      <c r="P130" s="601"/>
      <c r="Q130" s="601"/>
      <c r="R130" s="601"/>
      <c r="S130" s="601"/>
      <c r="T130" s="601"/>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4" t="s">
        <v>502</v>
      </c>
      <c r="B132" s="578"/>
      <c r="C132" s="578"/>
      <c r="D132" s="578"/>
      <c r="E132" s="578"/>
      <c r="F132" s="578"/>
      <c r="G132" s="578"/>
      <c r="H132" s="81" t="s">
        <v>333</v>
      </c>
      <c r="I132" s="134"/>
      <c r="N132" s="600" t="s">
        <v>502</v>
      </c>
      <c r="O132" s="601"/>
      <c r="P132" s="601"/>
      <c r="Q132" s="601"/>
      <c r="R132" s="601"/>
      <c r="S132" s="601"/>
      <c r="T132" s="601"/>
      <c r="U132" s="138"/>
    </row>
    <row r="133" spans="1:21" x14ac:dyDescent="0.25">
      <c r="A133" s="578" t="s">
        <v>70</v>
      </c>
      <c r="B133" s="578"/>
      <c r="C133" s="578"/>
      <c r="D133" s="578"/>
      <c r="E133" s="578"/>
      <c r="F133" s="578"/>
      <c r="G133" s="578"/>
      <c r="H133" s="70" t="str">
        <f>IF(E30=0,"",IF((E15+E17+SUM(E19:E25))/E30&gt;0.75,1,""))</f>
        <v/>
      </c>
      <c r="I133" s="116">
        <f>U130</f>
        <v>0</v>
      </c>
      <c r="N133" s="601" t="s">
        <v>70</v>
      </c>
      <c r="O133" s="601"/>
      <c r="P133" s="601"/>
      <c r="Q133" s="601"/>
      <c r="R133" s="601"/>
      <c r="S133" s="601"/>
      <c r="T133" s="601"/>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8"/>
      <c r="H135" s="139">
        <f>IF(H133=1,I133,I130)</f>
        <v>5154520.5500000007</v>
      </c>
      <c r="I135" s="94">
        <f>ROUND(IF(E30=0,0,IF(E30&gt;250,-(((250/E30)*H135)*IF(G135="H",0.02,0.05)),IF(G135="H",-0.02*H135,-0.05*H135))),2)</f>
        <v>-109393.21</v>
      </c>
      <c r="N135" s="626"/>
      <c r="O135" s="626"/>
      <c r="P135" s="626"/>
      <c r="Q135" s="626"/>
      <c r="R135" s="626"/>
      <c r="S135" s="626"/>
      <c r="T135" s="626"/>
      <c r="U135" s="626"/>
    </row>
    <row r="136" spans="1:21" x14ac:dyDescent="0.25">
      <c r="B136" s="69"/>
      <c r="C136" s="69"/>
      <c r="D136" s="69"/>
      <c r="E136" s="69"/>
      <c r="F136" s="69"/>
      <c r="G136" s="69"/>
      <c r="H136" s="65"/>
      <c r="I136" s="101"/>
      <c r="N136" s="624" t="s">
        <v>7</v>
      </c>
      <c r="O136" s="624"/>
      <c r="P136" s="624"/>
      <c r="Q136" s="624"/>
      <c r="R136" s="624"/>
      <c r="S136" s="624"/>
      <c r="T136" s="624"/>
      <c r="U136" s="624"/>
    </row>
    <row r="137" spans="1:21" x14ac:dyDescent="0.25">
      <c r="A137" s="309" t="s">
        <v>74</v>
      </c>
      <c r="B137" s="310"/>
      <c r="C137" s="310"/>
      <c r="D137" s="310"/>
      <c r="E137" s="310"/>
      <c r="F137" s="310"/>
      <c r="G137" s="310"/>
      <c r="H137" s="311"/>
      <c r="I137" s="312">
        <f>I128+I135</f>
        <v>5258900.4700000007</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Payments'!Q73</f>
        <v>0</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5258900.4700000007</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438241.71</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IF(G135="H",(H135*0.02)+I135,(H135*0.05)+I135)</f>
        <v>148332.81750000006</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372</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373</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374</v>
      </c>
      <c r="B155" s="252"/>
      <c r="C155" s="252"/>
      <c r="D155" s="252"/>
      <c r="E155" s="252"/>
      <c r="F155" s="252"/>
      <c r="G155" s="252"/>
      <c r="H155" s="252"/>
      <c r="I155" s="252"/>
      <c r="N155" s="625"/>
      <c r="O155" s="625"/>
      <c r="P155" s="625"/>
      <c r="Q155" s="625"/>
      <c r="R155" s="625"/>
      <c r="S155" s="625"/>
      <c r="T155" s="625"/>
      <c r="U155" s="625"/>
    </row>
    <row r="156" spans="1:21" s="76" customFormat="1" x14ac:dyDescent="0.2">
      <c r="A156" s="320" t="s">
        <v>375</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376</v>
      </c>
      <c r="B157" s="252"/>
      <c r="C157" s="252"/>
      <c r="D157" s="252"/>
      <c r="E157" s="252"/>
      <c r="F157" s="252"/>
      <c r="G157" s="252"/>
      <c r="H157" s="252"/>
      <c r="I157" s="252"/>
      <c r="N157" s="78"/>
      <c r="O157" s="79"/>
      <c r="P157" s="79"/>
      <c r="Q157" s="79"/>
      <c r="R157" s="79"/>
      <c r="S157" s="79"/>
      <c r="T157" s="79"/>
      <c r="U157" s="79"/>
    </row>
    <row r="158" spans="1:21" s="76" customFormat="1" x14ac:dyDescent="0.2">
      <c r="A158" s="320" t="s">
        <v>377</v>
      </c>
      <c r="B158" s="252"/>
      <c r="C158" s="252"/>
      <c r="D158" s="252"/>
      <c r="E158" s="252"/>
      <c r="F158" s="252"/>
      <c r="G158" s="252"/>
      <c r="H158" s="252"/>
      <c r="I158" s="252"/>
      <c r="N158" s="78"/>
    </row>
    <row r="159" spans="1:21" s="76" customFormat="1" x14ac:dyDescent="0.2">
      <c r="A159" s="320" t="s">
        <v>379</v>
      </c>
      <c r="B159" s="252"/>
      <c r="C159" s="252"/>
      <c r="D159" s="252"/>
      <c r="E159" s="252"/>
      <c r="F159" s="252"/>
      <c r="G159" s="252"/>
      <c r="H159" s="252"/>
      <c r="I159" s="252"/>
      <c r="N159" s="78"/>
    </row>
    <row r="160" spans="1:21" s="76" customFormat="1" x14ac:dyDescent="0.2">
      <c r="A160" s="385" t="s">
        <v>378</v>
      </c>
      <c r="B160" s="252"/>
      <c r="C160" s="252"/>
      <c r="D160" s="252"/>
      <c r="E160" s="252"/>
      <c r="F160" s="252"/>
      <c r="G160" s="252"/>
      <c r="H160" s="252"/>
      <c r="I160" s="252"/>
      <c r="N160" s="78"/>
    </row>
    <row r="161" spans="1:14" s="76" customFormat="1" x14ac:dyDescent="0.2">
      <c r="A161" s="320" t="s">
        <v>380</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383</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385</v>
      </c>
      <c r="B165" s="293"/>
      <c r="C165" s="293"/>
      <c r="D165" s="293"/>
      <c r="E165" s="293"/>
      <c r="F165" s="293"/>
      <c r="G165" s="293"/>
      <c r="H165" s="293"/>
      <c r="I165" s="293"/>
      <c r="N165" s="78"/>
    </row>
    <row r="166" spans="1:14" s="76" customFormat="1" ht="15.75" customHeight="1" x14ac:dyDescent="0.2">
      <c r="A166" s="351" t="s">
        <v>384</v>
      </c>
      <c r="B166" s="293"/>
      <c r="C166" s="293"/>
      <c r="D166" s="293"/>
      <c r="E166" s="293"/>
      <c r="F166" s="293"/>
      <c r="G166" s="293"/>
      <c r="H166" s="293"/>
      <c r="I166" s="293"/>
      <c r="N166" s="78"/>
    </row>
    <row r="167" spans="1:14" s="76" customFormat="1" ht="15.75" customHeight="1" x14ac:dyDescent="0.2">
      <c r="A167" s="320" t="s">
        <v>386</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388</v>
      </c>
      <c r="B169" s="343"/>
      <c r="C169" s="343"/>
      <c r="D169" s="343"/>
      <c r="E169" s="343"/>
      <c r="F169" s="343"/>
      <c r="G169" s="343"/>
      <c r="H169" s="343"/>
      <c r="I169" s="343"/>
      <c r="N169" s="78"/>
    </row>
    <row r="170" spans="1:14" s="76" customFormat="1" ht="15.75" customHeight="1" x14ac:dyDescent="0.2">
      <c r="A170" s="351" t="s">
        <v>387</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389</v>
      </c>
      <c r="B175" s="293"/>
      <c r="C175" s="293"/>
      <c r="D175" s="293"/>
      <c r="E175" s="293"/>
      <c r="F175" s="293"/>
      <c r="G175" s="293"/>
      <c r="H175" s="293"/>
      <c r="I175" s="293"/>
      <c r="J175" s="3"/>
      <c r="K175" s="3"/>
      <c r="L175" s="3"/>
      <c r="M175" s="3"/>
      <c r="N175" s="78"/>
    </row>
    <row r="176" spans="1:14" s="76" customFormat="1" ht="15.75" customHeight="1" x14ac:dyDescent="0.2">
      <c r="A176" s="361" t="s">
        <v>390</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R123:S123"/>
    <mergeCell ref="A124:B124"/>
    <mergeCell ref="N124:O124"/>
    <mergeCell ref="N155:U155"/>
    <mergeCell ref="N135:U135"/>
    <mergeCell ref="N126:P126"/>
    <mergeCell ref="A126:C126"/>
    <mergeCell ref="F126:H126"/>
    <mergeCell ref="N130:T130"/>
    <mergeCell ref="A128:H128"/>
    <mergeCell ref="A132:G132"/>
    <mergeCell ref="N136:U136"/>
    <mergeCell ref="A133:G133"/>
    <mergeCell ref="N132:T132"/>
    <mergeCell ref="N133:T133"/>
    <mergeCell ref="R122:S122"/>
    <mergeCell ref="A117:C117"/>
    <mergeCell ref="F117:I117"/>
    <mergeCell ref="N117:U117"/>
    <mergeCell ref="C118:E118"/>
    <mergeCell ref="F119:G119"/>
    <mergeCell ref="A120:B120"/>
    <mergeCell ref="F120:G120"/>
    <mergeCell ref="N120:O120"/>
    <mergeCell ref="P120:Q120"/>
    <mergeCell ref="A121:B121"/>
    <mergeCell ref="F121:G121"/>
    <mergeCell ref="N121:O121"/>
    <mergeCell ref="P121:Q121"/>
    <mergeCell ref="R121:S121"/>
    <mergeCell ref="A122:B122"/>
    <mergeCell ref="F122:G122"/>
    <mergeCell ref="N122:O122"/>
    <mergeCell ref="P122:Q122"/>
    <mergeCell ref="F110:I110"/>
    <mergeCell ref="N110:P110"/>
    <mergeCell ref="Q110:T110"/>
    <mergeCell ref="R120:S12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6" t="s">
        <v>15</v>
      </c>
      <c r="C1" s="567"/>
      <c r="D1" s="567"/>
      <c r="E1" s="567"/>
      <c r="F1" s="567"/>
      <c r="G1" s="567"/>
      <c r="H1" s="567"/>
      <c r="I1" s="567"/>
      <c r="J1" s="135"/>
      <c r="K1" s="135"/>
      <c r="L1" s="135"/>
      <c r="N1" s="82">
        <f>A1</f>
        <v>0</v>
      </c>
      <c r="O1" s="658" t="s">
        <v>15</v>
      </c>
      <c r="P1" s="659"/>
      <c r="Q1" s="659"/>
      <c r="R1" s="659"/>
      <c r="S1" s="659"/>
      <c r="T1" s="659"/>
      <c r="U1" s="659"/>
    </row>
    <row r="2" spans="1:21" ht="21" x14ac:dyDescent="0.35">
      <c r="A2" s="1" t="s">
        <v>114</v>
      </c>
      <c r="B2" s="2"/>
      <c r="C2" s="2"/>
      <c r="D2" s="2"/>
      <c r="E2" s="2"/>
      <c r="F2" s="2"/>
      <c r="G2" s="2"/>
      <c r="H2" s="2"/>
      <c r="I2" s="2"/>
      <c r="N2" s="660" t="s">
        <v>18</v>
      </c>
      <c r="O2" s="660"/>
      <c r="P2" s="660"/>
      <c r="Q2" s="660"/>
      <c r="R2" s="660"/>
      <c r="S2" s="660"/>
      <c r="T2" s="660"/>
      <c r="U2" s="660"/>
    </row>
    <row r="3" spans="1:21" x14ac:dyDescent="0.25">
      <c r="A3" s="81" t="str">
        <f>'1461'!A3</f>
        <v>Based on the FLDOE 2024-25 Conference Calculation</v>
      </c>
      <c r="N3" s="627" t="str">
        <f>A3</f>
        <v>Based on the FLDOE 2024-25 Conference Calculation</v>
      </c>
      <c r="O3" s="627"/>
      <c r="P3" s="627"/>
      <c r="Q3" s="627"/>
      <c r="R3" s="627"/>
      <c r="S3" s="627"/>
      <c r="T3" s="627"/>
      <c r="U3" s="627"/>
    </row>
    <row r="4" spans="1:21" x14ac:dyDescent="0.25">
      <c r="A4" s="568" t="s">
        <v>0</v>
      </c>
      <c r="B4" s="568"/>
      <c r="C4" s="569" t="s">
        <v>9</v>
      </c>
      <c r="D4" s="569"/>
      <c r="E4" s="569"/>
      <c r="F4" s="4" t="str">
        <f>'1461'!F4</f>
        <v>July 2024</v>
      </c>
      <c r="G4" s="4"/>
      <c r="H4" s="4"/>
      <c r="I4" s="4"/>
      <c r="N4" s="661" t="s">
        <v>0</v>
      </c>
      <c r="O4" s="661"/>
      <c r="P4" s="662" t="str">
        <f>C4</f>
        <v>Palm Beach</v>
      </c>
      <c r="Q4" s="662"/>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70" t="s">
        <v>433</v>
      </c>
      <c r="B7" s="664"/>
      <c r="C7" s="664"/>
      <c r="D7" s="664"/>
      <c r="E7" s="664"/>
      <c r="F7" s="664"/>
      <c r="G7" s="664"/>
      <c r="H7" s="664"/>
      <c r="I7" s="664"/>
      <c r="N7" s="661" t="str">
        <f>A7</f>
        <v>1A.   2023-24 FEFP State and Local Funding</v>
      </c>
      <c r="O7" s="661"/>
      <c r="P7" s="661"/>
      <c r="Q7" s="661"/>
      <c r="R7" s="661"/>
      <c r="S7" s="661"/>
      <c r="T7" s="661"/>
      <c r="U7" s="661"/>
    </row>
    <row r="8" spans="1:21" x14ac:dyDescent="0.25">
      <c r="A8" s="84"/>
      <c r="B8" s="85" t="s">
        <v>92</v>
      </c>
      <c r="C8" s="299">
        <f>'1461'!C8</f>
        <v>5330.98</v>
      </c>
      <c r="D8" s="86"/>
      <c r="E8" s="87"/>
      <c r="F8" s="84"/>
      <c r="G8" s="85" t="s">
        <v>393</v>
      </c>
      <c r="H8" s="287">
        <f>'1461'!H8</f>
        <v>1.0407999999999999</v>
      </c>
      <c r="I8" s="75"/>
      <c r="N8" s="665" t="s">
        <v>10</v>
      </c>
      <c r="O8" s="665"/>
      <c r="P8" s="666">
        <f>C8</f>
        <v>5330.98</v>
      </c>
      <c r="Q8" s="666"/>
      <c r="R8" s="648" t="s">
        <v>394</v>
      </c>
      <c r="S8" s="649"/>
      <c r="T8" s="650">
        <f>H8</f>
        <v>1.0407999999999999</v>
      </c>
      <c r="U8" s="650"/>
    </row>
    <row r="9" spans="1:21" x14ac:dyDescent="0.25">
      <c r="A9" s="84"/>
      <c r="B9" s="85"/>
      <c r="C9" s="222"/>
      <c r="D9" s="86"/>
      <c r="E9" s="87"/>
      <c r="F9" s="84"/>
      <c r="G9" s="85" t="s">
        <v>391</v>
      </c>
      <c r="H9" s="287">
        <f>'1461'!H9</f>
        <v>1</v>
      </c>
      <c r="I9" s="75"/>
      <c r="N9" s="12"/>
      <c r="O9" s="12"/>
      <c r="P9" s="13"/>
      <c r="Q9" s="13"/>
      <c r="R9" s="387" t="s">
        <v>392</v>
      </c>
      <c r="S9" s="384"/>
      <c r="T9" s="650">
        <f>H9</f>
        <v>1</v>
      </c>
      <c r="U9" s="650"/>
    </row>
    <row r="10" spans="1:21" x14ac:dyDescent="0.25">
      <c r="A10" s="7"/>
      <c r="B10" s="42" t="s">
        <v>310</v>
      </c>
      <c r="C10" s="334" t="str">
        <f>'1461'!C10</f>
        <v xml:space="preserve"> </v>
      </c>
      <c r="D10" s="334" t="str">
        <f>'1461'!D10</f>
        <v xml:space="preserve"> </v>
      </c>
      <c r="E10" s="8"/>
      <c r="F10" s="9"/>
      <c r="G10" s="9"/>
      <c r="H10" s="10"/>
      <c r="I10" s="305" t="str">
        <f>'1461'!I10</f>
        <v>2024-25</v>
      </c>
      <c r="N10" s="12"/>
      <c r="O10" s="12"/>
      <c r="P10" s="13"/>
      <c r="Q10" s="13"/>
      <c r="R10" s="14"/>
      <c r="S10" s="14"/>
      <c r="T10" s="15"/>
      <c r="U10" s="366" t="str">
        <f>I10</f>
        <v>2024-25</v>
      </c>
    </row>
    <row r="11" spans="1:21" x14ac:dyDescent="0.25">
      <c r="A11" s="7"/>
      <c r="B11" s="7"/>
      <c r="C11" s="88" t="str">
        <f>'1461'!C11</f>
        <v>Oct 2023</v>
      </c>
      <c r="D11" s="333" t="str">
        <f>'1461'!D11</f>
        <v>Feb 2024</v>
      </c>
      <c r="E11" s="89" t="s">
        <v>8</v>
      </c>
      <c r="F11" s="571" t="s">
        <v>1</v>
      </c>
      <c r="G11" s="571"/>
      <c r="H11" s="10" t="s">
        <v>60</v>
      </c>
      <c r="I11" s="11" t="s">
        <v>27</v>
      </c>
      <c r="N11" s="12"/>
      <c r="O11" s="12"/>
      <c r="P11" s="13"/>
      <c r="Q11" s="13"/>
      <c r="R11" s="651" t="s">
        <v>1</v>
      </c>
      <c r="S11" s="651"/>
      <c r="T11" s="15" t="s">
        <v>60</v>
      </c>
      <c r="U11" s="16" t="s">
        <v>27</v>
      </c>
    </row>
    <row r="12" spans="1:21" ht="15.75" customHeight="1" x14ac:dyDescent="0.25">
      <c r="A12" s="572" t="s">
        <v>1</v>
      </c>
      <c r="B12" s="572"/>
      <c r="C12" s="324" t="str">
        <f>'1461'!C12</f>
        <v>FTE</v>
      </c>
      <c r="D12" s="324" t="str">
        <f>'1461'!D12</f>
        <v>FTE</v>
      </c>
      <c r="E12" s="324" t="s">
        <v>2</v>
      </c>
      <c r="F12" s="573" t="s">
        <v>63</v>
      </c>
      <c r="G12" s="573"/>
      <c r="H12" s="17" t="s">
        <v>59</v>
      </c>
      <c r="I12" s="388" t="s">
        <v>395</v>
      </c>
      <c r="N12" s="639" t="s">
        <v>1</v>
      </c>
      <c r="O12" s="639"/>
      <c r="P12" s="652" t="s">
        <v>19</v>
      </c>
      <c r="Q12" s="652"/>
      <c r="R12" s="653" t="s">
        <v>63</v>
      </c>
      <c r="S12" s="653"/>
      <c r="T12" s="18" t="s">
        <v>59</v>
      </c>
      <c r="U12" s="19" t="str">
        <f>I12</f>
        <v>(WFTE x BSA x CWF x SDF)</v>
      </c>
    </row>
    <row r="13" spans="1:21" x14ac:dyDescent="0.25">
      <c r="A13" s="574" t="s">
        <v>36</v>
      </c>
      <c r="B13" s="574"/>
      <c r="C13" s="91"/>
      <c r="D13" s="91"/>
      <c r="E13" s="92" t="s">
        <v>37</v>
      </c>
      <c r="F13" s="575" t="s">
        <v>38</v>
      </c>
      <c r="G13" s="575"/>
      <c r="H13" s="20" t="s">
        <v>39</v>
      </c>
      <c r="I13" s="21" t="s">
        <v>40</v>
      </c>
      <c r="N13" s="654" t="s">
        <v>36</v>
      </c>
      <c r="O13" s="654"/>
      <c r="P13" s="655" t="s">
        <v>37</v>
      </c>
      <c r="Q13" s="655"/>
      <c r="R13" s="656" t="s">
        <v>38</v>
      </c>
      <c r="S13" s="656"/>
      <c r="T13" s="22" t="s">
        <v>39</v>
      </c>
      <c r="U13" s="23" t="s">
        <v>40</v>
      </c>
    </row>
    <row r="14" spans="1:21" x14ac:dyDescent="0.25">
      <c r="A14" s="576" t="s">
        <v>20</v>
      </c>
      <c r="B14" s="576"/>
      <c r="C14" s="143">
        <v>94.73</v>
      </c>
      <c r="D14" s="143">
        <v>93.79</v>
      </c>
      <c r="E14" s="187">
        <f>IF(D$30=0,C14*2,C14+D14)</f>
        <v>188.52</v>
      </c>
      <c r="F14" s="667">
        <f>'1461'!F14:G14</f>
        <v>1.1180000000000001</v>
      </c>
      <c r="G14" s="667"/>
      <c r="H14" s="145">
        <f>ROUND(E14*F14,4)</f>
        <v>210.7654</v>
      </c>
      <c r="I14" s="111">
        <f>ROUND(ROUND(ROUND(H14*$C$8,4)*($H$8),2)*(MAX($H$9,1)),2)</f>
        <v>1169428.45</v>
      </c>
      <c r="N14" s="641" t="s">
        <v>20</v>
      </c>
      <c r="O14" s="641"/>
      <c r="P14" s="642">
        <f t="shared" ref="P14:P29" si="0">IF($H$133=1,E14,0)</f>
        <v>0</v>
      </c>
      <c r="Q14" s="642"/>
      <c r="R14" s="657">
        <v>1</v>
      </c>
      <c r="S14" s="657"/>
      <c r="T14" s="95">
        <f>ROUND(P14*R14,4)</f>
        <v>0</v>
      </c>
      <c r="U14" s="473">
        <f>ROUND(ROUND(ROUND(T14*$C$8,4)*($H$8),2)*(MAX($H$9,1)),2)</f>
        <v>0</v>
      </c>
    </row>
    <row r="15" spans="1:21" x14ac:dyDescent="0.25">
      <c r="A15" s="578" t="s">
        <v>21</v>
      </c>
      <c r="B15" s="578"/>
      <c r="C15" s="143">
        <v>21</v>
      </c>
      <c r="D15" s="143">
        <v>22</v>
      </c>
      <c r="E15" s="116">
        <f t="shared" ref="E15:E29" si="1">IF(D$30=0,C15*2,C15+D15)</f>
        <v>43</v>
      </c>
      <c r="F15" s="663">
        <f>'1461'!F15:G15</f>
        <v>1.1180000000000001</v>
      </c>
      <c r="G15" s="663"/>
      <c r="H15" s="80">
        <f t="shared" ref="H15:H29" si="2">ROUND(E15*F15,4)</f>
        <v>48.073999999999998</v>
      </c>
      <c r="I15" s="101">
        <f t="shared" ref="I15:I29" si="3">ROUND(ROUND(ROUND(H15*$C$8,4)*($H$8),2)*(MAX($H$9,1)),2)</f>
        <v>266737.82</v>
      </c>
      <c r="J15" s="65" t="str">
        <f>IF(ROUND(E15,2)=ROUND(SUM(E57:E59),2)," ","CHECK PK-3 LINES BELOW")</f>
        <v xml:space="preserve"> </v>
      </c>
      <c r="N15" s="601" t="s">
        <v>21</v>
      </c>
      <c r="O15" s="601"/>
      <c r="P15" s="642">
        <f t="shared" si="0"/>
        <v>0</v>
      </c>
      <c r="Q15" s="642"/>
      <c r="R15" s="647">
        <v>1</v>
      </c>
      <c r="S15" s="647"/>
      <c r="T15" s="95">
        <f t="shared" ref="T15:T29" si="4">ROUND(P15*R15,4)</f>
        <v>0</v>
      </c>
      <c r="U15" s="473">
        <f t="shared" ref="U15:U29" si="5">ROUND(ROUND(ROUND(T15*$C$8,4)*($H$8),2)*(MAX($H$9,1)),2)</f>
        <v>0</v>
      </c>
    </row>
    <row r="16" spans="1:21" x14ac:dyDescent="0.25">
      <c r="A16" s="578" t="s">
        <v>22</v>
      </c>
      <c r="B16" s="578"/>
      <c r="C16" s="143">
        <v>153.22999999999999</v>
      </c>
      <c r="D16" s="143">
        <v>156.32</v>
      </c>
      <c r="E16" s="116">
        <f t="shared" si="1"/>
        <v>309.54999999999995</v>
      </c>
      <c r="F16" s="663">
        <f>'1461'!F16:G16</f>
        <v>1</v>
      </c>
      <c r="G16" s="663"/>
      <c r="H16" s="80">
        <f t="shared" si="2"/>
        <v>309.55</v>
      </c>
      <c r="I16" s="101">
        <f t="shared" si="3"/>
        <v>1717533.22</v>
      </c>
      <c r="N16" s="601" t="s">
        <v>22</v>
      </c>
      <c r="O16" s="601"/>
      <c r="P16" s="642">
        <f t="shared" si="0"/>
        <v>0</v>
      </c>
      <c r="Q16" s="642"/>
      <c r="R16" s="647">
        <v>1</v>
      </c>
      <c r="S16" s="647"/>
      <c r="T16" s="95">
        <f t="shared" si="4"/>
        <v>0</v>
      </c>
      <c r="U16" s="473">
        <f t="shared" si="5"/>
        <v>0</v>
      </c>
    </row>
    <row r="17" spans="1:21" x14ac:dyDescent="0.25">
      <c r="A17" s="578" t="s">
        <v>23</v>
      </c>
      <c r="B17" s="578"/>
      <c r="C17" s="143">
        <v>43.9</v>
      </c>
      <c r="D17" s="143">
        <v>42.04</v>
      </c>
      <c r="E17" s="116">
        <f t="shared" si="1"/>
        <v>85.94</v>
      </c>
      <c r="F17" s="663">
        <f>'1461'!F17:G17</f>
        <v>1</v>
      </c>
      <c r="G17" s="663"/>
      <c r="H17" s="80">
        <f t="shared" si="2"/>
        <v>85.94</v>
      </c>
      <c r="I17" s="101">
        <f t="shared" si="3"/>
        <v>476836.71</v>
      </c>
      <c r="J17" s="65" t="str">
        <f>IF(ROUND(E17,2)=ROUND(SUM(E60:E62),2)," ","CHECK 4-8 LINES BELOW")</f>
        <v xml:space="preserve"> </v>
      </c>
      <c r="N17" s="601" t="s">
        <v>23</v>
      </c>
      <c r="O17" s="601"/>
      <c r="P17" s="642">
        <f t="shared" si="0"/>
        <v>0</v>
      </c>
      <c r="Q17" s="642"/>
      <c r="R17" s="647">
        <v>1</v>
      </c>
      <c r="S17" s="647"/>
      <c r="T17" s="95">
        <f t="shared" si="4"/>
        <v>0</v>
      </c>
      <c r="U17" s="473">
        <f t="shared" si="5"/>
        <v>0</v>
      </c>
    </row>
    <row r="18" spans="1:21" x14ac:dyDescent="0.25">
      <c r="A18" s="578" t="s">
        <v>24</v>
      </c>
      <c r="B18" s="578"/>
      <c r="C18" s="143">
        <v>0</v>
      </c>
      <c r="D18" s="143">
        <v>0</v>
      </c>
      <c r="E18" s="116">
        <f t="shared" si="1"/>
        <v>0</v>
      </c>
      <c r="F18" s="663">
        <f>'1461'!F18:G18</f>
        <v>0.97799999999999998</v>
      </c>
      <c r="G18" s="663"/>
      <c r="H18" s="80">
        <f t="shared" si="2"/>
        <v>0</v>
      </c>
      <c r="I18" s="101">
        <f t="shared" si="3"/>
        <v>0</v>
      </c>
      <c r="N18" s="601" t="s">
        <v>24</v>
      </c>
      <c r="O18" s="601"/>
      <c r="P18" s="642">
        <f t="shared" si="0"/>
        <v>0</v>
      </c>
      <c r="Q18" s="642"/>
      <c r="R18" s="647">
        <v>1</v>
      </c>
      <c r="S18" s="647"/>
      <c r="T18" s="95">
        <f t="shared" si="4"/>
        <v>0</v>
      </c>
      <c r="U18" s="473">
        <f t="shared" si="5"/>
        <v>0</v>
      </c>
    </row>
    <row r="19" spans="1:21" x14ac:dyDescent="0.25">
      <c r="A19" s="578" t="s">
        <v>25</v>
      </c>
      <c r="B19" s="578"/>
      <c r="C19" s="143">
        <v>0</v>
      </c>
      <c r="D19" s="143">
        <v>0</v>
      </c>
      <c r="E19" s="116">
        <f t="shared" si="1"/>
        <v>0</v>
      </c>
      <c r="F19" s="663">
        <f>'1461'!F19:G19</f>
        <v>0.97799999999999998</v>
      </c>
      <c r="G19" s="663"/>
      <c r="H19" s="80">
        <f t="shared" si="2"/>
        <v>0</v>
      </c>
      <c r="I19" s="101">
        <f t="shared" si="3"/>
        <v>0</v>
      </c>
      <c r="J19" s="65" t="str">
        <f>IF(ROUND(E19,2)=ROUND(SUM(E63:E65),2)," ","CHECK 4-8 LINES BELOW")</f>
        <v xml:space="preserve"> </v>
      </c>
      <c r="N19" s="601" t="s">
        <v>25</v>
      </c>
      <c r="O19" s="601"/>
      <c r="P19" s="642">
        <f t="shared" si="0"/>
        <v>0</v>
      </c>
      <c r="Q19" s="642"/>
      <c r="R19" s="647">
        <v>1</v>
      </c>
      <c r="S19" s="647"/>
      <c r="T19" s="95">
        <f t="shared" si="4"/>
        <v>0</v>
      </c>
      <c r="U19" s="472">
        <f t="shared" si="5"/>
        <v>0</v>
      </c>
    </row>
    <row r="20" spans="1:21" x14ac:dyDescent="0.25">
      <c r="A20" s="578" t="s">
        <v>79</v>
      </c>
      <c r="B20" s="578"/>
      <c r="C20" s="143">
        <v>0</v>
      </c>
      <c r="D20" s="143">
        <v>0</v>
      </c>
      <c r="E20" s="116">
        <f t="shared" si="1"/>
        <v>0</v>
      </c>
      <c r="F20" s="663">
        <f>'1461'!F20:G20</f>
        <v>3.6970000000000001</v>
      </c>
      <c r="G20" s="663"/>
      <c r="H20" s="80">
        <f t="shared" si="2"/>
        <v>0</v>
      </c>
      <c r="I20" s="101">
        <f t="shared" si="3"/>
        <v>0</v>
      </c>
      <c r="N20" s="601" t="s">
        <v>79</v>
      </c>
      <c r="O20" s="601"/>
      <c r="P20" s="642">
        <f t="shared" si="0"/>
        <v>0</v>
      </c>
      <c r="Q20" s="642"/>
      <c r="R20" s="647">
        <v>1</v>
      </c>
      <c r="S20" s="647"/>
      <c r="T20" s="95">
        <f t="shared" si="4"/>
        <v>0</v>
      </c>
      <c r="U20" s="473">
        <f t="shared" si="5"/>
        <v>0</v>
      </c>
    </row>
    <row r="21" spans="1:21" x14ac:dyDescent="0.25">
      <c r="A21" s="578" t="s">
        <v>80</v>
      </c>
      <c r="B21" s="578"/>
      <c r="C21" s="143">
        <v>0</v>
      </c>
      <c r="D21" s="143">
        <v>0</v>
      </c>
      <c r="E21" s="116">
        <f t="shared" si="1"/>
        <v>0</v>
      </c>
      <c r="F21" s="663">
        <f>'1461'!F21:G21</f>
        <v>3.6970000000000001</v>
      </c>
      <c r="G21" s="663"/>
      <c r="H21" s="80">
        <f t="shared" si="2"/>
        <v>0</v>
      </c>
      <c r="I21" s="101">
        <f t="shared" si="3"/>
        <v>0</v>
      </c>
      <c r="N21" s="601" t="s">
        <v>80</v>
      </c>
      <c r="O21" s="601"/>
      <c r="P21" s="642">
        <f t="shared" si="0"/>
        <v>0</v>
      </c>
      <c r="Q21" s="642"/>
      <c r="R21" s="647">
        <v>1</v>
      </c>
      <c r="S21" s="647"/>
      <c r="T21" s="95">
        <f t="shared" si="4"/>
        <v>0</v>
      </c>
      <c r="U21" s="473">
        <f t="shared" si="5"/>
        <v>0</v>
      </c>
    </row>
    <row r="22" spans="1:21" x14ac:dyDescent="0.25">
      <c r="A22" s="578" t="s">
        <v>81</v>
      </c>
      <c r="B22" s="578"/>
      <c r="C22" s="143">
        <v>0</v>
      </c>
      <c r="D22" s="143">
        <v>0</v>
      </c>
      <c r="E22" s="116">
        <f t="shared" si="1"/>
        <v>0</v>
      </c>
      <c r="F22" s="663">
        <f>'1461'!F22:G22</f>
        <v>3.6970000000000001</v>
      </c>
      <c r="G22" s="663"/>
      <c r="H22" s="80">
        <f t="shared" si="2"/>
        <v>0</v>
      </c>
      <c r="I22" s="101">
        <f t="shared" si="3"/>
        <v>0</v>
      </c>
      <c r="N22" s="601" t="s">
        <v>81</v>
      </c>
      <c r="O22" s="601"/>
      <c r="P22" s="642">
        <f t="shared" si="0"/>
        <v>0</v>
      </c>
      <c r="Q22" s="642"/>
      <c r="R22" s="647">
        <v>1</v>
      </c>
      <c r="S22" s="647"/>
      <c r="T22" s="95">
        <f t="shared" si="4"/>
        <v>0</v>
      </c>
      <c r="U22" s="473">
        <f t="shared" si="5"/>
        <v>0</v>
      </c>
    </row>
    <row r="23" spans="1:21" x14ac:dyDescent="0.25">
      <c r="A23" s="578" t="s">
        <v>82</v>
      </c>
      <c r="B23" s="578"/>
      <c r="C23" s="143">
        <v>0</v>
      </c>
      <c r="D23" s="143">
        <v>0</v>
      </c>
      <c r="E23" s="116">
        <f t="shared" si="1"/>
        <v>0</v>
      </c>
      <c r="F23" s="663">
        <f>'1461'!F23:G23</f>
        <v>5.992</v>
      </c>
      <c r="G23" s="663"/>
      <c r="H23" s="80">
        <f t="shared" si="2"/>
        <v>0</v>
      </c>
      <c r="I23" s="101">
        <f t="shared" si="3"/>
        <v>0</v>
      </c>
      <c r="N23" s="601" t="s">
        <v>82</v>
      </c>
      <c r="O23" s="601"/>
      <c r="P23" s="642">
        <f t="shared" si="0"/>
        <v>0</v>
      </c>
      <c r="Q23" s="642"/>
      <c r="R23" s="647">
        <v>1</v>
      </c>
      <c r="S23" s="647"/>
      <c r="T23" s="95">
        <f t="shared" si="4"/>
        <v>0</v>
      </c>
      <c r="U23" s="473">
        <f t="shared" si="5"/>
        <v>0</v>
      </c>
    </row>
    <row r="24" spans="1:21" x14ac:dyDescent="0.25">
      <c r="A24" s="578" t="s">
        <v>83</v>
      </c>
      <c r="B24" s="578"/>
      <c r="C24" s="143">
        <v>0</v>
      </c>
      <c r="D24" s="143">
        <v>0</v>
      </c>
      <c r="E24" s="116">
        <f t="shared" si="1"/>
        <v>0</v>
      </c>
      <c r="F24" s="663">
        <f>'1461'!F24:G24</f>
        <v>5.992</v>
      </c>
      <c r="G24" s="663"/>
      <c r="H24" s="80">
        <f t="shared" si="2"/>
        <v>0</v>
      </c>
      <c r="I24" s="101">
        <f t="shared" si="3"/>
        <v>0</v>
      </c>
      <c r="N24" s="601" t="s">
        <v>83</v>
      </c>
      <c r="O24" s="601"/>
      <c r="P24" s="642">
        <f t="shared" si="0"/>
        <v>0</v>
      </c>
      <c r="Q24" s="642"/>
      <c r="R24" s="647">
        <v>1</v>
      </c>
      <c r="S24" s="647"/>
      <c r="T24" s="95">
        <f t="shared" si="4"/>
        <v>0</v>
      </c>
      <c r="U24" s="473">
        <f t="shared" si="5"/>
        <v>0</v>
      </c>
    </row>
    <row r="25" spans="1:21" x14ac:dyDescent="0.25">
      <c r="A25" s="578" t="s">
        <v>84</v>
      </c>
      <c r="B25" s="578"/>
      <c r="C25" s="143">
        <v>0</v>
      </c>
      <c r="D25" s="143">
        <v>0</v>
      </c>
      <c r="E25" s="116">
        <f t="shared" si="1"/>
        <v>0</v>
      </c>
      <c r="F25" s="663">
        <f>'1461'!F25:G25</f>
        <v>5.992</v>
      </c>
      <c r="G25" s="663"/>
      <c r="H25" s="80">
        <f t="shared" si="2"/>
        <v>0</v>
      </c>
      <c r="I25" s="101">
        <f t="shared" si="3"/>
        <v>0</v>
      </c>
      <c r="N25" s="601" t="s">
        <v>84</v>
      </c>
      <c r="O25" s="601"/>
      <c r="P25" s="642">
        <f t="shared" si="0"/>
        <v>0</v>
      </c>
      <c r="Q25" s="642"/>
      <c r="R25" s="647">
        <v>1</v>
      </c>
      <c r="S25" s="647"/>
      <c r="T25" s="95">
        <f t="shared" si="4"/>
        <v>0</v>
      </c>
      <c r="U25" s="473">
        <f t="shared" si="5"/>
        <v>0</v>
      </c>
    </row>
    <row r="26" spans="1:21" x14ac:dyDescent="0.25">
      <c r="A26" s="578" t="s">
        <v>85</v>
      </c>
      <c r="B26" s="578"/>
      <c r="C26" s="143">
        <v>6.77</v>
      </c>
      <c r="D26" s="143">
        <v>6.45</v>
      </c>
      <c r="E26" s="116">
        <f t="shared" si="1"/>
        <v>13.219999999999999</v>
      </c>
      <c r="F26" s="663">
        <f>'1461'!F26:G26</f>
        <v>1.1919999999999999</v>
      </c>
      <c r="G26" s="663"/>
      <c r="H26" s="80">
        <f t="shared" si="2"/>
        <v>15.7582</v>
      </c>
      <c r="I26" s="101">
        <f t="shared" si="3"/>
        <v>87434.12</v>
      </c>
      <c r="N26" s="601" t="s">
        <v>85</v>
      </c>
      <c r="O26" s="601"/>
      <c r="P26" s="642">
        <f t="shared" si="0"/>
        <v>0</v>
      </c>
      <c r="Q26" s="642"/>
      <c r="R26" s="647">
        <v>1</v>
      </c>
      <c r="S26" s="647"/>
      <c r="T26" s="95">
        <f t="shared" si="4"/>
        <v>0</v>
      </c>
      <c r="U26" s="473">
        <f t="shared" si="5"/>
        <v>0</v>
      </c>
    </row>
    <row r="27" spans="1:21" x14ac:dyDescent="0.25">
      <c r="A27" s="578" t="s">
        <v>86</v>
      </c>
      <c r="B27" s="578"/>
      <c r="C27" s="143">
        <v>2.39</v>
      </c>
      <c r="D27" s="143">
        <v>0.97</v>
      </c>
      <c r="E27" s="116">
        <f t="shared" si="1"/>
        <v>3.3600000000000003</v>
      </c>
      <c r="F27" s="663">
        <f>'1461'!F27:G27</f>
        <v>1.1919999999999999</v>
      </c>
      <c r="G27" s="663"/>
      <c r="H27" s="80">
        <f t="shared" si="2"/>
        <v>4.0050999999999997</v>
      </c>
      <c r="I27" s="101">
        <f t="shared" si="3"/>
        <v>22222.23</v>
      </c>
      <c r="N27" s="601" t="s">
        <v>86</v>
      </c>
      <c r="O27" s="601"/>
      <c r="P27" s="642">
        <f t="shared" si="0"/>
        <v>0</v>
      </c>
      <c r="Q27" s="642"/>
      <c r="R27" s="647">
        <v>1</v>
      </c>
      <c r="S27" s="647"/>
      <c r="T27" s="95">
        <f t="shared" si="4"/>
        <v>0</v>
      </c>
      <c r="U27" s="473">
        <f t="shared" si="5"/>
        <v>0</v>
      </c>
    </row>
    <row r="28" spans="1:21" x14ac:dyDescent="0.25">
      <c r="A28" s="578" t="s">
        <v>87</v>
      </c>
      <c r="B28" s="578"/>
      <c r="C28" s="143">
        <v>0</v>
      </c>
      <c r="D28" s="143">
        <v>0</v>
      </c>
      <c r="E28" s="116">
        <f t="shared" si="1"/>
        <v>0</v>
      </c>
      <c r="F28" s="663">
        <f>'1461'!F28:G28</f>
        <v>1.1919999999999999</v>
      </c>
      <c r="G28" s="663"/>
      <c r="H28" s="80">
        <f t="shared" si="2"/>
        <v>0</v>
      </c>
      <c r="I28" s="101">
        <f t="shared" si="3"/>
        <v>0</v>
      </c>
      <c r="N28" s="601" t="s">
        <v>87</v>
      </c>
      <c r="O28" s="601"/>
      <c r="P28" s="642">
        <f t="shared" si="0"/>
        <v>0</v>
      </c>
      <c r="Q28" s="642"/>
      <c r="R28" s="647">
        <v>1</v>
      </c>
      <c r="S28" s="647"/>
      <c r="T28" s="95">
        <f t="shared" si="4"/>
        <v>0</v>
      </c>
      <c r="U28" s="473">
        <f t="shared" si="5"/>
        <v>0</v>
      </c>
    </row>
    <row r="29" spans="1:21" x14ac:dyDescent="0.25">
      <c r="A29" s="578" t="s">
        <v>88</v>
      </c>
      <c r="B29" s="578"/>
      <c r="C29" s="110">
        <v>0</v>
      </c>
      <c r="D29" s="110">
        <v>0</v>
      </c>
      <c r="E29" s="154">
        <f t="shared" si="1"/>
        <v>0</v>
      </c>
      <c r="F29" s="663">
        <f>'1461'!F29:G29</f>
        <v>1.079</v>
      </c>
      <c r="G29" s="663"/>
      <c r="H29" s="93">
        <f t="shared" si="2"/>
        <v>0</v>
      </c>
      <c r="I29" s="94">
        <f t="shared" si="3"/>
        <v>0</v>
      </c>
      <c r="N29" s="616" t="s">
        <v>88</v>
      </c>
      <c r="O29" s="616"/>
      <c r="P29" s="642">
        <f t="shared" si="0"/>
        <v>0</v>
      </c>
      <c r="Q29" s="642"/>
      <c r="R29" s="643">
        <v>1</v>
      </c>
      <c r="S29" s="643"/>
      <c r="T29" s="95">
        <f t="shared" si="4"/>
        <v>0</v>
      </c>
      <c r="U29" s="473">
        <f t="shared" si="5"/>
        <v>0</v>
      </c>
    </row>
    <row r="30" spans="1:21" x14ac:dyDescent="0.25">
      <c r="A30" s="590" t="s">
        <v>5</v>
      </c>
      <c r="B30" s="590"/>
      <c r="C30" s="94">
        <f>SUM(C14:C29)</f>
        <v>322.01999999999992</v>
      </c>
      <c r="D30" s="94">
        <f>SUM(D14:D29)</f>
        <v>321.57000000000005</v>
      </c>
      <c r="E30" s="94">
        <f>SUM(E14:E29)</f>
        <v>643.59</v>
      </c>
      <c r="F30" s="582"/>
      <c r="G30" s="582"/>
      <c r="H30" s="99">
        <f>SUM(H14:H29)</f>
        <v>674.09270000000004</v>
      </c>
      <c r="I30" s="94">
        <f>SUM(I14:I29)</f>
        <v>3740192.5500000003</v>
      </c>
      <c r="N30" s="644" t="s">
        <v>5</v>
      </c>
      <c r="O30" s="644"/>
      <c r="P30" s="645">
        <f>SUM(P14:P29)</f>
        <v>0</v>
      </c>
      <c r="Q30" s="645"/>
      <c r="R30" s="617"/>
      <c r="S30" s="617"/>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0" t="s">
        <v>233</v>
      </c>
      <c r="G34" s="670"/>
      <c r="H34" s="670"/>
      <c r="I34" s="101"/>
      <c r="N34" s="28"/>
      <c r="O34" s="28"/>
      <c r="P34" s="29"/>
      <c r="Q34" s="29"/>
      <c r="R34" s="30"/>
      <c r="S34" s="30"/>
      <c r="T34" s="102"/>
      <c r="U34" s="103"/>
    </row>
    <row r="35" spans="1:21" hidden="1" x14ac:dyDescent="0.25">
      <c r="A35" s="3"/>
      <c r="B35" s="69"/>
      <c r="C35" s="69"/>
      <c r="D35" s="69"/>
      <c r="E35" s="69"/>
      <c r="F35" s="670"/>
      <c r="G35" s="670"/>
      <c r="H35" s="670"/>
      <c r="I35" s="24" t="s">
        <v>61</v>
      </c>
      <c r="N35" s="627" t="s">
        <v>26</v>
      </c>
      <c r="O35" s="627"/>
      <c r="P35" s="627"/>
      <c r="Q35" s="627"/>
      <c r="R35" s="627"/>
      <c r="S35" s="627"/>
      <c r="T35" s="627"/>
      <c r="U35" s="25" t="str">
        <f>I35</f>
        <v>2015-16</v>
      </c>
    </row>
    <row r="36" spans="1:21" hidden="1" x14ac:dyDescent="0.25">
      <c r="A36" s="26"/>
      <c r="B36" s="26"/>
      <c r="C36" s="88" t="s">
        <v>93</v>
      </c>
      <c r="D36" s="88" t="s">
        <v>94</v>
      </c>
      <c r="E36" s="89" t="s">
        <v>8</v>
      </c>
      <c r="F36" s="670"/>
      <c r="G36" s="670"/>
      <c r="H36" s="670"/>
      <c r="I36" s="24" t="s">
        <v>27</v>
      </c>
      <c r="N36" s="28"/>
      <c r="O36" s="28"/>
      <c r="P36" s="29"/>
      <c r="Q36" s="29"/>
      <c r="R36" s="30"/>
      <c r="S36" s="30"/>
      <c r="T36" s="102"/>
      <c r="U36" s="25" t="s">
        <v>27</v>
      </c>
    </row>
    <row r="37" spans="1:21" ht="26.25" hidden="1" x14ac:dyDescent="0.25">
      <c r="A37" s="572" t="s">
        <v>50</v>
      </c>
      <c r="B37" s="572"/>
      <c r="C37" s="90" t="s">
        <v>2</v>
      </c>
      <c r="D37" s="90" t="s">
        <v>2</v>
      </c>
      <c r="E37" s="90" t="s">
        <v>2</v>
      </c>
      <c r="F37" s="671"/>
      <c r="G37" s="671"/>
      <c r="H37" s="671"/>
      <c r="I37" s="31" t="s">
        <v>395</v>
      </c>
      <c r="N37" s="639" t="s">
        <v>50</v>
      </c>
      <c r="O37" s="639"/>
      <c r="P37" s="640" t="s">
        <v>19</v>
      </c>
      <c r="Q37" s="640"/>
      <c r="R37" s="640"/>
      <c r="S37" s="640"/>
      <c r="T37" s="640"/>
      <c r="U37" s="19" t="str">
        <f>I37</f>
        <v>(WFTE x BSA x CWF x SDF)</v>
      </c>
    </row>
    <row r="38" spans="1:21" hidden="1" x14ac:dyDescent="0.25">
      <c r="A38" s="576" t="s">
        <v>45</v>
      </c>
      <c r="B38" s="576"/>
      <c r="C38" s="147">
        <v>0</v>
      </c>
      <c r="D38" s="147">
        <v>0</v>
      </c>
      <c r="E38" s="187">
        <f t="shared" ref="E38:E43" si="6">IF(D$44=0,C38*2,C38+D38)</f>
        <v>0</v>
      </c>
      <c r="F38" s="148"/>
      <c r="G38" s="148"/>
      <c r="H38" s="148"/>
      <c r="I38" s="111">
        <f>ROUND(ROUND(ROUND(E38*$C$8,4)*($H$8),2)*(MAX($H$9,1)),2)</f>
        <v>0</v>
      </c>
      <c r="N38" s="641" t="s">
        <v>45</v>
      </c>
      <c r="O38" s="641"/>
      <c r="P38" s="608">
        <f t="shared" ref="P38:P43" si="7">IF($H$133=1,E38,0)</f>
        <v>0</v>
      </c>
      <c r="Q38" s="608"/>
      <c r="R38" s="608"/>
      <c r="S38" s="608"/>
      <c r="T38" s="608"/>
      <c r="U38" s="98">
        <f>ROUND(ROUND(ROUND(P38*$C$8,4)*($H$8),2)*(MAX($H$9,1)),2)</f>
        <v>0</v>
      </c>
    </row>
    <row r="39" spans="1:21" hidden="1" x14ac:dyDescent="0.25">
      <c r="A39" s="578" t="s">
        <v>46</v>
      </c>
      <c r="B39" s="578"/>
      <c r="C39" s="150">
        <v>0</v>
      </c>
      <c r="D39" s="150">
        <v>0</v>
      </c>
      <c r="E39" s="116">
        <f t="shared" si="6"/>
        <v>0</v>
      </c>
      <c r="F39" s="151"/>
      <c r="G39" s="151"/>
      <c r="H39" s="151"/>
      <c r="I39" s="101">
        <f t="shared" ref="I39:I43" si="8">ROUND(ROUND(ROUND(E39*$C$8,4)*($H$8),2)*(MAX($H$9,1)),2)</f>
        <v>0</v>
      </c>
      <c r="N39" s="601" t="s">
        <v>46</v>
      </c>
      <c r="O39" s="601"/>
      <c r="P39" s="608">
        <f t="shared" si="7"/>
        <v>0</v>
      </c>
      <c r="Q39" s="608"/>
      <c r="R39" s="608"/>
      <c r="S39" s="608"/>
      <c r="T39" s="608"/>
      <c r="U39" s="98">
        <f t="shared" ref="U39:U43" si="9">ROUND(ROUND(ROUND(P39*$C$8,4)*($H$8),2)*(MAX($H$9,1)),2)</f>
        <v>0</v>
      </c>
    </row>
    <row r="40" spans="1:21" hidden="1" x14ac:dyDescent="0.25">
      <c r="A40" s="583" t="s">
        <v>47</v>
      </c>
      <c r="B40" s="583"/>
      <c r="C40" s="150">
        <v>0</v>
      </c>
      <c r="D40" s="150">
        <v>0</v>
      </c>
      <c r="E40" s="116">
        <f t="shared" si="6"/>
        <v>0</v>
      </c>
      <c r="F40" s="151"/>
      <c r="G40" s="151"/>
      <c r="H40" s="151"/>
      <c r="I40" s="101">
        <f t="shared" si="8"/>
        <v>0</v>
      </c>
      <c r="N40" s="646" t="s">
        <v>47</v>
      </c>
      <c r="O40" s="646"/>
      <c r="P40" s="608">
        <f t="shared" si="7"/>
        <v>0</v>
      </c>
      <c r="Q40" s="608"/>
      <c r="R40" s="608"/>
      <c r="S40" s="608"/>
      <c r="T40" s="608"/>
      <c r="U40" s="98">
        <f t="shared" si="9"/>
        <v>0</v>
      </c>
    </row>
    <row r="41" spans="1:21" hidden="1" x14ac:dyDescent="0.25">
      <c r="A41" s="578" t="s">
        <v>48</v>
      </c>
      <c r="B41" s="578"/>
      <c r="C41" s="150">
        <v>0</v>
      </c>
      <c r="D41" s="150">
        <v>0</v>
      </c>
      <c r="E41" s="116">
        <f t="shared" si="6"/>
        <v>0</v>
      </c>
      <c r="F41" s="151"/>
      <c r="G41" s="151"/>
      <c r="H41" s="151"/>
      <c r="I41" s="101">
        <f t="shared" si="8"/>
        <v>0</v>
      </c>
      <c r="N41" s="601" t="s">
        <v>48</v>
      </c>
      <c r="O41" s="601"/>
      <c r="P41" s="608">
        <f t="shared" si="7"/>
        <v>0</v>
      </c>
      <c r="Q41" s="608"/>
      <c r="R41" s="608"/>
      <c r="S41" s="608"/>
      <c r="T41" s="608"/>
      <c r="U41" s="98">
        <f t="shared" si="9"/>
        <v>0</v>
      </c>
    </row>
    <row r="42" spans="1:21" hidden="1" x14ac:dyDescent="0.25">
      <c r="A42" s="578" t="s">
        <v>49</v>
      </c>
      <c r="B42" s="578"/>
      <c r="C42" s="150">
        <v>0</v>
      </c>
      <c r="D42" s="150">
        <v>0</v>
      </c>
      <c r="E42" s="116">
        <f t="shared" si="6"/>
        <v>0</v>
      </c>
      <c r="F42" s="151"/>
      <c r="G42" s="151"/>
      <c r="H42" s="151"/>
      <c r="I42" s="101">
        <f t="shared" si="8"/>
        <v>0</v>
      </c>
      <c r="N42" s="601" t="s">
        <v>49</v>
      </c>
      <c r="O42" s="601"/>
      <c r="P42" s="608">
        <f t="shared" si="7"/>
        <v>0</v>
      </c>
      <c r="Q42" s="608"/>
      <c r="R42" s="608"/>
      <c r="S42" s="608"/>
      <c r="T42" s="608"/>
      <c r="U42" s="98">
        <f t="shared" si="9"/>
        <v>0</v>
      </c>
    </row>
    <row r="43" spans="1:21" hidden="1" x14ac:dyDescent="0.25">
      <c r="A43" s="578" t="s">
        <v>41</v>
      </c>
      <c r="B43" s="578"/>
      <c r="C43" s="149">
        <v>0</v>
      </c>
      <c r="D43" s="149">
        <v>0</v>
      </c>
      <c r="E43" s="154">
        <f t="shared" si="6"/>
        <v>0</v>
      </c>
      <c r="F43" s="151"/>
      <c r="G43" s="151"/>
      <c r="H43" s="151"/>
      <c r="I43" s="94">
        <f t="shared" si="8"/>
        <v>0</v>
      </c>
      <c r="N43" s="616" t="s">
        <v>41</v>
      </c>
      <c r="O43" s="616"/>
      <c r="P43" s="608">
        <f t="shared" si="7"/>
        <v>0</v>
      </c>
      <c r="Q43" s="608"/>
      <c r="R43" s="608"/>
      <c r="S43" s="608"/>
      <c r="T43" s="60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3" t="s">
        <v>43</v>
      </c>
      <c r="O44" s="603"/>
      <c r="P44" s="603"/>
      <c r="Q44" s="603"/>
      <c r="R44" s="33">
        <f>SUM(P38:R43)</f>
        <v>0</v>
      </c>
      <c r="S44" s="617" t="s">
        <v>51</v>
      </c>
      <c r="T44" s="617"/>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674.09270000000004</v>
      </c>
      <c r="F46" s="34"/>
      <c r="G46" s="106"/>
      <c r="H46" s="107" t="s">
        <v>98</v>
      </c>
      <c r="I46" s="94">
        <f>SUM(I44,I30)</f>
        <v>3740192.5500000003</v>
      </c>
      <c r="N46" s="603" t="s">
        <v>44</v>
      </c>
      <c r="O46" s="603"/>
      <c r="P46" s="603"/>
      <c r="Q46" s="603"/>
      <c r="R46" s="35">
        <f>R44+T30</f>
        <v>0</v>
      </c>
      <c r="S46" s="617" t="s">
        <v>42</v>
      </c>
      <c r="T46" s="617"/>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396</v>
      </c>
      <c r="B48" s="26"/>
      <c r="C48" s="26"/>
      <c r="D48" s="26"/>
      <c r="E48" s="26"/>
      <c r="F48" s="34"/>
      <c r="G48" s="27"/>
      <c r="H48" s="27"/>
      <c r="I48" s="101"/>
      <c r="N48" s="383" t="s">
        <v>396</v>
      </c>
      <c r="O48" s="28"/>
      <c r="P48" s="28"/>
      <c r="Q48" s="28"/>
      <c r="R48" s="35"/>
      <c r="S48" s="30"/>
      <c r="T48" s="30"/>
      <c r="U48" s="402"/>
    </row>
    <row r="49" spans="1:22" s="391" customFormat="1" ht="9" customHeight="1" x14ac:dyDescent="0.2">
      <c r="A49" s="481" t="s">
        <v>397</v>
      </c>
      <c r="F49" s="392"/>
      <c r="G49" s="393"/>
      <c r="H49" s="393"/>
      <c r="I49" s="394"/>
      <c r="N49" s="403" t="s">
        <v>397</v>
      </c>
      <c r="O49" s="395"/>
      <c r="P49" s="395"/>
      <c r="Q49" s="395"/>
      <c r="R49" s="396"/>
      <c r="S49" s="397"/>
      <c r="T49" s="397"/>
      <c r="U49" s="404"/>
    </row>
    <row r="50" spans="1:22" s="391" customFormat="1" ht="11.25" customHeight="1" x14ac:dyDescent="0.2">
      <c r="A50" s="483" t="s">
        <v>398</v>
      </c>
      <c r="F50" s="392"/>
      <c r="G50" s="393"/>
      <c r="H50" s="393"/>
      <c r="I50" s="394"/>
      <c r="N50" s="405" t="s">
        <v>398</v>
      </c>
      <c r="O50" s="395"/>
      <c r="P50" s="395"/>
      <c r="Q50" s="395"/>
      <c r="R50" s="396"/>
      <c r="S50" s="397"/>
      <c r="T50" s="397"/>
      <c r="U50" s="404"/>
    </row>
    <row r="51" spans="1:22" x14ac:dyDescent="0.25">
      <c r="A51" s="389"/>
      <c r="B51" s="399" t="s">
        <v>399</v>
      </c>
      <c r="C51" s="26"/>
      <c r="D51" s="26"/>
      <c r="E51" s="43" t="s">
        <v>400</v>
      </c>
      <c r="F51" s="400">
        <f>I46</f>
        <v>3740192.5500000003</v>
      </c>
      <c r="G51" s="109" t="s">
        <v>6</v>
      </c>
      <c r="H51" s="401">
        <v>4.5199999999999997E-2</v>
      </c>
      <c r="I51" s="101">
        <f>ROUND(F51*H51,2)</f>
        <v>169056.7</v>
      </c>
      <c r="N51" s="406"/>
      <c r="O51" s="407" t="s">
        <v>399</v>
      </c>
      <c r="P51" s="28"/>
      <c r="Q51" s="44" t="s">
        <v>400</v>
      </c>
      <c r="R51" s="408">
        <f>U30</f>
        <v>0</v>
      </c>
      <c r="S51" s="409" t="s">
        <v>6</v>
      </c>
      <c r="T51" s="410">
        <v>4.5199999999999997E-2</v>
      </c>
      <c r="U51" s="402">
        <f>ROUND(R51*T51,2)</f>
        <v>0</v>
      </c>
    </row>
    <row r="52" spans="1:22" x14ac:dyDescent="0.25">
      <c r="A52" s="26"/>
      <c r="B52" s="81" t="s">
        <v>401</v>
      </c>
      <c r="C52" s="26"/>
      <c r="D52" s="26"/>
      <c r="E52" s="43" t="s">
        <v>400</v>
      </c>
      <c r="F52" s="400">
        <f>I46</f>
        <v>3740192.5500000003</v>
      </c>
      <c r="G52" s="109" t="s">
        <v>6</v>
      </c>
      <c r="H52" s="401">
        <v>1.41E-2</v>
      </c>
      <c r="I52" s="101">
        <f>ROUND(F52*H52,2)</f>
        <v>52736.71</v>
      </c>
      <c r="N52" s="28"/>
      <c r="O52" s="383" t="s">
        <v>401</v>
      </c>
      <c r="P52" s="28"/>
      <c r="Q52" s="44" t="s">
        <v>400</v>
      </c>
      <c r="R52" s="408">
        <f>U30</f>
        <v>0</v>
      </c>
      <c r="S52" s="409" t="s">
        <v>6</v>
      </c>
      <c r="T52" s="410">
        <v>1.41E-2</v>
      </c>
      <c r="U52" s="411">
        <f>ROUND(R52*T52,2)</f>
        <v>0</v>
      </c>
    </row>
    <row r="53" spans="1:22" x14ac:dyDescent="0.25">
      <c r="A53" s="26"/>
      <c r="B53" s="81" t="s">
        <v>402</v>
      </c>
      <c r="C53" s="26"/>
      <c r="D53" s="26"/>
      <c r="E53" s="43"/>
      <c r="F53" s="400"/>
      <c r="G53" s="109"/>
      <c r="H53" s="401"/>
      <c r="I53" s="97">
        <f>SUM(I51:I52)</f>
        <v>221793.41</v>
      </c>
      <c r="N53" s="28"/>
      <c r="O53" s="383" t="s">
        <v>402</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440</v>
      </c>
      <c r="G55" s="109" t="s">
        <v>441</v>
      </c>
      <c r="H55" s="454" t="s">
        <v>442</v>
      </c>
      <c r="I55" s="101"/>
      <c r="N55" s="448"/>
      <c r="O55" s="448"/>
      <c r="P55" s="464"/>
      <c r="Q55" s="465"/>
      <c r="R55" s="466"/>
      <c r="S55" s="468" t="s">
        <v>441</v>
      </c>
      <c r="T55" s="469" t="s">
        <v>442</v>
      </c>
      <c r="U55" s="467"/>
      <c r="V55" s="424"/>
    </row>
    <row r="56" spans="1:22" x14ac:dyDescent="0.25">
      <c r="A56" s="36" t="s">
        <v>443</v>
      </c>
      <c r="B56" s="36"/>
      <c r="C56" s="324" t="str">
        <f>'1461'!C56</f>
        <v>FTE</v>
      </c>
      <c r="D56" s="324" t="str">
        <f>'1461'!D56</f>
        <v>FTE</v>
      </c>
      <c r="E56" s="90" t="s">
        <v>2</v>
      </c>
      <c r="F56" s="439" t="s">
        <v>444</v>
      </c>
      <c r="G56" s="441" t="s">
        <v>444</v>
      </c>
      <c r="H56" s="455" t="s">
        <v>445</v>
      </c>
      <c r="I56" s="36"/>
      <c r="N56" s="459" t="s">
        <v>443</v>
      </c>
      <c r="O56" s="459"/>
      <c r="P56" s="620" t="s">
        <v>2</v>
      </c>
      <c r="Q56" s="620"/>
      <c r="R56" s="459" t="s">
        <v>449</v>
      </c>
      <c r="S56" s="450" t="s">
        <v>444</v>
      </c>
      <c r="T56" s="470" t="s">
        <v>445</v>
      </c>
      <c r="U56" s="459"/>
      <c r="V56" s="458"/>
    </row>
    <row r="57" spans="1:22" x14ac:dyDescent="0.25">
      <c r="A57" s="588" t="s">
        <v>447</v>
      </c>
      <c r="B57" s="588"/>
      <c r="C57" s="143">
        <v>19</v>
      </c>
      <c r="D57" s="143">
        <v>19.59</v>
      </c>
      <c r="E57" s="116">
        <f t="shared" ref="E57:E65" si="10">IF(D$66=0,C57*2,C57+D57)</f>
        <v>38.590000000000003</v>
      </c>
      <c r="F57" s="443" t="s">
        <v>439</v>
      </c>
      <c r="G57" s="443">
        <v>251</v>
      </c>
      <c r="H57" s="457">
        <f>'1461'!H57</f>
        <v>1047</v>
      </c>
      <c r="I57" s="101">
        <f>ROUND(E57*H57,2)</f>
        <v>40403.730000000003</v>
      </c>
      <c r="N57" s="618" t="s">
        <v>447</v>
      </c>
      <c r="O57" s="618"/>
      <c r="P57" s="621"/>
      <c r="Q57" s="621"/>
      <c r="R57" s="449" t="s">
        <v>439</v>
      </c>
      <c r="S57" s="449">
        <v>251</v>
      </c>
      <c r="T57" s="460">
        <f>H57</f>
        <v>1047</v>
      </c>
      <c r="U57" s="474">
        <f>ROUND(P57*T57,2)</f>
        <v>0</v>
      </c>
      <c r="V57" s="424"/>
    </row>
    <row r="58" spans="1:22" x14ac:dyDescent="0.25">
      <c r="A58" s="589"/>
      <c r="B58" s="589"/>
      <c r="C58" s="143">
        <v>2</v>
      </c>
      <c r="D58" s="143">
        <v>2.41</v>
      </c>
      <c r="E58" s="116">
        <f t="shared" si="10"/>
        <v>4.41</v>
      </c>
      <c r="F58" s="443" t="s">
        <v>439</v>
      </c>
      <c r="G58" s="443">
        <v>252</v>
      </c>
      <c r="H58" s="457">
        <f>'1461'!H58</f>
        <v>3380</v>
      </c>
      <c r="I58" s="101">
        <f t="shared" ref="I58:I65" si="11">ROUND(E58*H58,2)</f>
        <v>14905.8</v>
      </c>
      <c r="N58" s="619"/>
      <c r="O58" s="619"/>
      <c r="P58" s="622"/>
      <c r="Q58" s="622"/>
      <c r="R58" s="449" t="s">
        <v>439</v>
      </c>
      <c r="S58" s="449">
        <v>252</v>
      </c>
      <c r="T58" s="460">
        <f t="shared" ref="T58:T65" si="12">H58</f>
        <v>3380</v>
      </c>
      <c r="U58" s="474">
        <f t="shared" ref="U58:U65" si="13">ROUND(P58*T58,2)</f>
        <v>0</v>
      </c>
      <c r="V58" s="424"/>
    </row>
    <row r="59" spans="1:22" x14ac:dyDescent="0.25">
      <c r="A59" s="589"/>
      <c r="B59" s="589"/>
      <c r="C59" s="143">
        <v>0</v>
      </c>
      <c r="D59" s="143">
        <v>0</v>
      </c>
      <c r="E59" s="116">
        <f t="shared" si="10"/>
        <v>0</v>
      </c>
      <c r="F59" s="443" t="s">
        <v>439</v>
      </c>
      <c r="G59" s="443">
        <v>253</v>
      </c>
      <c r="H59" s="457">
        <f>'1461'!H59</f>
        <v>6896</v>
      </c>
      <c r="I59" s="101">
        <f t="shared" si="11"/>
        <v>0</v>
      </c>
      <c r="N59" s="619"/>
      <c r="O59" s="619"/>
      <c r="P59" s="622"/>
      <c r="Q59" s="622"/>
      <c r="R59" s="449" t="s">
        <v>439</v>
      </c>
      <c r="S59" s="449">
        <v>253</v>
      </c>
      <c r="T59" s="460">
        <f t="shared" si="12"/>
        <v>6896</v>
      </c>
      <c r="U59" s="474">
        <f t="shared" si="13"/>
        <v>0</v>
      </c>
      <c r="V59" s="424"/>
    </row>
    <row r="60" spans="1:22" x14ac:dyDescent="0.25">
      <c r="A60" s="589"/>
      <c r="B60" s="589"/>
      <c r="C60" s="143">
        <v>36.380000000000003</v>
      </c>
      <c r="D60" s="143">
        <v>33.17</v>
      </c>
      <c r="E60" s="116">
        <f t="shared" si="10"/>
        <v>69.550000000000011</v>
      </c>
      <c r="F60" s="444" t="s">
        <v>13</v>
      </c>
      <c r="G60" s="443">
        <v>251</v>
      </c>
      <c r="H60" s="457">
        <f>'1461'!H60</f>
        <v>1173</v>
      </c>
      <c r="I60" s="101">
        <f t="shared" si="11"/>
        <v>81582.149999999994</v>
      </c>
      <c r="N60" s="619"/>
      <c r="O60" s="619"/>
      <c r="P60" s="622"/>
      <c r="Q60" s="622"/>
      <c r="R60" s="40" t="s">
        <v>13</v>
      </c>
      <c r="S60" s="449">
        <v>251</v>
      </c>
      <c r="T60" s="460">
        <f t="shared" si="12"/>
        <v>1173</v>
      </c>
      <c r="U60" s="474">
        <f t="shared" si="13"/>
        <v>0</v>
      </c>
      <c r="V60" s="424"/>
    </row>
    <row r="61" spans="1:22" x14ac:dyDescent="0.25">
      <c r="A61" s="589"/>
      <c r="B61" s="589"/>
      <c r="C61" s="143">
        <v>7.02</v>
      </c>
      <c r="D61" s="143">
        <v>8.4700000000000006</v>
      </c>
      <c r="E61" s="116">
        <f t="shared" si="10"/>
        <v>15.49</v>
      </c>
      <c r="F61" s="444" t="s">
        <v>13</v>
      </c>
      <c r="G61" s="443">
        <v>252</v>
      </c>
      <c r="H61" s="457">
        <f>'1461'!H61</f>
        <v>3506</v>
      </c>
      <c r="I61" s="101">
        <f t="shared" si="11"/>
        <v>54307.94</v>
      </c>
      <c r="N61" s="619"/>
      <c r="O61" s="619"/>
      <c r="P61" s="622"/>
      <c r="Q61" s="622"/>
      <c r="R61" s="40" t="s">
        <v>13</v>
      </c>
      <c r="S61" s="449">
        <v>252</v>
      </c>
      <c r="T61" s="460">
        <f t="shared" si="12"/>
        <v>3506</v>
      </c>
      <c r="U61" s="474">
        <f t="shared" si="13"/>
        <v>0</v>
      </c>
      <c r="V61" s="424"/>
    </row>
    <row r="62" spans="1:22" x14ac:dyDescent="0.25">
      <c r="A62" s="589"/>
      <c r="B62" s="589"/>
      <c r="C62" s="143">
        <v>0.5</v>
      </c>
      <c r="D62" s="143">
        <v>0.4</v>
      </c>
      <c r="E62" s="116">
        <f t="shared" si="10"/>
        <v>0.9</v>
      </c>
      <c r="F62" s="444" t="s">
        <v>13</v>
      </c>
      <c r="G62" s="443">
        <v>253</v>
      </c>
      <c r="H62" s="457">
        <f>'1461'!H62</f>
        <v>7023</v>
      </c>
      <c r="I62" s="101">
        <f t="shared" si="11"/>
        <v>6320.7</v>
      </c>
      <c r="N62" s="619"/>
      <c r="O62" s="619"/>
      <c r="P62" s="622"/>
      <c r="Q62" s="622"/>
      <c r="R62" s="40" t="s">
        <v>13</v>
      </c>
      <c r="S62" s="449">
        <v>253</v>
      </c>
      <c r="T62" s="460">
        <f t="shared" si="12"/>
        <v>7023</v>
      </c>
      <c r="U62" s="474">
        <f t="shared" si="13"/>
        <v>0</v>
      </c>
      <c r="V62" s="424"/>
    </row>
    <row r="63" spans="1:22" x14ac:dyDescent="0.25">
      <c r="A63" s="589"/>
      <c r="B63" s="589"/>
      <c r="C63" s="143">
        <v>0</v>
      </c>
      <c r="D63" s="143">
        <v>0</v>
      </c>
      <c r="E63" s="116">
        <f t="shared" si="10"/>
        <v>0</v>
      </c>
      <c r="F63" s="444" t="s">
        <v>14</v>
      </c>
      <c r="G63" s="443">
        <v>251</v>
      </c>
      <c r="H63" s="457">
        <f>'1461'!H63</f>
        <v>835</v>
      </c>
      <c r="I63" s="101">
        <f t="shared" si="11"/>
        <v>0</v>
      </c>
      <c r="N63" s="619"/>
      <c r="O63" s="619"/>
      <c r="P63" s="622"/>
      <c r="Q63" s="622"/>
      <c r="R63" s="40" t="s">
        <v>14</v>
      </c>
      <c r="S63" s="449">
        <v>251</v>
      </c>
      <c r="T63" s="460">
        <f t="shared" si="12"/>
        <v>835</v>
      </c>
      <c r="U63" s="474">
        <f t="shared" si="13"/>
        <v>0</v>
      </c>
      <c r="V63" s="424"/>
    </row>
    <row r="64" spans="1:22" x14ac:dyDescent="0.25">
      <c r="A64" s="589"/>
      <c r="B64" s="589"/>
      <c r="C64" s="143">
        <v>0</v>
      </c>
      <c r="D64" s="143">
        <v>0</v>
      </c>
      <c r="E64" s="116">
        <f t="shared" si="10"/>
        <v>0</v>
      </c>
      <c r="F64" s="444" t="s">
        <v>14</v>
      </c>
      <c r="G64" s="443">
        <v>252</v>
      </c>
      <c r="H64" s="457">
        <f>'1461'!H64</f>
        <v>3168</v>
      </c>
      <c r="I64" s="101">
        <f t="shared" si="11"/>
        <v>0</v>
      </c>
      <c r="N64" s="619"/>
      <c r="O64" s="619"/>
      <c r="P64" s="622"/>
      <c r="Q64" s="622"/>
      <c r="R64" s="40" t="s">
        <v>14</v>
      </c>
      <c r="S64" s="449">
        <v>252</v>
      </c>
      <c r="T64" s="460">
        <f t="shared" si="12"/>
        <v>3168</v>
      </c>
      <c r="U64" s="474">
        <f t="shared" si="13"/>
        <v>0</v>
      </c>
      <c r="V64" s="424"/>
    </row>
    <row r="65" spans="1:22" ht="16.5" thickBot="1" x14ac:dyDescent="0.3">
      <c r="A65" s="589"/>
      <c r="B65" s="589"/>
      <c r="C65" s="143">
        <v>0</v>
      </c>
      <c r="D65" s="143">
        <v>0</v>
      </c>
      <c r="E65" s="116">
        <f t="shared" si="10"/>
        <v>0</v>
      </c>
      <c r="F65" s="444" t="s">
        <v>14</v>
      </c>
      <c r="G65" s="443">
        <v>253</v>
      </c>
      <c r="H65" s="457">
        <f>'1461'!H65</f>
        <v>6685</v>
      </c>
      <c r="I65" s="101">
        <f t="shared" si="11"/>
        <v>0</v>
      </c>
      <c r="N65" s="619"/>
      <c r="O65" s="619"/>
      <c r="P65" s="623"/>
      <c r="Q65" s="623"/>
      <c r="R65" s="40" t="s">
        <v>14</v>
      </c>
      <c r="S65" s="449">
        <v>253</v>
      </c>
      <c r="T65" s="460">
        <f t="shared" si="12"/>
        <v>6685</v>
      </c>
      <c r="U65" s="475">
        <f t="shared" si="13"/>
        <v>0</v>
      </c>
      <c r="V65" s="424"/>
    </row>
    <row r="66" spans="1:22" ht="16.5" thickBot="1" x14ac:dyDescent="0.3">
      <c r="A66" s="440"/>
      <c r="C66" s="97">
        <f>SUM(C57:C65)</f>
        <v>64.900000000000006</v>
      </c>
      <c r="D66" s="97">
        <f>SUM(D57:D65)</f>
        <v>64.040000000000006</v>
      </c>
      <c r="E66" s="97">
        <f>SUM(E57:E65)</f>
        <v>128.94000000000003</v>
      </c>
      <c r="F66" s="590" t="s">
        <v>448</v>
      </c>
      <c r="G66" s="590"/>
      <c r="H66" s="590"/>
      <c r="I66" s="97">
        <f>SUM(I57:I65)</f>
        <v>197520.32</v>
      </c>
      <c r="N66" s="446"/>
      <c r="O66" s="51"/>
      <c r="P66" s="602">
        <f>SUM(P57:P65)</f>
        <v>0</v>
      </c>
      <c r="Q66" s="602"/>
      <c r="R66" s="603" t="s">
        <v>448</v>
      </c>
      <c r="S66" s="603"/>
      <c r="T66" s="603"/>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450</v>
      </c>
      <c r="N68" s="453" t="s">
        <v>458</v>
      </c>
      <c r="O68" s="51"/>
      <c r="P68" s="51"/>
      <c r="Q68" s="51"/>
      <c r="R68" s="51"/>
      <c r="S68" s="51"/>
      <c r="T68" s="51"/>
      <c r="U68" s="51"/>
    </row>
    <row r="69" spans="1:22" x14ac:dyDescent="0.25">
      <c r="A69" s="584" t="s">
        <v>403</v>
      </c>
      <c r="B69" s="578"/>
      <c r="C69" s="112">
        <f>E30</f>
        <v>643.59</v>
      </c>
      <c r="D69" s="565" t="s">
        <v>414</v>
      </c>
      <c r="E69" s="565"/>
      <c r="F69" s="565"/>
      <c r="G69" s="565"/>
      <c r="H69" s="300">
        <f>'1461'!H69</f>
        <v>210228.91</v>
      </c>
      <c r="I69" s="113"/>
      <c r="N69" s="600" t="s">
        <v>407</v>
      </c>
      <c r="O69" s="601"/>
      <c r="P69" s="41">
        <f>P30</f>
        <v>0</v>
      </c>
      <c r="Q69" s="606" t="s">
        <v>409</v>
      </c>
      <c r="R69" s="607"/>
      <c r="S69" s="607"/>
      <c r="T69" s="604">
        <f>H69</f>
        <v>210228.91</v>
      </c>
      <c r="U69" s="604"/>
    </row>
    <row r="70" spans="1:22" x14ac:dyDescent="0.25">
      <c r="B70" s="69"/>
      <c r="G70" s="42" t="s">
        <v>12</v>
      </c>
      <c r="H70" s="114">
        <f>ROUND(C69/H69,6)</f>
        <v>3.0609999999999999E-3</v>
      </c>
      <c r="I70" s="115"/>
      <c r="N70" s="601"/>
      <c r="O70" s="601"/>
      <c r="P70" s="601"/>
      <c r="Q70" s="601"/>
      <c r="R70" s="601"/>
      <c r="S70" s="601"/>
      <c r="T70" s="605">
        <f>ROUND(P69/T69,6)</f>
        <v>0</v>
      </c>
      <c r="U70" s="605"/>
    </row>
    <row r="71" spans="1:22" x14ac:dyDescent="0.25">
      <c r="A71" s="442" t="s">
        <v>451</v>
      </c>
      <c r="N71" s="453" t="s">
        <v>459</v>
      </c>
      <c r="O71" s="51"/>
      <c r="P71" s="51"/>
      <c r="Q71" s="51"/>
      <c r="R71" s="51"/>
      <c r="S71" s="51"/>
      <c r="T71" s="51"/>
      <c r="U71" s="51"/>
    </row>
    <row r="72" spans="1:22" x14ac:dyDescent="0.25">
      <c r="A72" s="584" t="s">
        <v>404</v>
      </c>
      <c r="B72" s="578"/>
      <c r="C72" s="112">
        <f>H30</f>
        <v>674.09270000000004</v>
      </c>
      <c r="D72" s="565" t="s">
        <v>415</v>
      </c>
      <c r="E72" s="565"/>
      <c r="F72" s="565"/>
      <c r="G72" s="565"/>
      <c r="H72" s="301">
        <f>'1461'!H72</f>
        <v>234891.44</v>
      </c>
      <c r="I72" s="116"/>
      <c r="N72" s="600" t="s">
        <v>408</v>
      </c>
      <c r="O72" s="601"/>
      <c r="P72" s="41">
        <f>T30</f>
        <v>0</v>
      </c>
      <c r="Q72" s="606" t="s">
        <v>410</v>
      </c>
      <c r="R72" s="607"/>
      <c r="S72" s="607"/>
      <c r="T72" s="604">
        <f>H72</f>
        <v>234891.44</v>
      </c>
      <c r="U72" s="604"/>
    </row>
    <row r="73" spans="1:22" x14ac:dyDescent="0.25">
      <c r="G73" s="42" t="s">
        <v>12</v>
      </c>
      <c r="H73" s="114">
        <f>ROUND(C72/H72,6)</f>
        <v>2.8700000000000002E-3</v>
      </c>
      <c r="I73" s="114"/>
      <c r="N73" s="601"/>
      <c r="O73" s="601"/>
      <c r="P73" s="601"/>
      <c r="Q73" s="601"/>
      <c r="R73" s="601"/>
      <c r="S73" s="601"/>
      <c r="T73" s="605">
        <f>ROUND(P72/T72,6)</f>
        <v>0</v>
      </c>
      <c r="U73" s="605"/>
    </row>
    <row r="74" spans="1:22" x14ac:dyDescent="0.25">
      <c r="A74" s="417" t="s">
        <v>452</v>
      </c>
      <c r="B74" s="414"/>
      <c r="C74" s="414"/>
      <c r="D74" s="414"/>
      <c r="E74" s="414"/>
      <c r="F74" s="414"/>
      <c r="G74" s="414"/>
      <c r="H74" s="414"/>
      <c r="I74" s="414"/>
      <c r="N74" s="416" t="s">
        <v>460</v>
      </c>
      <c r="O74" s="415"/>
      <c r="P74" s="415"/>
      <c r="Q74" s="415"/>
      <c r="R74" s="415"/>
      <c r="S74" s="415"/>
      <c r="T74" s="415"/>
      <c r="U74" s="415"/>
      <c r="V74" s="414"/>
    </row>
    <row r="75" spans="1:22" x14ac:dyDescent="0.25">
      <c r="A75" s="584" t="s">
        <v>405</v>
      </c>
      <c r="B75" s="578"/>
      <c r="C75" s="112">
        <f>E30</f>
        <v>643.59</v>
      </c>
      <c r="D75" s="557" t="s">
        <v>416</v>
      </c>
      <c r="E75" s="557"/>
      <c r="F75" s="557"/>
      <c r="G75" s="557"/>
      <c r="H75" s="300">
        <f>'1461'!H75</f>
        <v>187665.41</v>
      </c>
      <c r="I75" s="113"/>
      <c r="N75" s="600" t="s">
        <v>406</v>
      </c>
      <c r="O75" s="601"/>
      <c r="P75" s="41">
        <f>P30</f>
        <v>0</v>
      </c>
      <c r="Q75" s="636" t="s">
        <v>411</v>
      </c>
      <c r="R75" s="637"/>
      <c r="S75" s="637"/>
      <c r="T75" s="604">
        <f>H75</f>
        <v>187665.41</v>
      </c>
      <c r="U75" s="604"/>
    </row>
    <row r="76" spans="1:22" x14ac:dyDescent="0.25">
      <c r="B76" s="69"/>
      <c r="G76" s="42" t="s">
        <v>12</v>
      </c>
      <c r="H76" s="114">
        <f>ROUND(C75/H75,6)</f>
        <v>3.4290000000000002E-3</v>
      </c>
      <c r="I76" s="115"/>
      <c r="N76" s="601"/>
      <c r="O76" s="601"/>
      <c r="P76" s="601"/>
      <c r="Q76" s="601"/>
      <c r="R76" s="601"/>
      <c r="S76" s="601"/>
      <c r="T76" s="605">
        <f>ROUND(P75/T75,6)</f>
        <v>0</v>
      </c>
      <c r="U76" s="605"/>
    </row>
    <row r="77" spans="1:22" x14ac:dyDescent="0.25">
      <c r="A77" s="417" t="s">
        <v>453</v>
      </c>
      <c r="B77" s="414"/>
      <c r="C77" s="414"/>
      <c r="D77" s="414"/>
      <c r="E77" s="414"/>
      <c r="F77" s="414"/>
      <c r="G77" s="414"/>
      <c r="H77" s="414"/>
      <c r="I77" s="414"/>
      <c r="N77" s="416" t="s">
        <v>461</v>
      </c>
      <c r="O77" s="415"/>
      <c r="P77" s="415"/>
      <c r="Q77" s="415"/>
      <c r="R77" s="415"/>
      <c r="S77" s="415"/>
      <c r="T77" s="415"/>
      <c r="U77" s="415"/>
      <c r="V77" s="414"/>
    </row>
    <row r="78" spans="1:22" x14ac:dyDescent="0.25">
      <c r="A78" s="584" t="s">
        <v>405</v>
      </c>
      <c r="B78" s="578"/>
      <c r="C78" s="112">
        <f>E30</f>
        <v>643.59</v>
      </c>
      <c r="D78" s="585" t="s">
        <v>417</v>
      </c>
      <c r="E78" s="585"/>
      <c r="F78" s="585"/>
      <c r="G78" s="585"/>
      <c r="H78" s="300">
        <f>'1461'!H78</f>
        <v>209892.26</v>
      </c>
      <c r="I78" s="113"/>
      <c r="N78" s="600" t="s">
        <v>406</v>
      </c>
      <c r="O78" s="601"/>
      <c r="P78" s="41">
        <f>P30</f>
        <v>0</v>
      </c>
      <c r="Q78" s="634" t="s">
        <v>412</v>
      </c>
      <c r="R78" s="635"/>
      <c r="S78" s="635"/>
      <c r="T78" s="604">
        <f>H78</f>
        <v>209892.26</v>
      </c>
      <c r="U78" s="604"/>
    </row>
    <row r="79" spans="1:22" x14ac:dyDescent="0.25">
      <c r="B79" s="69"/>
      <c r="G79" s="42" t="s">
        <v>12</v>
      </c>
      <c r="H79" s="114">
        <f>ROUND(C78/H78,6)</f>
        <v>3.0660000000000001E-3</v>
      </c>
      <c r="I79" s="115"/>
      <c r="N79" s="601"/>
      <c r="O79" s="601"/>
      <c r="P79" s="601"/>
      <c r="Q79" s="601"/>
      <c r="R79" s="601"/>
      <c r="S79" s="601"/>
      <c r="T79" s="605">
        <f>ROUND(P78/T78,6)</f>
        <v>0</v>
      </c>
      <c r="U79" s="605"/>
    </row>
    <row r="80" spans="1:22" x14ac:dyDescent="0.25">
      <c r="A80" s="417" t="s">
        <v>454</v>
      </c>
      <c r="B80" s="414"/>
      <c r="C80" s="414"/>
      <c r="D80" s="414"/>
      <c r="E80" s="414"/>
      <c r="F80" s="414"/>
      <c r="G80" s="414"/>
      <c r="H80" s="414"/>
      <c r="I80" s="414"/>
      <c r="N80" s="416" t="s">
        <v>462</v>
      </c>
      <c r="O80" s="415"/>
      <c r="P80" s="415"/>
      <c r="Q80" s="415"/>
      <c r="R80" s="415"/>
      <c r="S80" s="415"/>
      <c r="T80" s="415"/>
      <c r="U80" s="415"/>
      <c r="V80" s="414"/>
    </row>
    <row r="81" spans="1:21" x14ac:dyDescent="0.25">
      <c r="A81" s="584" t="s">
        <v>413</v>
      </c>
      <c r="B81" s="578"/>
      <c r="C81" s="112">
        <f>E30</f>
        <v>643.59</v>
      </c>
      <c r="D81" s="557" t="s">
        <v>418</v>
      </c>
      <c r="E81" s="557"/>
      <c r="F81" s="557"/>
      <c r="G81" s="557"/>
      <c r="H81" s="300">
        <f>'1461'!H81</f>
        <v>187328.76</v>
      </c>
      <c r="I81" s="113"/>
      <c r="N81" s="600" t="s">
        <v>419</v>
      </c>
      <c r="O81" s="601"/>
      <c r="P81" s="41">
        <f>P30</f>
        <v>0</v>
      </c>
      <c r="Q81" s="636" t="s">
        <v>420</v>
      </c>
      <c r="R81" s="637"/>
      <c r="S81" s="637"/>
      <c r="T81" s="604">
        <f>H81</f>
        <v>187328.76</v>
      </c>
      <c r="U81" s="604"/>
    </row>
    <row r="82" spans="1:21" x14ac:dyDescent="0.25">
      <c r="B82" s="69"/>
      <c r="G82" s="42" t="s">
        <v>12</v>
      </c>
      <c r="H82" s="114">
        <f>ROUND(C81/H81,6)</f>
        <v>3.4359999999999998E-3</v>
      </c>
      <c r="I82" s="115"/>
      <c r="N82" s="601"/>
      <c r="O82" s="601"/>
      <c r="P82" s="601"/>
      <c r="Q82" s="601"/>
      <c r="R82" s="601"/>
      <c r="S82" s="601"/>
      <c r="T82" s="605">
        <f>ROUND(P81/T81,6)</f>
        <v>0</v>
      </c>
      <c r="U82" s="605"/>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455</v>
      </c>
      <c r="D85" s="69"/>
      <c r="E85" s="43" t="s">
        <v>299</v>
      </c>
      <c r="F85" s="302">
        <f>'1461'!F85</f>
        <v>46163704</v>
      </c>
      <c r="G85" s="37" t="s">
        <v>6</v>
      </c>
      <c r="H85" s="422">
        <f>H79</f>
        <v>3.0660000000000001E-3</v>
      </c>
      <c r="I85" s="101">
        <f>ROUND(F85*H85,2)</f>
        <v>141537.92000000001</v>
      </c>
      <c r="N85" s="453" t="s">
        <v>455</v>
      </c>
      <c r="O85" s="51"/>
      <c r="P85" s="51"/>
      <c r="Q85" s="44"/>
      <c r="R85" s="419">
        <f>F85</f>
        <v>46163704</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87" t="s">
        <v>71</v>
      </c>
      <c r="B87" s="578"/>
      <c r="C87" s="578"/>
      <c r="D87" s="69"/>
      <c r="E87" s="43"/>
      <c r="F87" s="117"/>
      <c r="G87" s="37"/>
      <c r="H87" s="422"/>
      <c r="I87" s="101"/>
      <c r="N87" s="600" t="s">
        <v>463</v>
      </c>
      <c r="O87" s="601"/>
      <c r="P87" s="601"/>
      <c r="Q87" s="51"/>
      <c r="R87" s="420"/>
      <c r="S87" s="51"/>
      <c r="T87" s="38"/>
      <c r="U87" s="478"/>
    </row>
    <row r="88" spans="1:21" x14ac:dyDescent="0.25">
      <c r="A88" s="587" t="s">
        <v>99</v>
      </c>
      <c r="B88" s="578"/>
      <c r="C88" s="578"/>
      <c r="D88" s="69"/>
      <c r="E88" s="43" t="s">
        <v>3</v>
      </c>
      <c r="F88" s="302">
        <f>'1461'!F88</f>
        <v>0</v>
      </c>
      <c r="G88" s="37" t="s">
        <v>6</v>
      </c>
      <c r="H88" s="422">
        <f>H70</f>
        <v>3.0609999999999999E-3</v>
      </c>
      <c r="I88" s="101">
        <f>ROUND(F88*H88,2)</f>
        <v>0</v>
      </c>
      <c r="N88" s="638" t="s">
        <v>99</v>
      </c>
      <c r="O88" s="601"/>
      <c r="P88" s="601"/>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456</v>
      </c>
      <c r="D90" s="69"/>
      <c r="E90" s="43" t="s">
        <v>421</v>
      </c>
      <c r="F90" s="302">
        <f>'1461'!F90</f>
        <v>19042026</v>
      </c>
      <c r="G90" s="37" t="s">
        <v>6</v>
      </c>
      <c r="H90" s="422">
        <f>H82</f>
        <v>3.4359999999999998E-3</v>
      </c>
      <c r="I90" s="101">
        <f>ROUND(F90*H90,2)</f>
        <v>65428.4</v>
      </c>
      <c r="N90" s="453" t="s">
        <v>456</v>
      </c>
      <c r="O90" s="51"/>
      <c r="P90" s="51"/>
      <c r="Q90" s="44"/>
      <c r="R90" s="419">
        <f>F90</f>
        <v>19042026</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457</v>
      </c>
      <c r="D92" s="69"/>
      <c r="E92" s="43" t="s">
        <v>3</v>
      </c>
      <c r="F92" s="302">
        <f>'1461'!F92</f>
        <v>11441151</v>
      </c>
      <c r="G92" s="37" t="s">
        <v>6</v>
      </c>
      <c r="H92" s="422">
        <f>H76</f>
        <v>3.4290000000000002E-3</v>
      </c>
      <c r="I92" s="101">
        <f t="shared" ref="I92:I96" si="14">ROUND(F92*H92,2)</f>
        <v>39231.71</v>
      </c>
      <c r="N92" s="453" t="s">
        <v>457</v>
      </c>
      <c r="O92" s="51"/>
      <c r="P92" s="51"/>
      <c r="Q92" s="44"/>
      <c r="R92" s="419">
        <f t="shared" ref="R92:R96" si="15">F92</f>
        <v>11441151</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84" t="s">
        <v>422</v>
      </c>
      <c r="B94" s="578"/>
      <c r="C94" s="578"/>
      <c r="D94" s="69"/>
      <c r="E94" s="43" t="s">
        <v>4</v>
      </c>
      <c r="F94" s="302">
        <f>'1461'!F94</f>
        <v>247265670</v>
      </c>
      <c r="G94" s="37" t="s">
        <v>6</v>
      </c>
      <c r="H94" s="422">
        <f>H73</f>
        <v>2.8700000000000002E-3</v>
      </c>
      <c r="I94" s="101">
        <f t="shared" si="14"/>
        <v>709652.47</v>
      </c>
      <c r="N94" s="601" t="s">
        <v>422</v>
      </c>
      <c r="O94" s="601"/>
      <c r="P94" s="601"/>
      <c r="Q94" s="44"/>
      <c r="R94" s="419">
        <f t="shared" si="15"/>
        <v>247265670</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4" t="s">
        <v>423</v>
      </c>
      <c r="B96" s="578"/>
      <c r="C96" s="578"/>
      <c r="D96" s="69"/>
      <c r="E96" s="43" t="s">
        <v>4</v>
      </c>
      <c r="F96" s="302">
        <f>'1461'!F96</f>
        <v>0</v>
      </c>
      <c r="G96" s="37" t="s">
        <v>6</v>
      </c>
      <c r="H96" s="422">
        <f>H73</f>
        <v>2.8700000000000002E-3</v>
      </c>
      <c r="I96" s="101">
        <f t="shared" si="14"/>
        <v>0</v>
      </c>
      <c r="N96" s="600" t="s">
        <v>423</v>
      </c>
      <c r="O96" s="601"/>
      <c r="P96" s="601"/>
      <c r="Q96" s="44"/>
      <c r="R96" s="419">
        <f t="shared" si="15"/>
        <v>0</v>
      </c>
      <c r="S96" s="38" t="s">
        <v>6</v>
      </c>
      <c r="T96" s="421">
        <f>T73</f>
        <v>0</v>
      </c>
      <c r="U96" s="473">
        <f>ROUND(R96*T96,2)</f>
        <v>0</v>
      </c>
    </row>
    <row r="97" spans="1:21" x14ac:dyDescent="0.25">
      <c r="A97" s="530"/>
      <c r="B97" s="529"/>
      <c r="C97" s="529"/>
      <c r="D97" s="529"/>
      <c r="E97" s="527"/>
      <c r="F97" s="117"/>
      <c r="G97" s="528"/>
      <c r="H97" s="422"/>
      <c r="I97" s="101"/>
      <c r="N97" s="533"/>
      <c r="O97" s="532"/>
      <c r="P97" s="532"/>
      <c r="Q97" s="44"/>
      <c r="R97" s="535"/>
      <c r="S97" s="534"/>
      <c r="T97" s="421"/>
      <c r="U97" s="477"/>
    </row>
    <row r="98" spans="1:21" x14ac:dyDescent="0.25">
      <c r="A98" s="530" t="s">
        <v>497</v>
      </c>
      <c r="B98" s="529"/>
      <c r="C98" s="529"/>
      <c r="D98" s="529"/>
      <c r="E98" s="527" t="s">
        <v>3</v>
      </c>
      <c r="F98" s="290">
        <v>0</v>
      </c>
      <c r="G98" s="528" t="s">
        <v>6</v>
      </c>
      <c r="H98" s="422">
        <f>H70</f>
        <v>3.0609999999999999E-3</v>
      </c>
      <c r="I98" s="101">
        <f t="shared" ref="I98" si="16">ROUND(F98*H98,2)</f>
        <v>0</v>
      </c>
      <c r="N98" s="533" t="s">
        <v>497</v>
      </c>
      <c r="O98" s="533"/>
      <c r="P98" s="533"/>
      <c r="Q98" s="44"/>
      <c r="R98" s="536">
        <f>F98</f>
        <v>0</v>
      </c>
      <c r="S98" s="534" t="s">
        <v>6</v>
      </c>
      <c r="T98" s="421">
        <f>T70</f>
        <v>0</v>
      </c>
      <c r="U98" s="473">
        <f>ROUND(R98*T98,2)</f>
        <v>0</v>
      </c>
    </row>
    <row r="99" spans="1:21" x14ac:dyDescent="0.25">
      <c r="A99" s="530"/>
      <c r="B99" s="529"/>
      <c r="C99" s="529"/>
      <c r="D99" s="529"/>
      <c r="E99" s="527"/>
      <c r="F99" s="276"/>
      <c r="G99" s="528"/>
      <c r="H99" s="422"/>
      <c r="I99" s="101"/>
      <c r="N99" s="533"/>
      <c r="O99" s="533"/>
      <c r="P99" s="533"/>
      <c r="Q99" s="44"/>
      <c r="R99" s="535"/>
      <c r="S99" s="534"/>
      <c r="T99" s="421"/>
      <c r="U99" s="477"/>
    </row>
    <row r="100" spans="1:21" x14ac:dyDescent="0.25">
      <c r="A100" s="530"/>
      <c r="B100" s="529"/>
      <c r="C100" s="529"/>
      <c r="D100" s="529"/>
      <c r="E100" s="527"/>
      <c r="F100" s="276"/>
      <c r="G100" s="528"/>
      <c r="H100" s="422"/>
      <c r="I100" s="101"/>
      <c r="N100" s="533"/>
      <c r="O100" s="533"/>
      <c r="P100" s="533"/>
      <c r="Q100" s="44"/>
      <c r="R100" s="420"/>
      <c r="S100" s="534"/>
      <c r="T100" s="421"/>
      <c r="U100" s="103"/>
    </row>
    <row r="101" spans="1:21" x14ac:dyDescent="0.25">
      <c r="A101" s="399" t="s">
        <v>498</v>
      </c>
      <c r="N101" s="407" t="s">
        <v>498</v>
      </c>
      <c r="O101" s="51"/>
      <c r="P101" s="51"/>
      <c r="Q101" s="51"/>
      <c r="R101" s="51"/>
      <c r="S101" s="51"/>
      <c r="T101" s="51"/>
      <c r="U101" s="51"/>
    </row>
    <row r="102" spans="1:21" x14ac:dyDescent="0.25">
      <c r="B102" s="69"/>
      <c r="C102" s="563" t="s">
        <v>60</v>
      </c>
      <c r="D102" s="563"/>
      <c r="E102" s="69"/>
      <c r="F102" s="39" t="s">
        <v>28</v>
      </c>
      <c r="G102" s="69"/>
      <c r="H102" s="69"/>
      <c r="I102" s="69"/>
      <c r="N102" s="45"/>
      <c r="O102" s="45"/>
      <c r="P102" s="45"/>
      <c r="Q102" s="45"/>
      <c r="R102" s="45"/>
      <c r="S102" s="45"/>
      <c r="T102" s="45"/>
      <c r="U102" s="45"/>
    </row>
    <row r="103" spans="1:21" x14ac:dyDescent="0.25">
      <c r="A103" s="3"/>
      <c r="B103" s="118"/>
      <c r="C103" s="564" t="s">
        <v>101</v>
      </c>
      <c r="D103" s="564"/>
      <c r="E103" s="423" t="s">
        <v>426</v>
      </c>
      <c r="F103" s="120" t="s">
        <v>106</v>
      </c>
      <c r="G103" s="121"/>
      <c r="H103" s="121"/>
      <c r="I103" s="121"/>
      <c r="N103" s="631" t="s">
        <v>35</v>
      </c>
      <c r="O103" s="631"/>
      <c r="P103" s="672" t="s">
        <v>428</v>
      </c>
      <c r="Q103" s="633"/>
      <c r="R103" s="604" t="s">
        <v>31</v>
      </c>
      <c r="S103" s="604"/>
      <c r="T103" s="604"/>
      <c r="U103" s="604"/>
    </row>
    <row r="104" spans="1:21" x14ac:dyDescent="0.25">
      <c r="A104" s="26"/>
      <c r="B104" s="52" t="s">
        <v>105</v>
      </c>
      <c r="C104" s="596">
        <f>H14+H15+H20+H23+H26</f>
        <v>274.5976</v>
      </c>
      <c r="D104" s="596"/>
      <c r="E104" s="46">
        <f>H8</f>
        <v>1.0407999999999999</v>
      </c>
      <c r="F104" s="303">
        <f>'1461'!F104</f>
        <v>950.92</v>
      </c>
      <c r="G104" s="39" t="s">
        <v>12</v>
      </c>
      <c r="H104" s="101">
        <f>ROUND(C104*E104*F104,2)</f>
        <v>271774.06</v>
      </c>
      <c r="I104" s="104"/>
      <c r="N104" s="28" t="s">
        <v>17</v>
      </c>
      <c r="O104" s="47">
        <f>T14+T15+T20+T23+T26</f>
        <v>0</v>
      </c>
      <c r="P104" s="611">
        <f>T8</f>
        <v>1.0407999999999999</v>
      </c>
      <c r="Q104" s="611"/>
      <c r="R104" s="48">
        <f>F104</f>
        <v>950.92</v>
      </c>
      <c r="S104" s="40" t="s">
        <v>12</v>
      </c>
      <c r="T104" s="479">
        <f>ROUND(O104*P104*R104,2)</f>
        <v>0</v>
      </c>
      <c r="U104" s="102"/>
    </row>
    <row r="105" spans="1:21" x14ac:dyDescent="0.25">
      <c r="A105" s="49"/>
      <c r="B105" s="49" t="s">
        <v>104</v>
      </c>
      <c r="C105" s="596">
        <f>H16+H17+H21+H24+H27</f>
        <v>399.49510000000004</v>
      </c>
      <c r="D105" s="596"/>
      <c r="E105" s="46">
        <f>H8</f>
        <v>1.0407999999999999</v>
      </c>
      <c r="F105" s="303">
        <f>'1461'!F105</f>
        <v>907.92</v>
      </c>
      <c r="G105" s="39" t="s">
        <v>12</v>
      </c>
      <c r="H105" s="101">
        <f>ROUND(C105*E105*F105,2)</f>
        <v>377508.14</v>
      </c>
      <c r="N105" s="50" t="s">
        <v>13</v>
      </c>
      <c r="O105" s="47">
        <f>T16+T17+T21+T24+T27</f>
        <v>0</v>
      </c>
      <c r="P105" s="611">
        <f>T8</f>
        <v>1.0407999999999999</v>
      </c>
      <c r="Q105" s="611"/>
      <c r="R105" s="48">
        <f>F105</f>
        <v>907.92</v>
      </c>
      <c r="S105" s="40" t="s">
        <v>12</v>
      </c>
      <c r="T105" s="479">
        <f>ROUND(O105*P105*R105,2)</f>
        <v>0</v>
      </c>
      <c r="U105" s="51"/>
    </row>
    <row r="106" spans="1:21" ht="16.5" thickBot="1" x14ac:dyDescent="0.3">
      <c r="A106" s="52"/>
      <c r="B106" s="52" t="s">
        <v>103</v>
      </c>
      <c r="C106" s="596">
        <f>H18+H19+H22+H25+H28+H29</f>
        <v>0</v>
      </c>
      <c r="D106" s="596"/>
      <c r="E106" s="46">
        <f>H8</f>
        <v>1.0407999999999999</v>
      </c>
      <c r="F106" s="303">
        <f>'1461'!F106</f>
        <v>910.12</v>
      </c>
      <c r="G106" s="39" t="s">
        <v>12</v>
      </c>
      <c r="H106" s="94">
        <f>ROUND(C106*E106*F106,2)</f>
        <v>0</v>
      </c>
      <c r="N106" s="53" t="s">
        <v>14</v>
      </c>
      <c r="O106" s="54">
        <f>T18+T19+T22+T25+T28+T29</f>
        <v>0</v>
      </c>
      <c r="P106" s="611">
        <f>T8</f>
        <v>1.0407999999999999</v>
      </c>
      <c r="Q106" s="611"/>
      <c r="R106" s="48">
        <f>F106</f>
        <v>910.12</v>
      </c>
      <c r="S106" s="40" t="s">
        <v>12</v>
      </c>
      <c r="T106" s="479">
        <f>ROUND(O106*P106*R106,2)</f>
        <v>0</v>
      </c>
      <c r="U106" s="51"/>
    </row>
    <row r="107" spans="1:21" ht="16.5" thickBot="1" x14ac:dyDescent="0.3">
      <c r="A107" s="55"/>
      <c r="B107" s="122" t="s">
        <v>102</v>
      </c>
      <c r="C107" s="586">
        <f>SUM(C104:C106)</f>
        <v>674.09270000000004</v>
      </c>
      <c r="D107" s="586"/>
      <c r="E107" s="123"/>
      <c r="F107" s="123"/>
      <c r="G107" s="123"/>
      <c r="H107" s="124" t="s">
        <v>100</v>
      </c>
      <c r="I107" s="101">
        <f>IF(A1=75,0,H106+H105+H104)</f>
        <v>649282.19999999995</v>
      </c>
      <c r="N107" s="56" t="s">
        <v>89</v>
      </c>
      <c r="O107" s="57">
        <f>SUM(O104:O106)</f>
        <v>0</v>
      </c>
      <c r="P107" s="612" t="s">
        <v>16</v>
      </c>
      <c r="Q107" s="613"/>
      <c r="R107" s="613"/>
      <c r="S107" s="613"/>
      <c r="T107" s="613"/>
      <c r="U107" s="473">
        <f>IF(N1=75,0,T106+T105+T104)</f>
        <v>0</v>
      </c>
    </row>
    <row r="108" spans="1:21" ht="16.5" thickTop="1" x14ac:dyDescent="0.25">
      <c r="A108" s="555" t="s">
        <v>65</v>
      </c>
      <c r="B108" s="555"/>
      <c r="C108" s="555"/>
      <c r="D108" s="555"/>
      <c r="E108" s="555"/>
      <c r="F108" s="555"/>
      <c r="G108" s="555"/>
      <c r="H108" s="555"/>
      <c r="I108" s="555"/>
      <c r="N108" s="614" t="s">
        <v>65</v>
      </c>
      <c r="O108" s="614"/>
      <c r="P108" s="614"/>
      <c r="Q108" s="614"/>
      <c r="R108" s="614"/>
      <c r="S108" s="614"/>
      <c r="T108" s="614"/>
      <c r="U108" s="614"/>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0" t="s">
        <v>499</v>
      </c>
      <c r="C110" s="43"/>
      <c r="D110" s="69"/>
      <c r="E110" s="43" t="s">
        <v>32</v>
      </c>
      <c r="F110" s="556"/>
      <c r="G110" s="556"/>
      <c r="H110" s="556"/>
      <c r="I110" s="556"/>
      <c r="N110" s="600" t="s">
        <v>499</v>
      </c>
      <c r="O110" s="601"/>
      <c r="P110" s="601"/>
      <c r="Q110" s="615"/>
      <c r="R110" s="615"/>
      <c r="S110" s="615"/>
      <c r="T110" s="615"/>
      <c r="U110" s="103"/>
    </row>
    <row r="111" spans="1:21" x14ac:dyDescent="0.25">
      <c r="B111" s="69"/>
      <c r="C111" s="88" t="s">
        <v>494</v>
      </c>
      <c r="D111" s="333" t="s">
        <v>495</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57" t="s">
        <v>381</v>
      </c>
      <c r="B113" s="558"/>
      <c r="C113" s="143">
        <v>1</v>
      </c>
      <c r="D113" s="143">
        <v>3</v>
      </c>
      <c r="E113" s="116">
        <f>(C113+D113)/2</f>
        <v>2</v>
      </c>
      <c r="F113" s="126" t="s">
        <v>30</v>
      </c>
      <c r="G113" s="304">
        <f>'1461'!G113</f>
        <v>576</v>
      </c>
      <c r="I113" s="101">
        <f>ROUND(G113*E113,2)</f>
        <v>1152</v>
      </c>
      <c r="N113" s="630" t="s">
        <v>52</v>
      </c>
      <c r="O113" s="630"/>
      <c r="P113" s="610">
        <f>IF(H133=1,E113,0)</f>
        <v>0</v>
      </c>
      <c r="Q113" s="610"/>
      <c r="R113" s="610"/>
      <c r="S113" s="83" t="s">
        <v>30</v>
      </c>
      <c r="T113" s="58">
        <f>G113</f>
        <v>576</v>
      </c>
      <c r="U113" s="473">
        <f>ROUND(T113*P113,2)</f>
        <v>0</v>
      </c>
    </row>
    <row r="114" spans="1:21" x14ac:dyDescent="0.25">
      <c r="A114" s="557" t="s">
        <v>382</v>
      </c>
      <c r="B114" s="558"/>
      <c r="C114" s="143">
        <v>0</v>
      </c>
      <c r="D114" s="143">
        <v>0</v>
      </c>
      <c r="E114" s="116">
        <f>C114</f>
        <v>0</v>
      </c>
      <c r="F114" s="126" t="s">
        <v>30</v>
      </c>
      <c r="G114" s="304">
        <f>'1461'!G114</f>
        <v>1823</v>
      </c>
      <c r="I114" s="101">
        <f>ROUND(G114*E114,2)</f>
        <v>0</v>
      </c>
      <c r="N114" s="630" t="s">
        <v>64</v>
      </c>
      <c r="O114" s="630"/>
      <c r="P114" s="608"/>
      <c r="Q114" s="608"/>
      <c r="R114" s="608"/>
      <c r="S114" s="83" t="s">
        <v>30</v>
      </c>
      <c r="T114" s="58">
        <f>G114</f>
        <v>1823</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4" t="s">
        <v>430</v>
      </c>
      <c r="B117" s="578"/>
      <c r="C117" s="578"/>
      <c r="D117" s="69"/>
      <c r="E117" s="39" t="s">
        <v>300</v>
      </c>
      <c r="F117" s="563"/>
      <c r="G117" s="563"/>
      <c r="H117" s="563"/>
      <c r="I117" s="563"/>
      <c r="N117" s="600" t="s">
        <v>431</v>
      </c>
      <c r="O117" s="601"/>
      <c r="P117" s="601"/>
      <c r="Q117" s="601"/>
      <c r="R117" s="601"/>
      <c r="S117" s="601"/>
      <c r="T117" s="601"/>
      <c r="U117" s="601"/>
    </row>
    <row r="118" spans="1:21" hidden="1" x14ac:dyDescent="0.25">
      <c r="B118" s="69"/>
      <c r="C118" s="564" t="s">
        <v>66</v>
      </c>
      <c r="D118" s="564"/>
      <c r="E118" s="564"/>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5" t="s">
        <v>109</v>
      </c>
      <c r="G119" s="563"/>
      <c r="H119" s="37" t="s">
        <v>29</v>
      </c>
      <c r="I119" s="37"/>
      <c r="N119" s="45"/>
      <c r="O119" s="45"/>
      <c r="P119" s="45"/>
      <c r="Q119" s="45"/>
      <c r="R119" s="45"/>
      <c r="S119" s="45"/>
      <c r="T119" s="45"/>
      <c r="U119" s="45"/>
    </row>
    <row r="120" spans="1:21" hidden="1" x14ac:dyDescent="0.25">
      <c r="A120" s="564" t="s">
        <v>69</v>
      </c>
      <c r="B120" s="564"/>
      <c r="C120" s="90" t="s">
        <v>2</v>
      </c>
      <c r="D120" s="90" t="s">
        <v>2</v>
      </c>
      <c r="E120" s="59" t="s">
        <v>2</v>
      </c>
      <c r="F120" s="564" t="s">
        <v>28</v>
      </c>
      <c r="G120" s="564"/>
      <c r="H120" s="59" t="s">
        <v>28</v>
      </c>
      <c r="I120" s="59" t="s">
        <v>8</v>
      </c>
      <c r="N120" s="609" t="s">
        <v>53</v>
      </c>
      <c r="O120" s="609"/>
      <c r="P120" s="610" t="s">
        <v>66</v>
      </c>
      <c r="Q120" s="610"/>
      <c r="R120" s="609" t="s">
        <v>54</v>
      </c>
      <c r="S120" s="609"/>
      <c r="T120" s="60" t="s">
        <v>55</v>
      </c>
      <c r="U120" s="60" t="s">
        <v>8</v>
      </c>
    </row>
    <row r="121" spans="1:21" hidden="1" x14ac:dyDescent="0.25">
      <c r="A121" s="561" t="s">
        <v>56</v>
      </c>
      <c r="B121" s="561"/>
      <c r="C121" s="141">
        <v>0</v>
      </c>
      <c r="D121" s="141">
        <v>0</v>
      </c>
      <c r="E121" s="187">
        <f>IF(D30=0,C121*2,C121+D121)</f>
        <v>0</v>
      </c>
      <c r="F121" s="562">
        <v>0</v>
      </c>
      <c r="G121" s="562"/>
      <c r="H121" s="224">
        <f>IF(C121=0,0,125)</f>
        <v>0</v>
      </c>
      <c r="I121" s="101">
        <f>ROUND((H121+F121)*E121,2)</f>
        <v>0</v>
      </c>
      <c r="N121" s="601" t="s">
        <v>56</v>
      </c>
      <c r="O121" s="601"/>
      <c r="P121" s="608">
        <f>IF(H$133=1,C121,0)</f>
        <v>0</v>
      </c>
      <c r="Q121" s="608"/>
      <c r="R121" s="628">
        <f>F121</f>
        <v>0</v>
      </c>
      <c r="S121" s="628"/>
      <c r="T121" s="62">
        <f>H121</f>
        <v>0</v>
      </c>
      <c r="U121" s="96">
        <f>ROUND((T121+R121)*P121,0)</f>
        <v>0</v>
      </c>
    </row>
    <row r="122" spans="1:21" hidden="1" x14ac:dyDescent="0.25">
      <c r="A122" s="581" t="s">
        <v>57</v>
      </c>
      <c r="B122" s="581"/>
      <c r="C122" s="143">
        <v>0</v>
      </c>
      <c r="D122" s="143">
        <v>0</v>
      </c>
      <c r="E122" s="116">
        <f>IF(D31=0,C122*2,C122+D122)</f>
        <v>0</v>
      </c>
      <c r="F122" s="598">
        <f>ROUND(F121/2,2)</f>
        <v>0</v>
      </c>
      <c r="G122" s="598"/>
      <c r="H122" s="224">
        <f>IF(C122=0,0,62.5)</f>
        <v>0</v>
      </c>
      <c r="I122" s="101">
        <f>ROUND((H122+F122)*E122,2)</f>
        <v>0</v>
      </c>
      <c r="N122" s="601" t="s">
        <v>57</v>
      </c>
      <c r="O122" s="601"/>
      <c r="P122" s="608">
        <f>IF(H$133=1,C122,0)</f>
        <v>0</v>
      </c>
      <c r="Q122" s="608"/>
      <c r="R122" s="629">
        <f>ROUND(R121/2,2)</f>
        <v>0</v>
      </c>
      <c r="S122" s="629"/>
      <c r="T122" s="62">
        <f>H122</f>
        <v>0</v>
      </c>
      <c r="U122" s="96">
        <f>ROUND((T122+R122)*P122,0)</f>
        <v>0</v>
      </c>
    </row>
    <row r="123" spans="1:21" ht="16.5" hidden="1" thickBot="1" x14ac:dyDescent="0.3">
      <c r="A123" s="581" t="s">
        <v>58</v>
      </c>
      <c r="B123" s="581"/>
      <c r="C123" s="143">
        <v>0</v>
      </c>
      <c r="D123" s="143">
        <v>0</v>
      </c>
      <c r="E123" s="116">
        <f>IF(D32=0,C123*2,C123+D123)</f>
        <v>0</v>
      </c>
      <c r="F123" s="599"/>
      <c r="G123" s="599"/>
      <c r="H123" s="225">
        <f>IF(H121&gt;0,436,0)</f>
        <v>0</v>
      </c>
      <c r="I123" s="101">
        <f>ROUND(H123*E123,2)</f>
        <v>0</v>
      </c>
      <c r="N123" s="616" t="s">
        <v>58</v>
      </c>
      <c r="O123" s="616"/>
      <c r="P123" s="608">
        <f>IF(H$133=1,C123,0)</f>
        <v>0</v>
      </c>
      <c r="Q123" s="608"/>
      <c r="R123" s="609"/>
      <c r="S123" s="609"/>
      <c r="T123" s="64">
        <f>H123</f>
        <v>0</v>
      </c>
      <c r="U123" s="103">
        <f>ROUND(T123*P123,0)</f>
        <v>0</v>
      </c>
    </row>
    <row r="124" spans="1:21" ht="16.5" hidden="1" thickBot="1" x14ac:dyDescent="0.3">
      <c r="A124" s="563" t="s">
        <v>8</v>
      </c>
      <c r="B124" s="563"/>
      <c r="C124" s="65"/>
      <c r="D124" s="65"/>
      <c r="E124" s="65"/>
      <c r="F124" s="65"/>
      <c r="G124" s="65"/>
      <c r="H124" s="65"/>
      <c r="I124" s="97">
        <f>SUM(I121:I123)</f>
        <v>0</v>
      </c>
      <c r="N124" s="627" t="s">
        <v>8</v>
      </c>
      <c r="O124" s="627"/>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4" t="s">
        <v>432</v>
      </c>
      <c r="B126" s="578"/>
      <c r="C126" s="578"/>
      <c r="D126" s="69"/>
      <c r="E126" s="68" t="s">
        <v>34</v>
      </c>
      <c r="F126" s="597"/>
      <c r="G126" s="597"/>
      <c r="H126" s="597"/>
      <c r="I126" s="154">
        <v>0</v>
      </c>
      <c r="N126" s="600" t="s">
        <v>432</v>
      </c>
      <c r="O126" s="601"/>
      <c r="P126" s="601"/>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90" t="s">
        <v>8</v>
      </c>
      <c r="B128" s="590"/>
      <c r="C128" s="590"/>
      <c r="D128" s="590"/>
      <c r="E128" s="590"/>
      <c r="F128" s="590"/>
      <c r="G128" s="590"/>
      <c r="H128" s="590"/>
      <c r="I128" s="94">
        <f>SUM(I46,I66,I85,I88,I90,I92,I94,I96,I107,I113,I114,I124,I126)</f>
        <v>5543997.5700000003</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434</v>
      </c>
      <c r="B130" s="26"/>
      <c r="C130" s="26"/>
      <c r="D130" s="26"/>
      <c r="E130" s="26"/>
      <c r="F130" s="26"/>
      <c r="G130" s="26"/>
      <c r="H130" s="26"/>
      <c r="I130" s="101">
        <f>I128-I53</f>
        <v>5322204.16</v>
      </c>
      <c r="N130" s="601" t="s">
        <v>434</v>
      </c>
      <c r="O130" s="601"/>
      <c r="P130" s="601"/>
      <c r="Q130" s="601"/>
      <c r="R130" s="601"/>
      <c r="S130" s="601"/>
      <c r="T130" s="601"/>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4" t="s">
        <v>502</v>
      </c>
      <c r="B132" s="578"/>
      <c r="C132" s="578"/>
      <c r="D132" s="578"/>
      <c r="E132" s="578"/>
      <c r="F132" s="578"/>
      <c r="G132" s="578"/>
      <c r="H132" s="81" t="s">
        <v>333</v>
      </c>
      <c r="I132" s="134"/>
      <c r="N132" s="600" t="s">
        <v>502</v>
      </c>
      <c r="O132" s="601"/>
      <c r="P132" s="601"/>
      <c r="Q132" s="601"/>
      <c r="R132" s="601"/>
      <c r="S132" s="601"/>
      <c r="T132" s="601"/>
      <c r="U132" s="138"/>
    </row>
    <row r="133" spans="1:21" x14ac:dyDescent="0.25">
      <c r="A133" s="578" t="s">
        <v>70</v>
      </c>
      <c r="B133" s="578"/>
      <c r="C133" s="578"/>
      <c r="D133" s="578"/>
      <c r="E133" s="578"/>
      <c r="F133" s="578"/>
      <c r="G133" s="578"/>
      <c r="H133" s="70" t="str">
        <f>IF(E30=0,"",IF((E15+E17+SUM(E19:E25))/E30&gt;0.75,1,""))</f>
        <v/>
      </c>
      <c r="I133" s="116">
        <f>U130</f>
        <v>0</v>
      </c>
      <c r="N133" s="601" t="s">
        <v>70</v>
      </c>
      <c r="O133" s="601"/>
      <c r="P133" s="601"/>
      <c r="Q133" s="601"/>
      <c r="R133" s="601"/>
      <c r="S133" s="601"/>
      <c r="T133" s="601"/>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8" t="s">
        <v>240</v>
      </c>
      <c r="H135" s="139">
        <f>IF(H133=1,I133,I130)</f>
        <v>5322204.16</v>
      </c>
      <c r="I135" s="94">
        <f>ROUND(IF(E30=0,0,IF(E30&gt;250,-(((250/E30)*H135)*IF(G135="H",0.02,0.05)),IF(G135="H",-0.02*H135,-0.05*H135))),2)</f>
        <v>-41347.78</v>
      </c>
      <c r="N135" s="626"/>
      <c r="O135" s="626"/>
      <c r="P135" s="626"/>
      <c r="Q135" s="626"/>
      <c r="R135" s="626"/>
      <c r="S135" s="626"/>
      <c r="T135" s="626"/>
      <c r="U135" s="626"/>
    </row>
    <row r="136" spans="1:21" x14ac:dyDescent="0.25">
      <c r="B136" s="69"/>
      <c r="C136" s="69"/>
      <c r="D136" s="69"/>
      <c r="E136" s="69"/>
      <c r="F136" s="69"/>
      <c r="G136" s="69"/>
      <c r="H136" s="65"/>
      <c r="I136" s="101"/>
      <c r="N136" s="624" t="s">
        <v>7</v>
      </c>
      <c r="O136" s="624"/>
      <c r="P136" s="624"/>
      <c r="Q136" s="624"/>
      <c r="R136" s="624"/>
      <c r="S136" s="624"/>
      <c r="T136" s="624"/>
      <c r="U136" s="624"/>
    </row>
    <row r="137" spans="1:21" x14ac:dyDescent="0.25">
      <c r="A137" s="309" t="s">
        <v>74</v>
      </c>
      <c r="B137" s="310"/>
      <c r="C137" s="310"/>
      <c r="D137" s="310"/>
      <c r="E137" s="310"/>
      <c r="F137" s="310"/>
      <c r="G137" s="310"/>
      <c r="H137" s="311"/>
      <c r="I137" s="312">
        <f>I128+I135</f>
        <v>5502649.79</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Payments'!Q74</f>
        <v>0</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5502649.79</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458554.15</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IF(G135="H",(H135*0.02)+I135,(H135*0.05)+I135)</f>
        <v>65096.303200000009</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372</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373</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374</v>
      </c>
      <c r="B155" s="252"/>
      <c r="C155" s="252"/>
      <c r="D155" s="252"/>
      <c r="E155" s="252"/>
      <c r="F155" s="252"/>
      <c r="G155" s="252"/>
      <c r="H155" s="252"/>
      <c r="I155" s="252"/>
      <c r="N155" s="625"/>
      <c r="O155" s="625"/>
      <c r="P155" s="625"/>
      <c r="Q155" s="625"/>
      <c r="R155" s="625"/>
      <c r="S155" s="625"/>
      <c r="T155" s="625"/>
      <c r="U155" s="625"/>
    </row>
    <row r="156" spans="1:21" s="76" customFormat="1" x14ac:dyDescent="0.2">
      <c r="A156" s="320" t="s">
        <v>375</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376</v>
      </c>
      <c r="B157" s="252"/>
      <c r="C157" s="252"/>
      <c r="D157" s="252"/>
      <c r="E157" s="252"/>
      <c r="F157" s="252"/>
      <c r="G157" s="252"/>
      <c r="H157" s="252"/>
      <c r="I157" s="252"/>
      <c r="N157" s="78"/>
      <c r="O157" s="79"/>
      <c r="P157" s="79"/>
      <c r="Q157" s="79"/>
      <c r="R157" s="79"/>
      <c r="S157" s="79"/>
      <c r="T157" s="79"/>
      <c r="U157" s="79"/>
    </row>
    <row r="158" spans="1:21" s="76" customFormat="1" x14ac:dyDescent="0.2">
      <c r="A158" s="320" t="s">
        <v>377</v>
      </c>
      <c r="B158" s="252"/>
      <c r="C158" s="252"/>
      <c r="D158" s="252"/>
      <c r="E158" s="252"/>
      <c r="F158" s="252"/>
      <c r="G158" s="252"/>
      <c r="H158" s="252"/>
      <c r="I158" s="252"/>
      <c r="N158" s="78"/>
    </row>
    <row r="159" spans="1:21" s="76" customFormat="1" x14ac:dyDescent="0.2">
      <c r="A159" s="320" t="s">
        <v>379</v>
      </c>
      <c r="B159" s="252"/>
      <c r="C159" s="252"/>
      <c r="D159" s="252"/>
      <c r="E159" s="252"/>
      <c r="F159" s="252"/>
      <c r="G159" s="252"/>
      <c r="H159" s="252"/>
      <c r="I159" s="252"/>
      <c r="N159" s="78"/>
    </row>
    <row r="160" spans="1:21" s="76" customFormat="1" x14ac:dyDescent="0.2">
      <c r="A160" s="385" t="s">
        <v>378</v>
      </c>
      <c r="B160" s="252"/>
      <c r="C160" s="252"/>
      <c r="D160" s="252"/>
      <c r="E160" s="252"/>
      <c r="F160" s="252"/>
      <c r="G160" s="252"/>
      <c r="H160" s="252"/>
      <c r="I160" s="252"/>
      <c r="N160" s="78"/>
    </row>
    <row r="161" spans="1:14" s="76" customFormat="1" x14ac:dyDescent="0.2">
      <c r="A161" s="320" t="s">
        <v>380</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383</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385</v>
      </c>
      <c r="B165" s="293"/>
      <c r="C165" s="293"/>
      <c r="D165" s="293"/>
      <c r="E165" s="293"/>
      <c r="F165" s="293"/>
      <c r="G165" s="293"/>
      <c r="H165" s="293"/>
      <c r="I165" s="293"/>
      <c r="N165" s="78"/>
    </row>
    <row r="166" spans="1:14" s="76" customFormat="1" ht="15.75" customHeight="1" x14ac:dyDescent="0.2">
      <c r="A166" s="351" t="s">
        <v>384</v>
      </c>
      <c r="B166" s="293"/>
      <c r="C166" s="293"/>
      <c r="D166" s="293"/>
      <c r="E166" s="293"/>
      <c r="F166" s="293"/>
      <c r="G166" s="293"/>
      <c r="H166" s="293"/>
      <c r="I166" s="293"/>
      <c r="N166" s="78"/>
    </row>
    <row r="167" spans="1:14" s="76" customFormat="1" ht="15.75" customHeight="1" x14ac:dyDescent="0.2">
      <c r="A167" s="320" t="s">
        <v>386</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388</v>
      </c>
      <c r="B169" s="343"/>
      <c r="C169" s="343"/>
      <c r="D169" s="343"/>
      <c r="E169" s="343"/>
      <c r="F169" s="343"/>
      <c r="G169" s="343"/>
      <c r="H169" s="343"/>
      <c r="I169" s="343"/>
      <c r="N169" s="78"/>
    </row>
    <row r="170" spans="1:14" s="76" customFormat="1" ht="15.75" customHeight="1" x14ac:dyDescent="0.2">
      <c r="A170" s="351" t="s">
        <v>387</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389</v>
      </c>
      <c r="B175" s="293"/>
      <c r="C175" s="293"/>
      <c r="D175" s="293"/>
      <c r="E175" s="293"/>
      <c r="F175" s="293"/>
      <c r="G175" s="293"/>
      <c r="H175" s="293"/>
      <c r="I175" s="293"/>
      <c r="J175" s="3"/>
      <c r="K175" s="3"/>
      <c r="L175" s="3"/>
      <c r="M175" s="3"/>
      <c r="N175" s="78"/>
    </row>
    <row r="176" spans="1:14" s="76" customFormat="1" ht="15.75" customHeight="1" x14ac:dyDescent="0.2">
      <c r="A176" s="361" t="s">
        <v>390</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B12"/>
    <mergeCell ref="A132:G132"/>
    <mergeCell ref="N136:U136"/>
    <mergeCell ref="A133:G133"/>
    <mergeCell ref="R123:S123"/>
    <mergeCell ref="A121:B121"/>
    <mergeCell ref="F121:G121"/>
    <mergeCell ref="N121:O121"/>
    <mergeCell ref="A122:B122"/>
    <mergeCell ref="F122:G122"/>
    <mergeCell ref="N122:O122"/>
    <mergeCell ref="P122:Q122"/>
    <mergeCell ref="R122:S122"/>
    <mergeCell ref="C118:E118"/>
    <mergeCell ref="F119:G119"/>
    <mergeCell ref="A120:B120"/>
    <mergeCell ref="F120:G120"/>
    <mergeCell ref="N120:O120"/>
    <mergeCell ref="P120:Q120"/>
    <mergeCell ref="R120:S120"/>
    <mergeCell ref="P121:Q121"/>
    <mergeCell ref="R121:S121"/>
    <mergeCell ref="A117:C117"/>
    <mergeCell ref="F117:I117"/>
    <mergeCell ref="N117:U117"/>
    <mergeCell ref="N155:U155"/>
    <mergeCell ref="N135:U135"/>
    <mergeCell ref="N126:P126"/>
    <mergeCell ref="A126:C126"/>
    <mergeCell ref="F126:H126"/>
    <mergeCell ref="N130:T130"/>
    <mergeCell ref="A128:H128"/>
    <mergeCell ref="A123:B123"/>
    <mergeCell ref="F123:G123"/>
    <mergeCell ref="N123:O123"/>
    <mergeCell ref="P123:Q123"/>
    <mergeCell ref="A124:B124"/>
    <mergeCell ref="N124:O124"/>
    <mergeCell ref="N132:T132"/>
    <mergeCell ref="N133:T133"/>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F13:G13"/>
    <mergeCell ref="N13:O13"/>
    <mergeCell ref="P13:Q13"/>
    <mergeCell ref="R13:S13"/>
    <mergeCell ref="A14:B14"/>
    <mergeCell ref="F14:G14"/>
    <mergeCell ref="N14:O14"/>
    <mergeCell ref="P14:Q14"/>
    <mergeCell ref="R14:S14"/>
    <mergeCell ref="A13:B13"/>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6" t="s">
        <v>15</v>
      </c>
      <c r="C1" s="567"/>
      <c r="D1" s="567"/>
      <c r="E1" s="567"/>
      <c r="F1" s="567"/>
      <c r="G1" s="567"/>
      <c r="H1" s="567"/>
      <c r="I1" s="567"/>
      <c r="J1" s="135"/>
      <c r="K1" s="135"/>
      <c r="L1" s="135"/>
      <c r="N1" s="82">
        <f>A1</f>
        <v>0</v>
      </c>
      <c r="O1" s="658" t="s">
        <v>15</v>
      </c>
      <c r="P1" s="659"/>
      <c r="Q1" s="659"/>
      <c r="R1" s="659"/>
      <c r="S1" s="659"/>
      <c r="T1" s="659"/>
      <c r="U1" s="659"/>
    </row>
    <row r="2" spans="1:21" ht="21" x14ac:dyDescent="0.35">
      <c r="A2" s="1" t="s">
        <v>115</v>
      </c>
      <c r="B2" s="2"/>
      <c r="C2" s="2"/>
      <c r="D2" s="2"/>
      <c r="E2" s="2"/>
      <c r="F2" s="2"/>
      <c r="G2" s="2"/>
      <c r="H2" s="2"/>
      <c r="I2" s="2"/>
      <c r="N2" s="660" t="s">
        <v>18</v>
      </c>
      <c r="O2" s="660"/>
      <c r="P2" s="660"/>
      <c r="Q2" s="660"/>
      <c r="R2" s="660"/>
      <c r="S2" s="660"/>
      <c r="T2" s="660"/>
      <c r="U2" s="660"/>
    </row>
    <row r="3" spans="1:21" x14ac:dyDescent="0.25">
      <c r="A3" s="81" t="str">
        <f>'1461'!A3</f>
        <v>Based on the FLDOE 2024-25 Conference Calculation</v>
      </c>
      <c r="N3" s="627" t="str">
        <f>A3</f>
        <v>Based on the FLDOE 2024-25 Conference Calculation</v>
      </c>
      <c r="O3" s="627"/>
      <c r="P3" s="627"/>
      <c r="Q3" s="627"/>
      <c r="R3" s="627"/>
      <c r="S3" s="627"/>
      <c r="T3" s="627"/>
      <c r="U3" s="627"/>
    </row>
    <row r="4" spans="1:21" x14ac:dyDescent="0.25">
      <c r="A4" s="568" t="s">
        <v>0</v>
      </c>
      <c r="B4" s="568"/>
      <c r="C4" s="569" t="s">
        <v>9</v>
      </c>
      <c r="D4" s="569"/>
      <c r="E4" s="569"/>
      <c r="F4" s="4" t="str">
        <f>'1461'!F4</f>
        <v>July 2024</v>
      </c>
      <c r="G4" s="4"/>
      <c r="H4" s="4"/>
      <c r="I4" s="4"/>
      <c r="N4" s="661" t="s">
        <v>0</v>
      </c>
      <c r="O4" s="661"/>
      <c r="P4" s="662" t="str">
        <f>C4</f>
        <v>Palm Beach</v>
      </c>
      <c r="Q4" s="662"/>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70" t="s">
        <v>433</v>
      </c>
      <c r="B7" s="664"/>
      <c r="C7" s="664"/>
      <c r="D7" s="664"/>
      <c r="E7" s="664"/>
      <c r="F7" s="664"/>
      <c r="G7" s="664"/>
      <c r="H7" s="664"/>
      <c r="I7" s="664"/>
      <c r="N7" s="661" t="str">
        <f>A7</f>
        <v>1A.   2023-24 FEFP State and Local Funding</v>
      </c>
      <c r="O7" s="661"/>
      <c r="P7" s="661"/>
      <c r="Q7" s="661"/>
      <c r="R7" s="661"/>
      <c r="S7" s="661"/>
      <c r="T7" s="661"/>
      <c r="U7" s="661"/>
    </row>
    <row r="8" spans="1:21" x14ac:dyDescent="0.25">
      <c r="A8" s="84"/>
      <c r="B8" s="85" t="s">
        <v>92</v>
      </c>
      <c r="C8" s="299">
        <f>'1461'!C8</f>
        <v>5330.98</v>
      </c>
      <c r="D8" s="86"/>
      <c r="E8" s="87"/>
      <c r="F8" s="84"/>
      <c r="G8" s="85" t="s">
        <v>393</v>
      </c>
      <c r="H8" s="287">
        <f>'1461'!H8</f>
        <v>1.0407999999999999</v>
      </c>
      <c r="I8" s="75"/>
      <c r="N8" s="665" t="s">
        <v>10</v>
      </c>
      <c r="O8" s="665"/>
      <c r="P8" s="666">
        <f>C8</f>
        <v>5330.98</v>
      </c>
      <c r="Q8" s="666"/>
      <c r="R8" s="648" t="s">
        <v>394</v>
      </c>
      <c r="S8" s="649"/>
      <c r="T8" s="650">
        <f>H8</f>
        <v>1.0407999999999999</v>
      </c>
      <c r="U8" s="650"/>
    </row>
    <row r="9" spans="1:21" x14ac:dyDescent="0.25">
      <c r="A9" s="84"/>
      <c r="B9" s="85"/>
      <c r="C9" s="222"/>
      <c r="D9" s="86"/>
      <c r="E9" s="87"/>
      <c r="F9" s="84"/>
      <c r="G9" s="85" t="s">
        <v>391</v>
      </c>
      <c r="H9" s="287">
        <f>'1461'!H9</f>
        <v>1</v>
      </c>
      <c r="I9" s="75"/>
      <c r="N9" s="12"/>
      <c r="O9" s="12"/>
      <c r="P9" s="13"/>
      <c r="Q9" s="13"/>
      <c r="R9" s="387" t="s">
        <v>392</v>
      </c>
      <c r="S9" s="384"/>
      <c r="T9" s="650">
        <f>H9</f>
        <v>1</v>
      </c>
      <c r="U9" s="650"/>
    </row>
    <row r="10" spans="1:21" x14ac:dyDescent="0.25">
      <c r="A10" s="7"/>
      <c r="B10" s="42" t="s">
        <v>310</v>
      </c>
      <c r="C10" s="456" t="str">
        <f>'1461'!C10</f>
        <v xml:space="preserve"> </v>
      </c>
      <c r="D10" s="88" t="str">
        <f>'1461'!D10</f>
        <v xml:space="preserve"> </v>
      </c>
      <c r="E10" s="8"/>
      <c r="F10" s="9"/>
      <c r="G10" s="9"/>
      <c r="H10" s="10"/>
      <c r="I10" s="305" t="str">
        <f>'1461'!I10</f>
        <v>2024-25</v>
      </c>
      <c r="N10" s="12"/>
      <c r="O10" s="12"/>
      <c r="P10" s="13"/>
      <c r="Q10" s="13"/>
      <c r="R10" s="14"/>
      <c r="S10" s="14"/>
      <c r="T10" s="15"/>
      <c r="U10" s="366" t="str">
        <f>I10</f>
        <v>2024-25</v>
      </c>
    </row>
    <row r="11" spans="1:21" x14ac:dyDescent="0.25">
      <c r="A11" s="7"/>
      <c r="B11" s="7"/>
      <c r="C11" s="88" t="str">
        <f>'1461'!C11</f>
        <v>Oct 2023</v>
      </c>
      <c r="D11" s="333" t="str">
        <f>'1461'!D11</f>
        <v>Feb 2024</v>
      </c>
      <c r="E11" s="89" t="s">
        <v>8</v>
      </c>
      <c r="F11" s="571" t="s">
        <v>1</v>
      </c>
      <c r="G11" s="571"/>
      <c r="H11" s="10" t="s">
        <v>60</v>
      </c>
      <c r="I11" s="11" t="s">
        <v>27</v>
      </c>
      <c r="N11" s="12"/>
      <c r="O11" s="12"/>
      <c r="P11" s="13"/>
      <c r="Q11" s="13"/>
      <c r="R11" s="651" t="s">
        <v>1</v>
      </c>
      <c r="S11" s="651"/>
      <c r="T11" s="15" t="s">
        <v>60</v>
      </c>
      <c r="U11" s="16" t="s">
        <v>27</v>
      </c>
    </row>
    <row r="12" spans="1:21" ht="15.75" customHeight="1" x14ac:dyDescent="0.25">
      <c r="A12" s="572" t="s">
        <v>1</v>
      </c>
      <c r="B12" s="572"/>
      <c r="C12" s="324" t="str">
        <f>'1461'!C12</f>
        <v>FTE</v>
      </c>
      <c r="D12" s="324" t="str">
        <f>'1461'!D12</f>
        <v>FTE</v>
      </c>
      <c r="E12" s="324" t="s">
        <v>2</v>
      </c>
      <c r="F12" s="573" t="s">
        <v>63</v>
      </c>
      <c r="G12" s="573"/>
      <c r="H12" s="17" t="s">
        <v>59</v>
      </c>
      <c r="I12" s="388" t="s">
        <v>395</v>
      </c>
      <c r="N12" s="639" t="s">
        <v>1</v>
      </c>
      <c r="O12" s="639"/>
      <c r="P12" s="652" t="s">
        <v>19</v>
      </c>
      <c r="Q12" s="652"/>
      <c r="R12" s="653" t="s">
        <v>63</v>
      </c>
      <c r="S12" s="653"/>
      <c r="T12" s="18" t="s">
        <v>59</v>
      </c>
      <c r="U12" s="19" t="str">
        <f>I12</f>
        <v>(WFTE x BSA x CWF x SDF)</v>
      </c>
    </row>
    <row r="13" spans="1:21" x14ac:dyDescent="0.25">
      <c r="A13" s="574" t="s">
        <v>36</v>
      </c>
      <c r="B13" s="574"/>
      <c r="C13" s="91"/>
      <c r="D13" s="91"/>
      <c r="E13" s="92" t="s">
        <v>37</v>
      </c>
      <c r="F13" s="575" t="s">
        <v>38</v>
      </c>
      <c r="G13" s="575"/>
      <c r="H13" s="20" t="s">
        <v>39</v>
      </c>
      <c r="I13" s="21" t="s">
        <v>40</v>
      </c>
      <c r="N13" s="654" t="s">
        <v>36</v>
      </c>
      <c r="O13" s="654"/>
      <c r="P13" s="655" t="s">
        <v>37</v>
      </c>
      <c r="Q13" s="655"/>
      <c r="R13" s="656" t="s">
        <v>38</v>
      </c>
      <c r="S13" s="656"/>
      <c r="T13" s="22" t="s">
        <v>39</v>
      </c>
      <c r="U13" s="23" t="s">
        <v>40</v>
      </c>
    </row>
    <row r="14" spans="1:21" x14ac:dyDescent="0.25">
      <c r="A14" s="576" t="s">
        <v>20</v>
      </c>
      <c r="B14" s="576"/>
      <c r="C14" s="143">
        <v>0</v>
      </c>
      <c r="D14" s="143">
        <v>0</v>
      </c>
      <c r="E14" s="187">
        <f>IF(D$30=0,C14*2,C14+D14)</f>
        <v>0</v>
      </c>
      <c r="F14" s="667">
        <f>'1461'!F14:G14</f>
        <v>1.1180000000000001</v>
      </c>
      <c r="G14" s="667"/>
      <c r="H14" s="145">
        <f>ROUND(E14*F14,4)</f>
        <v>0</v>
      </c>
      <c r="I14" s="111">
        <f>ROUND(ROUND(ROUND(H14*$C$8,4)*($H$8),2)*(MAX($H$9,1)),2)</f>
        <v>0</v>
      </c>
      <c r="N14" s="641" t="s">
        <v>20</v>
      </c>
      <c r="O14" s="641"/>
      <c r="P14" s="642">
        <f t="shared" ref="P14:P29" si="0">IF($H$133=1,E14,0)</f>
        <v>0</v>
      </c>
      <c r="Q14" s="642"/>
      <c r="R14" s="657">
        <v>1</v>
      </c>
      <c r="S14" s="657"/>
      <c r="T14" s="95">
        <f>ROUND(P14*R14,4)</f>
        <v>0</v>
      </c>
      <c r="U14" s="473">
        <f>ROUND(ROUND(ROUND(T14*$C$8,4)*($H$8),2)*(MAX($H$9,1)),2)</f>
        <v>0</v>
      </c>
    </row>
    <row r="15" spans="1:21" x14ac:dyDescent="0.25">
      <c r="A15" s="578" t="s">
        <v>21</v>
      </c>
      <c r="B15" s="578"/>
      <c r="C15" s="143">
        <v>7</v>
      </c>
      <c r="D15" s="143">
        <v>7</v>
      </c>
      <c r="E15" s="116">
        <f t="shared" ref="E15:E29" si="1">IF(D$30=0,C15*2,C15+D15)</f>
        <v>14</v>
      </c>
      <c r="F15" s="663">
        <f>'1461'!F15:G15</f>
        <v>1.1180000000000001</v>
      </c>
      <c r="G15" s="663"/>
      <c r="H15" s="80">
        <f t="shared" ref="H15:H29" si="2">ROUND(E15*F15,4)</f>
        <v>15.651999999999999</v>
      </c>
      <c r="I15" s="101">
        <f t="shared" ref="I15:I29" si="3">ROUND(ROUND(ROUND(H15*$C$8,4)*($H$8),2)*(MAX($H$9,1)),2)</f>
        <v>86844.87</v>
      </c>
      <c r="J15" s="65" t="str">
        <f>IF(ROUND(E15,2)=ROUND(SUM(E57:E59),2)," ","CHECK PK-3 LINES BELOW")</f>
        <v xml:space="preserve"> </v>
      </c>
      <c r="N15" s="601" t="s">
        <v>21</v>
      </c>
      <c r="O15" s="601"/>
      <c r="P15" s="642">
        <f t="shared" si="0"/>
        <v>14</v>
      </c>
      <c r="Q15" s="642"/>
      <c r="R15" s="647">
        <v>1</v>
      </c>
      <c r="S15" s="647"/>
      <c r="T15" s="95">
        <f t="shared" ref="T15:T29" si="4">ROUND(P15*R15,4)</f>
        <v>14</v>
      </c>
      <c r="U15" s="473">
        <f t="shared" ref="U15:U29" si="5">ROUND(ROUND(ROUND(T15*$C$8,4)*($H$8),2)*(MAX($H$9,1)),2)</f>
        <v>77678.78</v>
      </c>
    </row>
    <row r="16" spans="1:21" x14ac:dyDescent="0.25">
      <c r="A16" s="578" t="s">
        <v>22</v>
      </c>
      <c r="B16" s="578"/>
      <c r="C16" s="143">
        <v>0</v>
      </c>
      <c r="D16" s="143">
        <v>0</v>
      </c>
      <c r="E16" s="116">
        <f t="shared" si="1"/>
        <v>0</v>
      </c>
      <c r="F16" s="663">
        <f>'1461'!F16:G16</f>
        <v>1</v>
      </c>
      <c r="G16" s="663"/>
      <c r="H16" s="80">
        <f t="shared" si="2"/>
        <v>0</v>
      </c>
      <c r="I16" s="101">
        <f t="shared" si="3"/>
        <v>0</v>
      </c>
      <c r="N16" s="601" t="s">
        <v>22</v>
      </c>
      <c r="O16" s="601"/>
      <c r="P16" s="642">
        <f t="shared" si="0"/>
        <v>0</v>
      </c>
      <c r="Q16" s="642"/>
      <c r="R16" s="647">
        <v>1</v>
      </c>
      <c r="S16" s="647"/>
      <c r="T16" s="95">
        <f t="shared" si="4"/>
        <v>0</v>
      </c>
      <c r="U16" s="473">
        <f t="shared" si="5"/>
        <v>0</v>
      </c>
    </row>
    <row r="17" spans="1:21" x14ac:dyDescent="0.25">
      <c r="A17" s="578" t="s">
        <v>23</v>
      </c>
      <c r="B17" s="578"/>
      <c r="C17" s="143">
        <v>9</v>
      </c>
      <c r="D17" s="143">
        <v>11.5</v>
      </c>
      <c r="E17" s="116">
        <f t="shared" si="1"/>
        <v>20.5</v>
      </c>
      <c r="F17" s="663">
        <f>'1461'!F17:G17</f>
        <v>1</v>
      </c>
      <c r="G17" s="663"/>
      <c r="H17" s="80">
        <f t="shared" si="2"/>
        <v>20.5</v>
      </c>
      <c r="I17" s="101">
        <f t="shared" si="3"/>
        <v>113743.92</v>
      </c>
      <c r="J17" s="65" t="str">
        <f>IF(ROUND(E17,2)=ROUND(SUM(E60:E62),2)," ","CHECK 4-8 LINES BELOW")</f>
        <v xml:space="preserve"> </v>
      </c>
      <c r="N17" s="601" t="s">
        <v>23</v>
      </c>
      <c r="O17" s="601"/>
      <c r="P17" s="642">
        <f t="shared" si="0"/>
        <v>20.5</v>
      </c>
      <c r="Q17" s="642"/>
      <c r="R17" s="647">
        <v>1</v>
      </c>
      <c r="S17" s="647"/>
      <c r="T17" s="95">
        <f t="shared" si="4"/>
        <v>20.5</v>
      </c>
      <c r="U17" s="473">
        <f t="shared" si="5"/>
        <v>113743.92</v>
      </c>
    </row>
    <row r="18" spans="1:21" x14ac:dyDescent="0.25">
      <c r="A18" s="578" t="s">
        <v>24</v>
      </c>
      <c r="B18" s="578"/>
      <c r="C18" s="143">
        <v>0</v>
      </c>
      <c r="D18" s="143">
        <v>0</v>
      </c>
      <c r="E18" s="116">
        <f t="shared" si="1"/>
        <v>0</v>
      </c>
      <c r="F18" s="663">
        <f>'1461'!F18:G18</f>
        <v>0.97799999999999998</v>
      </c>
      <c r="G18" s="663"/>
      <c r="H18" s="80">
        <f t="shared" si="2"/>
        <v>0</v>
      </c>
      <c r="I18" s="101">
        <f t="shared" si="3"/>
        <v>0</v>
      </c>
      <c r="N18" s="601" t="s">
        <v>24</v>
      </c>
      <c r="O18" s="601"/>
      <c r="P18" s="642">
        <f t="shared" si="0"/>
        <v>0</v>
      </c>
      <c r="Q18" s="642"/>
      <c r="R18" s="647">
        <v>1</v>
      </c>
      <c r="S18" s="647"/>
      <c r="T18" s="95">
        <f t="shared" si="4"/>
        <v>0</v>
      </c>
      <c r="U18" s="473">
        <f t="shared" si="5"/>
        <v>0</v>
      </c>
    </row>
    <row r="19" spans="1:21" x14ac:dyDescent="0.25">
      <c r="A19" s="578" t="s">
        <v>25</v>
      </c>
      <c r="B19" s="578"/>
      <c r="C19" s="143">
        <v>23.5</v>
      </c>
      <c r="D19" s="143">
        <v>29</v>
      </c>
      <c r="E19" s="116">
        <f t="shared" si="1"/>
        <v>52.5</v>
      </c>
      <c r="F19" s="663">
        <f>'1461'!F19:G19</f>
        <v>0.97799999999999998</v>
      </c>
      <c r="G19" s="663"/>
      <c r="H19" s="80">
        <f t="shared" si="2"/>
        <v>51.344999999999999</v>
      </c>
      <c r="I19" s="101">
        <f t="shared" si="3"/>
        <v>284886.90999999997</v>
      </c>
      <c r="J19" s="65" t="str">
        <f>IF(ROUND(E19,2)=ROUND(SUM(E63:E65),2)," ","CHECK 4-8 LINES BELOW")</f>
        <v xml:space="preserve"> </v>
      </c>
      <c r="N19" s="601" t="s">
        <v>25</v>
      </c>
      <c r="O19" s="601"/>
      <c r="P19" s="642">
        <f t="shared" si="0"/>
        <v>52.5</v>
      </c>
      <c r="Q19" s="642"/>
      <c r="R19" s="647">
        <v>1</v>
      </c>
      <c r="S19" s="647"/>
      <c r="T19" s="95">
        <f t="shared" si="4"/>
        <v>52.5</v>
      </c>
      <c r="U19" s="472">
        <f t="shared" si="5"/>
        <v>291295.40999999997</v>
      </c>
    </row>
    <row r="20" spans="1:21" x14ac:dyDescent="0.25">
      <c r="A20" s="578" t="s">
        <v>79</v>
      </c>
      <c r="B20" s="578"/>
      <c r="C20" s="143">
        <v>47.5</v>
      </c>
      <c r="D20" s="143">
        <v>39</v>
      </c>
      <c r="E20" s="116">
        <f t="shared" si="1"/>
        <v>86.5</v>
      </c>
      <c r="F20" s="663">
        <f>'1461'!F20:G20</f>
        <v>3.6970000000000001</v>
      </c>
      <c r="G20" s="663"/>
      <c r="H20" s="80">
        <f t="shared" si="2"/>
        <v>319.79050000000001</v>
      </c>
      <c r="I20" s="101">
        <f t="shared" si="3"/>
        <v>1774352.47</v>
      </c>
      <c r="N20" s="601" t="s">
        <v>79</v>
      </c>
      <c r="O20" s="601"/>
      <c r="P20" s="642">
        <f t="shared" si="0"/>
        <v>86.5</v>
      </c>
      <c r="Q20" s="642"/>
      <c r="R20" s="647">
        <v>1</v>
      </c>
      <c r="S20" s="647"/>
      <c r="T20" s="95">
        <f t="shared" si="4"/>
        <v>86.5</v>
      </c>
      <c r="U20" s="473">
        <f t="shared" si="5"/>
        <v>479943.86</v>
      </c>
    </row>
    <row r="21" spans="1:21" x14ac:dyDescent="0.25">
      <c r="A21" s="578" t="s">
        <v>80</v>
      </c>
      <c r="B21" s="578"/>
      <c r="C21" s="143">
        <v>36</v>
      </c>
      <c r="D21" s="143">
        <v>33.5</v>
      </c>
      <c r="E21" s="116">
        <f t="shared" si="1"/>
        <v>69.5</v>
      </c>
      <c r="F21" s="663">
        <f>'1461'!F21:G21</f>
        <v>3.6970000000000001</v>
      </c>
      <c r="G21" s="663"/>
      <c r="H21" s="80">
        <f t="shared" si="2"/>
        <v>256.94150000000002</v>
      </c>
      <c r="I21" s="101">
        <f t="shared" si="3"/>
        <v>1425635.8</v>
      </c>
      <c r="N21" s="601" t="s">
        <v>80</v>
      </c>
      <c r="O21" s="601"/>
      <c r="P21" s="642">
        <f t="shared" si="0"/>
        <v>69.5</v>
      </c>
      <c r="Q21" s="642"/>
      <c r="R21" s="647">
        <v>1</v>
      </c>
      <c r="S21" s="647"/>
      <c r="T21" s="95">
        <f t="shared" si="4"/>
        <v>69.5</v>
      </c>
      <c r="U21" s="473">
        <f t="shared" si="5"/>
        <v>385619.64</v>
      </c>
    </row>
    <row r="22" spans="1:21" x14ac:dyDescent="0.25">
      <c r="A22" s="578" t="s">
        <v>81</v>
      </c>
      <c r="B22" s="578"/>
      <c r="C22" s="143">
        <v>31</v>
      </c>
      <c r="D22" s="143">
        <v>25.5</v>
      </c>
      <c r="E22" s="116">
        <f t="shared" si="1"/>
        <v>56.5</v>
      </c>
      <c r="F22" s="663">
        <f>'1461'!F22:G22</f>
        <v>3.6970000000000001</v>
      </c>
      <c r="G22" s="663"/>
      <c r="H22" s="80">
        <f t="shared" si="2"/>
        <v>208.88050000000001</v>
      </c>
      <c r="I22" s="101">
        <f t="shared" si="3"/>
        <v>1158970.1100000001</v>
      </c>
      <c r="N22" s="601" t="s">
        <v>81</v>
      </c>
      <c r="O22" s="601"/>
      <c r="P22" s="642">
        <f t="shared" si="0"/>
        <v>56.5</v>
      </c>
      <c r="Q22" s="642"/>
      <c r="R22" s="647">
        <v>1</v>
      </c>
      <c r="S22" s="647"/>
      <c r="T22" s="95">
        <f t="shared" si="4"/>
        <v>56.5</v>
      </c>
      <c r="U22" s="473">
        <f t="shared" si="5"/>
        <v>313489.34999999998</v>
      </c>
    </row>
    <row r="23" spans="1:21" x14ac:dyDescent="0.25">
      <c r="A23" s="578" t="s">
        <v>82</v>
      </c>
      <c r="B23" s="578"/>
      <c r="C23" s="143">
        <v>3</v>
      </c>
      <c r="D23" s="143">
        <v>12</v>
      </c>
      <c r="E23" s="116">
        <f t="shared" si="1"/>
        <v>15</v>
      </c>
      <c r="F23" s="663">
        <f>'1461'!F23:G23</f>
        <v>5.992</v>
      </c>
      <c r="G23" s="663"/>
      <c r="H23" s="80">
        <f t="shared" si="2"/>
        <v>89.88</v>
      </c>
      <c r="I23" s="101">
        <f t="shared" si="3"/>
        <v>498697.74</v>
      </c>
      <c r="N23" s="601" t="s">
        <v>82</v>
      </c>
      <c r="O23" s="601"/>
      <c r="P23" s="642">
        <f t="shared" si="0"/>
        <v>15</v>
      </c>
      <c r="Q23" s="642"/>
      <c r="R23" s="647">
        <v>1</v>
      </c>
      <c r="S23" s="647"/>
      <c r="T23" s="95">
        <f t="shared" si="4"/>
        <v>15</v>
      </c>
      <c r="U23" s="473">
        <f t="shared" si="5"/>
        <v>83227.259999999995</v>
      </c>
    </row>
    <row r="24" spans="1:21" x14ac:dyDescent="0.25">
      <c r="A24" s="578" t="s">
        <v>83</v>
      </c>
      <c r="B24" s="578"/>
      <c r="C24" s="143">
        <v>17.5</v>
      </c>
      <c r="D24" s="143">
        <v>15.5</v>
      </c>
      <c r="E24" s="116">
        <f t="shared" si="1"/>
        <v>33</v>
      </c>
      <c r="F24" s="663">
        <f>'1461'!F24:G24</f>
        <v>5.992</v>
      </c>
      <c r="G24" s="663"/>
      <c r="H24" s="80">
        <f t="shared" si="2"/>
        <v>197.73599999999999</v>
      </c>
      <c r="I24" s="101">
        <f t="shared" si="3"/>
        <v>1097135.03</v>
      </c>
      <c r="N24" s="601" t="s">
        <v>83</v>
      </c>
      <c r="O24" s="601"/>
      <c r="P24" s="642">
        <f t="shared" si="0"/>
        <v>33</v>
      </c>
      <c r="Q24" s="642"/>
      <c r="R24" s="647">
        <v>1</v>
      </c>
      <c r="S24" s="647"/>
      <c r="T24" s="95">
        <f t="shared" si="4"/>
        <v>33</v>
      </c>
      <c r="U24" s="473">
        <f t="shared" si="5"/>
        <v>183099.97</v>
      </c>
    </row>
    <row r="25" spans="1:21" x14ac:dyDescent="0.25">
      <c r="A25" s="578" t="s">
        <v>84</v>
      </c>
      <c r="B25" s="578"/>
      <c r="C25" s="143">
        <v>11</v>
      </c>
      <c r="D25" s="143">
        <v>11</v>
      </c>
      <c r="E25" s="116">
        <f t="shared" si="1"/>
        <v>22</v>
      </c>
      <c r="F25" s="663">
        <f>'1461'!F25:G25</f>
        <v>5.992</v>
      </c>
      <c r="G25" s="663"/>
      <c r="H25" s="80">
        <f t="shared" si="2"/>
        <v>131.82400000000001</v>
      </c>
      <c r="I25" s="101">
        <f t="shared" si="3"/>
        <v>731423.35</v>
      </c>
      <c r="N25" s="601" t="s">
        <v>84</v>
      </c>
      <c r="O25" s="601"/>
      <c r="P25" s="642">
        <f t="shared" si="0"/>
        <v>22</v>
      </c>
      <c r="Q25" s="642"/>
      <c r="R25" s="647">
        <v>1</v>
      </c>
      <c r="S25" s="647"/>
      <c r="T25" s="95">
        <f t="shared" si="4"/>
        <v>22</v>
      </c>
      <c r="U25" s="473">
        <f t="shared" si="5"/>
        <v>122066.65</v>
      </c>
    </row>
    <row r="26" spans="1:21" x14ac:dyDescent="0.25">
      <c r="A26" s="578" t="s">
        <v>85</v>
      </c>
      <c r="B26" s="578"/>
      <c r="C26" s="143">
        <v>0</v>
      </c>
      <c r="D26" s="143">
        <v>0</v>
      </c>
      <c r="E26" s="116">
        <f t="shared" si="1"/>
        <v>0</v>
      </c>
      <c r="F26" s="663">
        <f>'1461'!F26:G26</f>
        <v>1.1919999999999999</v>
      </c>
      <c r="G26" s="663"/>
      <c r="H26" s="80">
        <f t="shared" si="2"/>
        <v>0</v>
      </c>
      <c r="I26" s="101">
        <f t="shared" si="3"/>
        <v>0</v>
      </c>
      <c r="N26" s="601" t="s">
        <v>85</v>
      </c>
      <c r="O26" s="601"/>
      <c r="P26" s="642">
        <f t="shared" si="0"/>
        <v>0</v>
      </c>
      <c r="Q26" s="642"/>
      <c r="R26" s="647">
        <v>1</v>
      </c>
      <c r="S26" s="647"/>
      <c r="T26" s="95">
        <f t="shared" si="4"/>
        <v>0</v>
      </c>
      <c r="U26" s="473">
        <f t="shared" si="5"/>
        <v>0</v>
      </c>
    </row>
    <row r="27" spans="1:21" x14ac:dyDescent="0.25">
      <c r="A27" s="578" t="s">
        <v>86</v>
      </c>
      <c r="B27" s="578"/>
      <c r="C27" s="143">
        <v>0</v>
      </c>
      <c r="D27" s="143">
        <v>0</v>
      </c>
      <c r="E27" s="116">
        <f t="shared" si="1"/>
        <v>0</v>
      </c>
      <c r="F27" s="663">
        <f>'1461'!F27:G27</f>
        <v>1.1919999999999999</v>
      </c>
      <c r="G27" s="663"/>
      <c r="H27" s="80">
        <f t="shared" si="2"/>
        <v>0</v>
      </c>
      <c r="I27" s="101">
        <f t="shared" si="3"/>
        <v>0</v>
      </c>
      <c r="N27" s="601" t="s">
        <v>86</v>
      </c>
      <c r="O27" s="601"/>
      <c r="P27" s="642">
        <f t="shared" si="0"/>
        <v>0</v>
      </c>
      <c r="Q27" s="642"/>
      <c r="R27" s="647">
        <v>1</v>
      </c>
      <c r="S27" s="647"/>
      <c r="T27" s="95">
        <f t="shared" si="4"/>
        <v>0</v>
      </c>
      <c r="U27" s="473">
        <f t="shared" si="5"/>
        <v>0</v>
      </c>
    </row>
    <row r="28" spans="1:21" x14ac:dyDescent="0.25">
      <c r="A28" s="578" t="s">
        <v>87</v>
      </c>
      <c r="B28" s="578"/>
      <c r="C28" s="143">
        <v>0</v>
      </c>
      <c r="D28" s="143">
        <v>0</v>
      </c>
      <c r="E28" s="116">
        <f t="shared" si="1"/>
        <v>0</v>
      </c>
      <c r="F28" s="663">
        <f>'1461'!F28:G28</f>
        <v>1.1919999999999999</v>
      </c>
      <c r="G28" s="663"/>
      <c r="H28" s="80">
        <f t="shared" si="2"/>
        <v>0</v>
      </c>
      <c r="I28" s="101">
        <f t="shared" si="3"/>
        <v>0</v>
      </c>
      <c r="N28" s="601" t="s">
        <v>87</v>
      </c>
      <c r="O28" s="601"/>
      <c r="P28" s="642">
        <f t="shared" si="0"/>
        <v>0</v>
      </c>
      <c r="Q28" s="642"/>
      <c r="R28" s="647">
        <v>1</v>
      </c>
      <c r="S28" s="647"/>
      <c r="T28" s="95">
        <f t="shared" si="4"/>
        <v>0</v>
      </c>
      <c r="U28" s="473">
        <f t="shared" si="5"/>
        <v>0</v>
      </c>
    </row>
    <row r="29" spans="1:21" x14ac:dyDescent="0.25">
      <c r="A29" s="578" t="s">
        <v>88</v>
      </c>
      <c r="B29" s="578"/>
      <c r="C29" s="110">
        <v>0</v>
      </c>
      <c r="D29" s="110">
        <v>0</v>
      </c>
      <c r="E29" s="154">
        <f t="shared" si="1"/>
        <v>0</v>
      </c>
      <c r="F29" s="663">
        <f>'1461'!F29:G29</f>
        <v>1.079</v>
      </c>
      <c r="G29" s="663"/>
      <c r="H29" s="93">
        <f t="shared" si="2"/>
        <v>0</v>
      </c>
      <c r="I29" s="94">
        <f t="shared" si="3"/>
        <v>0</v>
      </c>
      <c r="N29" s="616" t="s">
        <v>88</v>
      </c>
      <c r="O29" s="616"/>
      <c r="P29" s="642">
        <f t="shared" si="0"/>
        <v>0</v>
      </c>
      <c r="Q29" s="642"/>
      <c r="R29" s="643">
        <v>1</v>
      </c>
      <c r="S29" s="643"/>
      <c r="T29" s="95">
        <f t="shared" si="4"/>
        <v>0</v>
      </c>
      <c r="U29" s="473">
        <f t="shared" si="5"/>
        <v>0</v>
      </c>
    </row>
    <row r="30" spans="1:21" x14ac:dyDescent="0.25">
      <c r="A30" s="590" t="s">
        <v>5</v>
      </c>
      <c r="B30" s="590"/>
      <c r="C30" s="94">
        <f>SUM(C14:C29)</f>
        <v>185.5</v>
      </c>
      <c r="D30" s="94">
        <f>SUM(D14:D29)</f>
        <v>184</v>
      </c>
      <c r="E30" s="94">
        <f>SUM(E14:E29)</f>
        <v>369.5</v>
      </c>
      <c r="F30" s="582"/>
      <c r="G30" s="582"/>
      <c r="H30" s="99">
        <f>SUM(H14:H29)</f>
        <v>1292.5495000000001</v>
      </c>
      <c r="I30" s="94">
        <f>SUM(I14:I29)</f>
        <v>7171690.2000000002</v>
      </c>
      <c r="N30" s="644" t="s">
        <v>5</v>
      </c>
      <c r="O30" s="644"/>
      <c r="P30" s="645">
        <f>SUM(P14:P29)</f>
        <v>369.5</v>
      </c>
      <c r="Q30" s="645"/>
      <c r="R30" s="617"/>
      <c r="S30" s="617"/>
      <c r="T30" s="100">
        <f>SUM(T14:T29)</f>
        <v>369.5</v>
      </c>
      <c r="U30" s="473">
        <f>SUM(U14:U29)</f>
        <v>2050164.8399999999</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0" t="s">
        <v>233</v>
      </c>
      <c r="G34" s="670"/>
      <c r="H34" s="670"/>
      <c r="I34" s="101"/>
      <c r="N34" s="28"/>
      <c r="O34" s="28"/>
      <c r="P34" s="29"/>
      <c r="Q34" s="29"/>
      <c r="R34" s="30"/>
      <c r="S34" s="30"/>
      <c r="T34" s="102"/>
      <c r="U34" s="103"/>
    </row>
    <row r="35" spans="1:21" hidden="1" x14ac:dyDescent="0.25">
      <c r="A35" s="3"/>
      <c r="B35" s="69"/>
      <c r="C35" s="69"/>
      <c r="D35" s="69"/>
      <c r="E35" s="69"/>
      <c r="F35" s="670"/>
      <c r="G35" s="670"/>
      <c r="H35" s="670"/>
      <c r="I35" s="24" t="s">
        <v>61</v>
      </c>
      <c r="N35" s="627" t="s">
        <v>26</v>
      </c>
      <c r="O35" s="627"/>
      <c r="P35" s="627"/>
      <c r="Q35" s="627"/>
      <c r="R35" s="627"/>
      <c r="S35" s="627"/>
      <c r="T35" s="627"/>
      <c r="U35" s="25" t="str">
        <f>I35</f>
        <v>2015-16</v>
      </c>
    </row>
    <row r="36" spans="1:21" hidden="1" x14ac:dyDescent="0.25">
      <c r="A36" s="26"/>
      <c r="B36" s="26"/>
      <c r="C36" s="88" t="s">
        <v>93</v>
      </c>
      <c r="D36" s="88" t="s">
        <v>94</v>
      </c>
      <c r="E36" s="89" t="s">
        <v>8</v>
      </c>
      <c r="F36" s="670"/>
      <c r="G36" s="670"/>
      <c r="H36" s="670"/>
      <c r="I36" s="24" t="s">
        <v>27</v>
      </c>
      <c r="N36" s="28"/>
      <c r="O36" s="28"/>
      <c r="P36" s="29"/>
      <c r="Q36" s="29"/>
      <c r="R36" s="30"/>
      <c r="S36" s="30"/>
      <c r="T36" s="102"/>
      <c r="U36" s="25" t="s">
        <v>27</v>
      </c>
    </row>
    <row r="37" spans="1:21" ht="26.25" hidden="1" x14ac:dyDescent="0.25">
      <c r="A37" s="572" t="s">
        <v>50</v>
      </c>
      <c r="B37" s="572"/>
      <c r="C37" s="90" t="s">
        <v>2</v>
      </c>
      <c r="D37" s="90" t="s">
        <v>2</v>
      </c>
      <c r="E37" s="90" t="s">
        <v>2</v>
      </c>
      <c r="F37" s="671"/>
      <c r="G37" s="671"/>
      <c r="H37" s="671"/>
      <c r="I37" s="31" t="s">
        <v>395</v>
      </c>
      <c r="N37" s="639" t="s">
        <v>50</v>
      </c>
      <c r="O37" s="639"/>
      <c r="P37" s="640" t="s">
        <v>19</v>
      </c>
      <c r="Q37" s="640"/>
      <c r="R37" s="640"/>
      <c r="S37" s="640"/>
      <c r="T37" s="640"/>
      <c r="U37" s="19" t="str">
        <f>I37</f>
        <v>(WFTE x BSA x CWF x SDF)</v>
      </c>
    </row>
    <row r="38" spans="1:21" hidden="1" x14ac:dyDescent="0.25">
      <c r="A38" s="576" t="s">
        <v>45</v>
      </c>
      <c r="B38" s="576"/>
      <c r="C38" s="147">
        <v>0</v>
      </c>
      <c r="D38" s="147">
        <v>0</v>
      </c>
      <c r="E38" s="187">
        <f t="shared" ref="E38:E43" si="6">IF(D$44=0,C38*2,C38+D38)</f>
        <v>0</v>
      </c>
      <c r="F38" s="148"/>
      <c r="G38" s="148"/>
      <c r="H38" s="148"/>
      <c r="I38" s="111">
        <f>ROUND(ROUND(ROUND(E38*$C$8,4)*($H$8),2)*(MAX($H$9,1)),2)</f>
        <v>0</v>
      </c>
      <c r="N38" s="641" t="s">
        <v>45</v>
      </c>
      <c r="O38" s="641"/>
      <c r="P38" s="608">
        <f t="shared" ref="P38:P43" si="7">IF($H$133=1,E38,0)</f>
        <v>0</v>
      </c>
      <c r="Q38" s="608"/>
      <c r="R38" s="608"/>
      <c r="S38" s="608"/>
      <c r="T38" s="608"/>
      <c r="U38" s="98">
        <f>ROUND(ROUND(ROUND(P38*$C$8,4)*($H$8),2)*(MAX($H$9,1)),2)</f>
        <v>0</v>
      </c>
    </row>
    <row r="39" spans="1:21" hidden="1" x14ac:dyDescent="0.25">
      <c r="A39" s="578" t="s">
        <v>46</v>
      </c>
      <c r="B39" s="578"/>
      <c r="C39" s="150">
        <v>0</v>
      </c>
      <c r="D39" s="150">
        <v>0</v>
      </c>
      <c r="E39" s="116">
        <f t="shared" si="6"/>
        <v>0</v>
      </c>
      <c r="F39" s="151"/>
      <c r="G39" s="151"/>
      <c r="H39" s="151"/>
      <c r="I39" s="101">
        <f t="shared" ref="I39:I43" si="8">ROUND(ROUND(ROUND(E39*$C$8,4)*($H$8),2)*(MAX($H$9,1)),2)</f>
        <v>0</v>
      </c>
      <c r="N39" s="601" t="s">
        <v>46</v>
      </c>
      <c r="O39" s="601"/>
      <c r="P39" s="608">
        <f t="shared" si="7"/>
        <v>0</v>
      </c>
      <c r="Q39" s="608"/>
      <c r="R39" s="608"/>
      <c r="S39" s="608"/>
      <c r="T39" s="608"/>
      <c r="U39" s="98">
        <f t="shared" ref="U39:U43" si="9">ROUND(ROUND(ROUND(P39*$C$8,4)*($H$8),2)*(MAX($H$9,1)),2)</f>
        <v>0</v>
      </c>
    </row>
    <row r="40" spans="1:21" hidden="1" x14ac:dyDescent="0.25">
      <c r="A40" s="583" t="s">
        <v>47</v>
      </c>
      <c r="B40" s="583"/>
      <c r="C40" s="150">
        <v>0</v>
      </c>
      <c r="D40" s="150">
        <v>0</v>
      </c>
      <c r="E40" s="116">
        <f t="shared" si="6"/>
        <v>0</v>
      </c>
      <c r="F40" s="151"/>
      <c r="G40" s="151"/>
      <c r="H40" s="151"/>
      <c r="I40" s="101">
        <f t="shared" si="8"/>
        <v>0</v>
      </c>
      <c r="N40" s="646" t="s">
        <v>47</v>
      </c>
      <c r="O40" s="646"/>
      <c r="P40" s="608">
        <f t="shared" si="7"/>
        <v>0</v>
      </c>
      <c r="Q40" s="608"/>
      <c r="R40" s="608"/>
      <c r="S40" s="608"/>
      <c r="T40" s="608"/>
      <c r="U40" s="98">
        <f t="shared" si="9"/>
        <v>0</v>
      </c>
    </row>
    <row r="41" spans="1:21" hidden="1" x14ac:dyDescent="0.25">
      <c r="A41" s="578" t="s">
        <v>48</v>
      </c>
      <c r="B41" s="578"/>
      <c r="C41" s="150">
        <v>0</v>
      </c>
      <c r="D41" s="150">
        <v>0</v>
      </c>
      <c r="E41" s="116">
        <f t="shared" si="6"/>
        <v>0</v>
      </c>
      <c r="F41" s="151"/>
      <c r="G41" s="151"/>
      <c r="H41" s="151"/>
      <c r="I41" s="101">
        <f t="shared" si="8"/>
        <v>0</v>
      </c>
      <c r="N41" s="601" t="s">
        <v>48</v>
      </c>
      <c r="O41" s="601"/>
      <c r="P41" s="608">
        <f t="shared" si="7"/>
        <v>0</v>
      </c>
      <c r="Q41" s="608"/>
      <c r="R41" s="608"/>
      <c r="S41" s="608"/>
      <c r="T41" s="608"/>
      <c r="U41" s="98">
        <f t="shared" si="9"/>
        <v>0</v>
      </c>
    </row>
    <row r="42" spans="1:21" hidden="1" x14ac:dyDescent="0.25">
      <c r="A42" s="578" t="s">
        <v>49</v>
      </c>
      <c r="B42" s="578"/>
      <c r="C42" s="150">
        <v>0</v>
      </c>
      <c r="D42" s="150">
        <v>0</v>
      </c>
      <c r="E42" s="116">
        <f t="shared" si="6"/>
        <v>0</v>
      </c>
      <c r="F42" s="151"/>
      <c r="G42" s="151"/>
      <c r="H42" s="151"/>
      <c r="I42" s="101">
        <f t="shared" si="8"/>
        <v>0</v>
      </c>
      <c r="N42" s="601" t="s">
        <v>49</v>
      </c>
      <c r="O42" s="601"/>
      <c r="P42" s="608">
        <f t="shared" si="7"/>
        <v>0</v>
      </c>
      <c r="Q42" s="608"/>
      <c r="R42" s="608"/>
      <c r="S42" s="608"/>
      <c r="T42" s="608"/>
      <c r="U42" s="98">
        <f t="shared" si="9"/>
        <v>0</v>
      </c>
    </row>
    <row r="43" spans="1:21" hidden="1" x14ac:dyDescent="0.25">
      <c r="A43" s="578" t="s">
        <v>41</v>
      </c>
      <c r="B43" s="578"/>
      <c r="C43" s="149">
        <v>0</v>
      </c>
      <c r="D43" s="149">
        <v>0</v>
      </c>
      <c r="E43" s="154">
        <f t="shared" si="6"/>
        <v>0</v>
      </c>
      <c r="F43" s="151"/>
      <c r="G43" s="151"/>
      <c r="H43" s="151"/>
      <c r="I43" s="94">
        <f t="shared" si="8"/>
        <v>0</v>
      </c>
      <c r="N43" s="616" t="s">
        <v>41</v>
      </c>
      <c r="O43" s="616"/>
      <c r="P43" s="608">
        <f t="shared" si="7"/>
        <v>0</v>
      </c>
      <c r="Q43" s="608"/>
      <c r="R43" s="608"/>
      <c r="S43" s="608"/>
      <c r="T43" s="60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3" t="s">
        <v>43</v>
      </c>
      <c r="O44" s="603"/>
      <c r="P44" s="603"/>
      <c r="Q44" s="603"/>
      <c r="R44" s="33">
        <f>SUM(P38:R43)</f>
        <v>0</v>
      </c>
      <c r="S44" s="617" t="s">
        <v>51</v>
      </c>
      <c r="T44" s="617"/>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1292.5495000000001</v>
      </c>
      <c r="F46" s="34"/>
      <c r="G46" s="106"/>
      <c r="H46" s="107" t="s">
        <v>98</v>
      </c>
      <c r="I46" s="94">
        <f>SUM(I44,I30)</f>
        <v>7171690.2000000002</v>
      </c>
      <c r="N46" s="603" t="s">
        <v>44</v>
      </c>
      <c r="O46" s="603"/>
      <c r="P46" s="603"/>
      <c r="Q46" s="603"/>
      <c r="R46" s="35">
        <f>R44+T30</f>
        <v>369.5</v>
      </c>
      <c r="S46" s="617" t="s">
        <v>42</v>
      </c>
      <c r="T46" s="617"/>
      <c r="U46" s="108">
        <f>SUM(U44,U30)</f>
        <v>2050164.8399999999</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396</v>
      </c>
      <c r="B48" s="26"/>
      <c r="C48" s="26"/>
      <c r="D48" s="26"/>
      <c r="E48" s="26"/>
      <c r="F48" s="34"/>
      <c r="G48" s="27"/>
      <c r="H48" s="27"/>
      <c r="I48" s="101"/>
      <c r="N48" s="383" t="s">
        <v>396</v>
      </c>
      <c r="O48" s="28"/>
      <c r="P48" s="28"/>
      <c r="Q48" s="28"/>
      <c r="R48" s="35"/>
      <c r="S48" s="30"/>
      <c r="T48" s="30"/>
      <c r="U48" s="402"/>
    </row>
    <row r="49" spans="1:22" s="391" customFormat="1" ht="9" customHeight="1" x14ac:dyDescent="0.2">
      <c r="A49" s="481" t="s">
        <v>397</v>
      </c>
      <c r="F49" s="392"/>
      <c r="G49" s="393"/>
      <c r="H49" s="393"/>
      <c r="I49" s="394"/>
      <c r="N49" s="403" t="s">
        <v>397</v>
      </c>
      <c r="O49" s="395"/>
      <c r="P49" s="395"/>
      <c r="Q49" s="395"/>
      <c r="R49" s="396"/>
      <c r="S49" s="397"/>
      <c r="T49" s="397"/>
      <c r="U49" s="404"/>
    </row>
    <row r="50" spans="1:22" s="391" customFormat="1" ht="11.25" customHeight="1" x14ac:dyDescent="0.2">
      <c r="A50" s="483" t="s">
        <v>398</v>
      </c>
      <c r="F50" s="392"/>
      <c r="G50" s="393"/>
      <c r="H50" s="393"/>
      <c r="I50" s="394"/>
      <c r="N50" s="405" t="s">
        <v>398</v>
      </c>
      <c r="O50" s="395"/>
      <c r="P50" s="395"/>
      <c r="Q50" s="395"/>
      <c r="R50" s="396"/>
      <c r="S50" s="397"/>
      <c r="T50" s="397"/>
      <c r="U50" s="404"/>
    </row>
    <row r="51" spans="1:22" x14ac:dyDescent="0.25">
      <c r="A51" s="389"/>
      <c r="B51" s="399" t="s">
        <v>399</v>
      </c>
      <c r="C51" s="26"/>
      <c r="D51" s="26"/>
      <c r="E51" s="43" t="s">
        <v>400</v>
      </c>
      <c r="F51" s="400">
        <f>I46</f>
        <v>7171690.2000000002</v>
      </c>
      <c r="G51" s="109" t="s">
        <v>6</v>
      </c>
      <c r="H51" s="401">
        <v>4.5199999999999997E-2</v>
      </c>
      <c r="I51" s="101">
        <f>ROUND(F51*H51,2)</f>
        <v>324160.40000000002</v>
      </c>
      <c r="N51" s="406"/>
      <c r="O51" s="407" t="s">
        <v>399</v>
      </c>
      <c r="P51" s="28"/>
      <c r="Q51" s="44" t="s">
        <v>400</v>
      </c>
      <c r="R51" s="408">
        <f>U30</f>
        <v>2050164.8399999999</v>
      </c>
      <c r="S51" s="409" t="s">
        <v>6</v>
      </c>
      <c r="T51" s="410">
        <v>4.5199999999999997E-2</v>
      </c>
      <c r="U51" s="402">
        <f>ROUND(R51*T51,2)</f>
        <v>92667.45</v>
      </c>
    </row>
    <row r="52" spans="1:22" x14ac:dyDescent="0.25">
      <c r="A52" s="26"/>
      <c r="B52" s="81" t="s">
        <v>401</v>
      </c>
      <c r="C52" s="26"/>
      <c r="D52" s="26"/>
      <c r="E52" s="43" t="s">
        <v>400</v>
      </c>
      <c r="F52" s="400">
        <f>I46</f>
        <v>7171690.2000000002</v>
      </c>
      <c r="G52" s="109" t="s">
        <v>6</v>
      </c>
      <c r="H52" s="401">
        <v>1.41E-2</v>
      </c>
      <c r="I52" s="101">
        <f>ROUND(F52*H52,2)</f>
        <v>101120.83</v>
      </c>
      <c r="N52" s="28"/>
      <c r="O52" s="383" t="s">
        <v>401</v>
      </c>
      <c r="P52" s="28"/>
      <c r="Q52" s="44" t="s">
        <v>400</v>
      </c>
      <c r="R52" s="408">
        <f>U30</f>
        <v>2050164.8399999999</v>
      </c>
      <c r="S52" s="409" t="s">
        <v>6</v>
      </c>
      <c r="T52" s="410">
        <v>1.41E-2</v>
      </c>
      <c r="U52" s="411">
        <f>ROUND(R52*T52,2)</f>
        <v>28907.32</v>
      </c>
    </row>
    <row r="53" spans="1:22" x14ac:dyDescent="0.25">
      <c r="A53" s="26"/>
      <c r="B53" s="81" t="s">
        <v>402</v>
      </c>
      <c r="C53" s="26"/>
      <c r="D53" s="26"/>
      <c r="E53" s="43"/>
      <c r="F53" s="400"/>
      <c r="G53" s="109"/>
      <c r="H53" s="401"/>
      <c r="I53" s="97">
        <f>SUM(I51:I52)</f>
        <v>425281.23000000004</v>
      </c>
      <c r="N53" s="28"/>
      <c r="O53" s="383" t="s">
        <v>402</v>
      </c>
      <c r="P53" s="28"/>
      <c r="Q53" s="44"/>
      <c r="R53" s="408"/>
      <c r="S53" s="409"/>
      <c r="T53" s="410"/>
      <c r="U53" s="402">
        <f>SUM(U51:U52)</f>
        <v>121574.76999999999</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440</v>
      </c>
      <c r="G55" s="109" t="s">
        <v>441</v>
      </c>
      <c r="H55" s="454" t="s">
        <v>442</v>
      </c>
      <c r="I55" s="101"/>
      <c r="N55" s="448"/>
      <c r="O55" s="448"/>
      <c r="P55" s="464"/>
      <c r="Q55" s="465"/>
      <c r="R55" s="466"/>
      <c r="S55" s="468" t="s">
        <v>441</v>
      </c>
      <c r="T55" s="469" t="s">
        <v>442</v>
      </c>
      <c r="U55" s="467"/>
      <c r="V55" s="424"/>
    </row>
    <row r="56" spans="1:22" x14ac:dyDescent="0.25">
      <c r="A56" s="36" t="s">
        <v>443</v>
      </c>
      <c r="B56" s="36"/>
      <c r="C56" s="324" t="str">
        <f>'1461'!C56</f>
        <v>FTE</v>
      </c>
      <c r="D56" s="324" t="str">
        <f>'1461'!D56</f>
        <v>FTE</v>
      </c>
      <c r="E56" s="90" t="s">
        <v>2</v>
      </c>
      <c r="F56" s="439" t="s">
        <v>444</v>
      </c>
      <c r="G56" s="441" t="s">
        <v>444</v>
      </c>
      <c r="H56" s="455" t="s">
        <v>445</v>
      </c>
      <c r="I56" s="36"/>
      <c r="N56" s="459" t="s">
        <v>443</v>
      </c>
      <c r="O56" s="459"/>
      <c r="P56" s="620" t="s">
        <v>2</v>
      </c>
      <c r="Q56" s="620"/>
      <c r="R56" s="459" t="s">
        <v>449</v>
      </c>
      <c r="S56" s="450" t="s">
        <v>444</v>
      </c>
      <c r="T56" s="470" t="s">
        <v>445</v>
      </c>
      <c r="U56" s="459"/>
      <c r="V56" s="458"/>
    </row>
    <row r="57" spans="1:22" x14ac:dyDescent="0.25">
      <c r="A57" s="588" t="s">
        <v>447</v>
      </c>
      <c r="B57" s="588"/>
      <c r="C57" s="143">
        <v>0</v>
      </c>
      <c r="D57" s="143">
        <v>0</v>
      </c>
      <c r="E57" s="116">
        <f t="shared" ref="E57:E65" si="10">IF(D$66=0,C57*2,C57+D57)</f>
        <v>0</v>
      </c>
      <c r="F57" s="443" t="s">
        <v>439</v>
      </c>
      <c r="G57" s="443">
        <v>251</v>
      </c>
      <c r="H57" s="457">
        <f>'1461'!H57</f>
        <v>1047</v>
      </c>
      <c r="I57" s="101">
        <f>ROUND(E57*H57,2)</f>
        <v>0</v>
      </c>
      <c r="N57" s="618" t="s">
        <v>447</v>
      </c>
      <c r="O57" s="618"/>
      <c r="P57" s="621"/>
      <c r="Q57" s="621"/>
      <c r="R57" s="449" t="s">
        <v>439</v>
      </c>
      <c r="S57" s="449">
        <v>251</v>
      </c>
      <c r="T57" s="460">
        <f>H57</f>
        <v>1047</v>
      </c>
      <c r="U57" s="474">
        <f>ROUND(P57*T57,2)</f>
        <v>0</v>
      </c>
      <c r="V57" s="424"/>
    </row>
    <row r="58" spans="1:22" x14ac:dyDescent="0.25">
      <c r="A58" s="589"/>
      <c r="B58" s="589"/>
      <c r="C58" s="143">
        <v>0</v>
      </c>
      <c r="D58" s="143">
        <v>0</v>
      </c>
      <c r="E58" s="116">
        <f t="shared" si="10"/>
        <v>0</v>
      </c>
      <c r="F58" s="443" t="s">
        <v>439</v>
      </c>
      <c r="G58" s="443">
        <v>252</v>
      </c>
      <c r="H58" s="457">
        <f>'1461'!H58</f>
        <v>3380</v>
      </c>
      <c r="I58" s="101">
        <f t="shared" ref="I58:I65" si="11">ROUND(E58*H58,2)</f>
        <v>0</v>
      </c>
      <c r="N58" s="619"/>
      <c r="O58" s="619"/>
      <c r="P58" s="622"/>
      <c r="Q58" s="622"/>
      <c r="R58" s="449" t="s">
        <v>439</v>
      </c>
      <c r="S58" s="449">
        <v>252</v>
      </c>
      <c r="T58" s="460">
        <f t="shared" ref="T58:T65" si="12">H58</f>
        <v>3380</v>
      </c>
      <c r="U58" s="474">
        <f t="shared" ref="U58:U65" si="13">ROUND(P58*T58,2)</f>
        <v>0</v>
      </c>
      <c r="V58" s="424"/>
    </row>
    <row r="59" spans="1:22" x14ac:dyDescent="0.25">
      <c r="A59" s="589"/>
      <c r="B59" s="589"/>
      <c r="C59" s="143">
        <v>7</v>
      </c>
      <c r="D59" s="143">
        <v>7</v>
      </c>
      <c r="E59" s="116">
        <f t="shared" si="10"/>
        <v>14</v>
      </c>
      <c r="F59" s="443" t="s">
        <v>439</v>
      </c>
      <c r="G59" s="443">
        <v>253</v>
      </c>
      <c r="H59" s="457">
        <f>'1461'!H59</f>
        <v>6896</v>
      </c>
      <c r="I59" s="101">
        <f t="shared" si="11"/>
        <v>96544</v>
      </c>
      <c r="N59" s="619"/>
      <c r="O59" s="619"/>
      <c r="P59" s="622"/>
      <c r="Q59" s="622"/>
      <c r="R59" s="449" t="s">
        <v>439</v>
      </c>
      <c r="S59" s="449">
        <v>253</v>
      </c>
      <c r="T59" s="460">
        <f t="shared" si="12"/>
        <v>6896</v>
      </c>
      <c r="U59" s="474">
        <f t="shared" si="13"/>
        <v>0</v>
      </c>
      <c r="V59" s="424"/>
    </row>
    <row r="60" spans="1:22" x14ac:dyDescent="0.25">
      <c r="A60" s="589"/>
      <c r="B60" s="589"/>
      <c r="C60" s="143">
        <v>0</v>
      </c>
      <c r="D60" s="143">
        <v>0</v>
      </c>
      <c r="E60" s="116">
        <f t="shared" si="10"/>
        <v>0</v>
      </c>
      <c r="F60" s="444" t="s">
        <v>13</v>
      </c>
      <c r="G60" s="443">
        <v>251</v>
      </c>
      <c r="H60" s="457">
        <f>'1461'!H60</f>
        <v>1173</v>
      </c>
      <c r="I60" s="101">
        <f t="shared" si="11"/>
        <v>0</v>
      </c>
      <c r="N60" s="619"/>
      <c r="O60" s="619"/>
      <c r="P60" s="622"/>
      <c r="Q60" s="622"/>
      <c r="R60" s="40" t="s">
        <v>13</v>
      </c>
      <c r="S60" s="449">
        <v>251</v>
      </c>
      <c r="T60" s="460">
        <f t="shared" si="12"/>
        <v>1173</v>
      </c>
      <c r="U60" s="474">
        <f t="shared" si="13"/>
        <v>0</v>
      </c>
      <c r="V60" s="424"/>
    </row>
    <row r="61" spans="1:22" x14ac:dyDescent="0.25">
      <c r="A61" s="589"/>
      <c r="B61" s="589"/>
      <c r="C61" s="143">
        <v>0</v>
      </c>
      <c r="D61" s="143">
        <v>0</v>
      </c>
      <c r="E61" s="116">
        <f t="shared" si="10"/>
        <v>0</v>
      </c>
      <c r="F61" s="444" t="s">
        <v>13</v>
      </c>
      <c r="G61" s="443">
        <v>252</v>
      </c>
      <c r="H61" s="457">
        <f>'1461'!H61</f>
        <v>3506</v>
      </c>
      <c r="I61" s="101">
        <f t="shared" si="11"/>
        <v>0</v>
      </c>
      <c r="N61" s="619"/>
      <c r="O61" s="619"/>
      <c r="P61" s="622"/>
      <c r="Q61" s="622"/>
      <c r="R61" s="40" t="s">
        <v>13</v>
      </c>
      <c r="S61" s="449">
        <v>252</v>
      </c>
      <c r="T61" s="460">
        <f t="shared" si="12"/>
        <v>3506</v>
      </c>
      <c r="U61" s="474">
        <f t="shared" si="13"/>
        <v>0</v>
      </c>
      <c r="V61" s="424"/>
    </row>
    <row r="62" spans="1:22" x14ac:dyDescent="0.25">
      <c r="A62" s="589"/>
      <c r="B62" s="589"/>
      <c r="C62" s="143">
        <v>9</v>
      </c>
      <c r="D62" s="143">
        <v>11.5</v>
      </c>
      <c r="E62" s="116">
        <f>IF(D$66=0,C62*2,C62+D62)</f>
        <v>20.5</v>
      </c>
      <c r="F62" s="444" t="s">
        <v>13</v>
      </c>
      <c r="G62" s="443">
        <v>253</v>
      </c>
      <c r="H62" s="457">
        <f>'1461'!H62</f>
        <v>7023</v>
      </c>
      <c r="I62" s="101">
        <f t="shared" si="11"/>
        <v>143971.5</v>
      </c>
      <c r="N62" s="619"/>
      <c r="O62" s="619"/>
      <c r="P62" s="622"/>
      <c r="Q62" s="622"/>
      <c r="R62" s="40" t="s">
        <v>13</v>
      </c>
      <c r="S62" s="449">
        <v>253</v>
      </c>
      <c r="T62" s="460">
        <f t="shared" si="12"/>
        <v>7023</v>
      </c>
      <c r="U62" s="474">
        <f t="shared" si="13"/>
        <v>0</v>
      </c>
      <c r="V62" s="424"/>
    </row>
    <row r="63" spans="1:22" x14ac:dyDescent="0.25">
      <c r="A63" s="589"/>
      <c r="B63" s="589"/>
      <c r="C63" s="143">
        <v>0</v>
      </c>
      <c r="D63" s="143">
        <v>0</v>
      </c>
      <c r="E63" s="116">
        <f t="shared" si="10"/>
        <v>0</v>
      </c>
      <c r="F63" s="444" t="s">
        <v>14</v>
      </c>
      <c r="G63" s="443">
        <v>251</v>
      </c>
      <c r="H63" s="457">
        <f>'1461'!H63</f>
        <v>835</v>
      </c>
      <c r="I63" s="101">
        <f t="shared" si="11"/>
        <v>0</v>
      </c>
      <c r="N63" s="619"/>
      <c r="O63" s="619"/>
      <c r="P63" s="622"/>
      <c r="Q63" s="622"/>
      <c r="R63" s="40" t="s">
        <v>14</v>
      </c>
      <c r="S63" s="449">
        <v>251</v>
      </c>
      <c r="T63" s="460">
        <f t="shared" si="12"/>
        <v>835</v>
      </c>
      <c r="U63" s="474">
        <f t="shared" si="13"/>
        <v>0</v>
      </c>
      <c r="V63" s="424"/>
    </row>
    <row r="64" spans="1:22" x14ac:dyDescent="0.25">
      <c r="A64" s="589"/>
      <c r="B64" s="589"/>
      <c r="C64" s="143">
        <v>1.5</v>
      </c>
      <c r="D64" s="143">
        <v>1.41</v>
      </c>
      <c r="E64" s="116">
        <f t="shared" si="10"/>
        <v>2.91</v>
      </c>
      <c r="F64" s="444" t="s">
        <v>14</v>
      </c>
      <c r="G64" s="443">
        <v>252</v>
      </c>
      <c r="H64" s="457">
        <f>'1461'!H64</f>
        <v>3168</v>
      </c>
      <c r="I64" s="101">
        <f t="shared" si="11"/>
        <v>9218.8799999999992</v>
      </c>
      <c r="N64" s="619"/>
      <c r="O64" s="619"/>
      <c r="P64" s="622"/>
      <c r="Q64" s="622"/>
      <c r="R64" s="40" t="s">
        <v>14</v>
      </c>
      <c r="S64" s="449">
        <v>252</v>
      </c>
      <c r="T64" s="460">
        <f t="shared" si="12"/>
        <v>3168</v>
      </c>
      <c r="U64" s="474">
        <f t="shared" si="13"/>
        <v>0</v>
      </c>
      <c r="V64" s="424"/>
    </row>
    <row r="65" spans="1:22" ht="16.5" thickBot="1" x14ac:dyDescent="0.3">
      <c r="A65" s="589"/>
      <c r="B65" s="589"/>
      <c r="C65" s="143">
        <v>22</v>
      </c>
      <c r="D65" s="143">
        <v>27.59</v>
      </c>
      <c r="E65" s="116">
        <f t="shared" si="10"/>
        <v>49.59</v>
      </c>
      <c r="F65" s="444" t="s">
        <v>14</v>
      </c>
      <c r="G65" s="443">
        <v>253</v>
      </c>
      <c r="H65" s="457">
        <f>'1461'!H65</f>
        <v>6685</v>
      </c>
      <c r="I65" s="101">
        <f t="shared" si="11"/>
        <v>331509.15000000002</v>
      </c>
      <c r="N65" s="619"/>
      <c r="O65" s="619"/>
      <c r="P65" s="623"/>
      <c r="Q65" s="623"/>
      <c r="R65" s="40" t="s">
        <v>14</v>
      </c>
      <c r="S65" s="449">
        <v>253</v>
      </c>
      <c r="T65" s="460">
        <f t="shared" si="12"/>
        <v>6685</v>
      </c>
      <c r="U65" s="475">
        <f t="shared" si="13"/>
        <v>0</v>
      </c>
      <c r="V65" s="424"/>
    </row>
    <row r="66" spans="1:22" ht="16.5" thickBot="1" x14ac:dyDescent="0.3">
      <c r="A66" s="440"/>
      <c r="C66" s="97">
        <f>SUM(C57:C65)</f>
        <v>39.5</v>
      </c>
      <c r="D66" s="97">
        <f>SUM(D57:D65)</f>
        <v>47.5</v>
      </c>
      <c r="E66" s="97">
        <f>SUM(E57:E65)</f>
        <v>87</v>
      </c>
      <c r="F66" s="590" t="s">
        <v>448</v>
      </c>
      <c r="G66" s="590"/>
      <c r="H66" s="590"/>
      <c r="I66" s="97">
        <f>SUM(I57:I65)</f>
        <v>581243.53</v>
      </c>
      <c r="N66" s="446"/>
      <c r="O66" s="51"/>
      <c r="P66" s="602">
        <f>SUM(P57:P65)</f>
        <v>0</v>
      </c>
      <c r="Q66" s="602"/>
      <c r="R66" s="603" t="s">
        <v>448</v>
      </c>
      <c r="S66" s="603"/>
      <c r="T66" s="603"/>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450</v>
      </c>
      <c r="N68" s="453" t="s">
        <v>458</v>
      </c>
      <c r="O68" s="51"/>
      <c r="P68" s="51"/>
      <c r="Q68" s="51"/>
      <c r="R68" s="51"/>
      <c r="S68" s="51"/>
      <c r="T68" s="51"/>
      <c r="U68" s="51"/>
    </row>
    <row r="69" spans="1:22" x14ac:dyDescent="0.25">
      <c r="A69" s="584" t="s">
        <v>403</v>
      </c>
      <c r="B69" s="578"/>
      <c r="C69" s="112">
        <f>E30</f>
        <v>369.5</v>
      </c>
      <c r="D69" s="565" t="s">
        <v>414</v>
      </c>
      <c r="E69" s="565"/>
      <c r="F69" s="565"/>
      <c r="G69" s="565"/>
      <c r="H69" s="300">
        <f>'1461'!H69</f>
        <v>210228.91</v>
      </c>
      <c r="I69" s="113"/>
      <c r="N69" s="600" t="s">
        <v>407</v>
      </c>
      <c r="O69" s="601"/>
      <c r="P69" s="41">
        <f>P30</f>
        <v>369.5</v>
      </c>
      <c r="Q69" s="606" t="s">
        <v>409</v>
      </c>
      <c r="R69" s="607"/>
      <c r="S69" s="607"/>
      <c r="T69" s="604">
        <f>H69</f>
        <v>210228.91</v>
      </c>
      <c r="U69" s="604"/>
    </row>
    <row r="70" spans="1:22" x14ac:dyDescent="0.25">
      <c r="B70" s="69"/>
      <c r="G70" s="42" t="s">
        <v>12</v>
      </c>
      <c r="H70" s="114">
        <f>ROUND(C69/H69,6)</f>
        <v>1.758E-3</v>
      </c>
      <c r="I70" s="115"/>
      <c r="N70" s="601"/>
      <c r="O70" s="601"/>
      <c r="P70" s="601"/>
      <c r="Q70" s="601"/>
      <c r="R70" s="601"/>
      <c r="S70" s="601"/>
      <c r="T70" s="605">
        <f>ROUND(P69/T69,6)</f>
        <v>1.758E-3</v>
      </c>
      <c r="U70" s="605"/>
    </row>
    <row r="71" spans="1:22" x14ac:dyDescent="0.25">
      <c r="A71" s="442" t="s">
        <v>451</v>
      </c>
      <c r="N71" s="453" t="s">
        <v>459</v>
      </c>
      <c r="O71" s="51"/>
      <c r="P71" s="51"/>
      <c r="Q71" s="51"/>
      <c r="R71" s="51"/>
      <c r="S71" s="51"/>
      <c r="T71" s="51"/>
      <c r="U71" s="51"/>
    </row>
    <row r="72" spans="1:22" x14ac:dyDescent="0.25">
      <c r="A72" s="584" t="s">
        <v>404</v>
      </c>
      <c r="B72" s="578"/>
      <c r="C72" s="112">
        <f>H30</f>
        <v>1292.5495000000001</v>
      </c>
      <c r="D72" s="565" t="s">
        <v>415</v>
      </c>
      <c r="E72" s="565"/>
      <c r="F72" s="565"/>
      <c r="G72" s="565"/>
      <c r="H72" s="301">
        <f>'1461'!H72</f>
        <v>234891.44</v>
      </c>
      <c r="I72" s="116"/>
      <c r="N72" s="600" t="s">
        <v>408</v>
      </c>
      <c r="O72" s="601"/>
      <c r="P72" s="41">
        <f>T30</f>
        <v>369.5</v>
      </c>
      <c r="Q72" s="606" t="s">
        <v>410</v>
      </c>
      <c r="R72" s="607"/>
      <c r="S72" s="607"/>
      <c r="T72" s="604">
        <f>H72</f>
        <v>234891.44</v>
      </c>
      <c r="U72" s="604"/>
    </row>
    <row r="73" spans="1:22" x14ac:dyDescent="0.25">
      <c r="G73" s="42" t="s">
        <v>12</v>
      </c>
      <c r="H73" s="114">
        <f>ROUND(C72/H72,6)</f>
        <v>5.5030000000000001E-3</v>
      </c>
      <c r="I73" s="114"/>
      <c r="N73" s="601"/>
      <c r="O73" s="601"/>
      <c r="P73" s="601"/>
      <c r="Q73" s="601"/>
      <c r="R73" s="601"/>
      <c r="S73" s="601"/>
      <c r="T73" s="605">
        <f>ROUND(P72/T72,6)</f>
        <v>1.573E-3</v>
      </c>
      <c r="U73" s="605"/>
    </row>
    <row r="74" spans="1:22" x14ac:dyDescent="0.25">
      <c r="A74" s="417" t="s">
        <v>452</v>
      </c>
      <c r="B74" s="414"/>
      <c r="C74" s="414"/>
      <c r="D74" s="414"/>
      <c r="E74" s="414"/>
      <c r="F74" s="414"/>
      <c r="G74" s="414"/>
      <c r="H74" s="414"/>
      <c r="I74" s="414"/>
      <c r="N74" s="416" t="s">
        <v>460</v>
      </c>
      <c r="O74" s="415"/>
      <c r="P74" s="415"/>
      <c r="Q74" s="415"/>
      <c r="R74" s="415"/>
      <c r="S74" s="415"/>
      <c r="T74" s="415"/>
      <c r="U74" s="415"/>
      <c r="V74" s="414"/>
    </row>
    <row r="75" spans="1:22" x14ac:dyDescent="0.25">
      <c r="A75" s="584" t="s">
        <v>405</v>
      </c>
      <c r="B75" s="578"/>
      <c r="C75" s="112">
        <f>E30</f>
        <v>369.5</v>
      </c>
      <c r="D75" s="557" t="s">
        <v>416</v>
      </c>
      <c r="E75" s="557"/>
      <c r="F75" s="557"/>
      <c r="G75" s="557"/>
      <c r="H75" s="300">
        <f>'1461'!H75</f>
        <v>187665.41</v>
      </c>
      <c r="I75" s="113"/>
      <c r="N75" s="600" t="s">
        <v>406</v>
      </c>
      <c r="O75" s="601"/>
      <c r="P75" s="41">
        <f>P30</f>
        <v>369.5</v>
      </c>
      <c r="Q75" s="636" t="s">
        <v>411</v>
      </c>
      <c r="R75" s="637"/>
      <c r="S75" s="637"/>
      <c r="T75" s="604">
        <f>H75</f>
        <v>187665.41</v>
      </c>
      <c r="U75" s="604"/>
    </row>
    <row r="76" spans="1:22" x14ac:dyDescent="0.25">
      <c r="B76" s="69"/>
      <c r="G76" s="42" t="s">
        <v>12</v>
      </c>
      <c r="H76" s="114">
        <f>ROUND(C75/H75,6)</f>
        <v>1.9689999999999998E-3</v>
      </c>
      <c r="I76" s="115"/>
      <c r="N76" s="601"/>
      <c r="O76" s="601"/>
      <c r="P76" s="601"/>
      <c r="Q76" s="601"/>
      <c r="R76" s="601"/>
      <c r="S76" s="601"/>
      <c r="T76" s="605">
        <f>ROUND(P75/T75,6)</f>
        <v>1.9689999999999998E-3</v>
      </c>
      <c r="U76" s="605"/>
    </row>
    <row r="77" spans="1:22" x14ac:dyDescent="0.25">
      <c r="A77" s="417" t="s">
        <v>453</v>
      </c>
      <c r="B77" s="414"/>
      <c r="C77" s="414"/>
      <c r="D77" s="414"/>
      <c r="E77" s="414"/>
      <c r="F77" s="414"/>
      <c r="G77" s="414"/>
      <c r="H77" s="414"/>
      <c r="I77" s="414"/>
      <c r="N77" s="416" t="s">
        <v>461</v>
      </c>
      <c r="O77" s="415"/>
      <c r="P77" s="415"/>
      <c r="Q77" s="415"/>
      <c r="R77" s="415"/>
      <c r="S77" s="415"/>
      <c r="T77" s="415"/>
      <c r="U77" s="415"/>
      <c r="V77" s="414"/>
    </row>
    <row r="78" spans="1:22" x14ac:dyDescent="0.25">
      <c r="A78" s="584" t="s">
        <v>405</v>
      </c>
      <c r="B78" s="578"/>
      <c r="C78" s="112">
        <f>E30</f>
        <v>369.5</v>
      </c>
      <c r="D78" s="585" t="s">
        <v>417</v>
      </c>
      <c r="E78" s="585"/>
      <c r="F78" s="585"/>
      <c r="G78" s="585"/>
      <c r="H78" s="300">
        <f>'1461'!H78</f>
        <v>209892.26</v>
      </c>
      <c r="I78" s="113"/>
      <c r="N78" s="600" t="s">
        <v>406</v>
      </c>
      <c r="O78" s="601"/>
      <c r="P78" s="41">
        <f>P30</f>
        <v>369.5</v>
      </c>
      <c r="Q78" s="634" t="s">
        <v>412</v>
      </c>
      <c r="R78" s="635"/>
      <c r="S78" s="635"/>
      <c r="T78" s="604">
        <f>H78</f>
        <v>209892.26</v>
      </c>
      <c r="U78" s="604"/>
    </row>
    <row r="79" spans="1:22" x14ac:dyDescent="0.25">
      <c r="B79" s="69"/>
      <c r="G79" s="42" t="s">
        <v>12</v>
      </c>
      <c r="H79" s="114">
        <f>ROUND(C78/H78,6)</f>
        <v>1.7600000000000001E-3</v>
      </c>
      <c r="I79" s="115"/>
      <c r="N79" s="601"/>
      <c r="O79" s="601"/>
      <c r="P79" s="601"/>
      <c r="Q79" s="601"/>
      <c r="R79" s="601"/>
      <c r="S79" s="601"/>
      <c r="T79" s="605">
        <f>ROUND(P78/T78,6)</f>
        <v>1.7600000000000001E-3</v>
      </c>
      <c r="U79" s="605"/>
    </row>
    <row r="80" spans="1:22" x14ac:dyDescent="0.25">
      <c r="A80" s="417" t="s">
        <v>454</v>
      </c>
      <c r="B80" s="414"/>
      <c r="C80" s="414"/>
      <c r="D80" s="414"/>
      <c r="E80" s="414"/>
      <c r="F80" s="414"/>
      <c r="G80" s="414"/>
      <c r="H80" s="414"/>
      <c r="I80" s="414"/>
      <c r="N80" s="416" t="s">
        <v>462</v>
      </c>
      <c r="O80" s="415"/>
      <c r="P80" s="415"/>
      <c r="Q80" s="415"/>
      <c r="R80" s="415"/>
      <c r="S80" s="415"/>
      <c r="T80" s="415"/>
      <c r="U80" s="415"/>
      <c r="V80" s="414"/>
    </row>
    <row r="81" spans="1:21" x14ac:dyDescent="0.25">
      <c r="A81" s="584" t="s">
        <v>413</v>
      </c>
      <c r="B81" s="578"/>
      <c r="C81" s="112">
        <f>E30</f>
        <v>369.5</v>
      </c>
      <c r="D81" s="557" t="s">
        <v>418</v>
      </c>
      <c r="E81" s="557"/>
      <c r="F81" s="557"/>
      <c r="G81" s="557"/>
      <c r="H81" s="300">
        <f>'1461'!H81</f>
        <v>187328.76</v>
      </c>
      <c r="I81" s="113"/>
      <c r="N81" s="600" t="s">
        <v>419</v>
      </c>
      <c r="O81" s="601"/>
      <c r="P81" s="41">
        <f>P30</f>
        <v>369.5</v>
      </c>
      <c r="Q81" s="636" t="s">
        <v>420</v>
      </c>
      <c r="R81" s="637"/>
      <c r="S81" s="637"/>
      <c r="T81" s="604">
        <f>H81</f>
        <v>187328.76</v>
      </c>
      <c r="U81" s="604"/>
    </row>
    <row r="82" spans="1:21" x14ac:dyDescent="0.25">
      <c r="B82" s="69"/>
      <c r="G82" s="42" t="s">
        <v>12</v>
      </c>
      <c r="H82" s="114">
        <f>ROUND(C81/H81,6)</f>
        <v>1.9719999999999998E-3</v>
      </c>
      <c r="I82" s="115"/>
      <c r="N82" s="601"/>
      <c r="O82" s="601"/>
      <c r="P82" s="601"/>
      <c r="Q82" s="601"/>
      <c r="R82" s="601"/>
      <c r="S82" s="601"/>
      <c r="T82" s="605">
        <f>ROUND(P81/T81,6)</f>
        <v>1.9719999999999998E-3</v>
      </c>
      <c r="U82" s="605"/>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455</v>
      </c>
      <c r="D85" s="69"/>
      <c r="E85" s="43" t="s">
        <v>299</v>
      </c>
      <c r="F85" s="302">
        <f>'1461'!F85</f>
        <v>46163704</v>
      </c>
      <c r="G85" s="37" t="s">
        <v>6</v>
      </c>
      <c r="H85" s="422">
        <f>H79</f>
        <v>1.7600000000000001E-3</v>
      </c>
      <c r="I85" s="101">
        <f>ROUND(F85*H85,2)</f>
        <v>81248.12</v>
      </c>
      <c r="N85" s="453" t="s">
        <v>455</v>
      </c>
      <c r="O85" s="51"/>
      <c r="P85" s="51"/>
      <c r="Q85" s="44"/>
      <c r="R85" s="419">
        <f>F85</f>
        <v>46163704</v>
      </c>
      <c r="S85" s="38" t="s">
        <v>6</v>
      </c>
      <c r="T85" s="421">
        <f>T79</f>
        <v>1.7600000000000001E-3</v>
      </c>
      <c r="U85" s="473">
        <f>ROUND(R85*T85,2)</f>
        <v>81248.12</v>
      </c>
    </row>
    <row r="86" spans="1:21" x14ac:dyDescent="0.25">
      <c r="A86" s="399"/>
      <c r="D86" s="69"/>
      <c r="E86" s="43"/>
      <c r="F86" s="117"/>
      <c r="G86" s="37"/>
      <c r="H86" s="422"/>
      <c r="I86" s="101"/>
      <c r="N86" s="51"/>
      <c r="O86" s="51"/>
      <c r="P86" s="51"/>
      <c r="Q86" s="44"/>
      <c r="R86" s="420"/>
      <c r="S86" s="38"/>
      <c r="T86" s="421"/>
      <c r="U86" s="477"/>
    </row>
    <row r="87" spans="1:21" x14ac:dyDescent="0.25">
      <c r="A87" s="587" t="s">
        <v>71</v>
      </c>
      <c r="B87" s="578"/>
      <c r="C87" s="578"/>
      <c r="D87" s="69"/>
      <c r="E87" s="43"/>
      <c r="F87" s="117"/>
      <c r="G87" s="37"/>
      <c r="H87" s="422"/>
      <c r="I87" s="101"/>
      <c r="N87" s="600" t="s">
        <v>463</v>
      </c>
      <c r="O87" s="601"/>
      <c r="P87" s="601"/>
      <c r="Q87" s="51"/>
      <c r="R87" s="420"/>
      <c r="S87" s="51"/>
      <c r="T87" s="38"/>
      <c r="U87" s="478"/>
    </row>
    <row r="88" spans="1:21" x14ac:dyDescent="0.25">
      <c r="A88" s="587" t="s">
        <v>99</v>
      </c>
      <c r="B88" s="578"/>
      <c r="C88" s="578"/>
      <c r="D88" s="69"/>
      <c r="E88" s="43" t="s">
        <v>3</v>
      </c>
      <c r="F88" s="302">
        <f>'1461'!F88</f>
        <v>0</v>
      </c>
      <c r="G88" s="37" t="s">
        <v>6</v>
      </c>
      <c r="H88" s="422">
        <f>H70</f>
        <v>1.758E-3</v>
      </c>
      <c r="I88" s="101">
        <f>ROUND(F88*H88,2)</f>
        <v>0</v>
      </c>
      <c r="N88" s="638" t="s">
        <v>99</v>
      </c>
      <c r="O88" s="601"/>
      <c r="P88" s="601"/>
      <c r="Q88" s="44"/>
      <c r="R88" s="419">
        <f>F88</f>
        <v>0</v>
      </c>
      <c r="S88" s="38" t="s">
        <v>6</v>
      </c>
      <c r="T88" s="421">
        <f>T70</f>
        <v>1.758E-3</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456</v>
      </c>
      <c r="D90" s="69"/>
      <c r="E90" s="43" t="s">
        <v>421</v>
      </c>
      <c r="F90" s="302">
        <f>'1461'!F90</f>
        <v>19042026</v>
      </c>
      <c r="G90" s="37" t="s">
        <v>6</v>
      </c>
      <c r="H90" s="422">
        <f>H82</f>
        <v>1.9719999999999998E-3</v>
      </c>
      <c r="I90" s="101">
        <f>ROUND(F90*H90,2)</f>
        <v>37550.879999999997</v>
      </c>
      <c r="N90" s="453" t="s">
        <v>456</v>
      </c>
      <c r="O90" s="51"/>
      <c r="P90" s="51"/>
      <c r="Q90" s="44"/>
      <c r="R90" s="419">
        <f>F90</f>
        <v>19042026</v>
      </c>
      <c r="S90" s="38" t="s">
        <v>6</v>
      </c>
      <c r="T90" s="421">
        <f>T82</f>
        <v>1.9719999999999998E-3</v>
      </c>
      <c r="U90" s="473">
        <f>ROUND(R90*T90,2)</f>
        <v>37550.879999999997</v>
      </c>
    </row>
    <row r="91" spans="1:21" x14ac:dyDescent="0.25">
      <c r="A91" s="399"/>
      <c r="D91" s="69"/>
      <c r="E91" s="43"/>
      <c r="F91" s="117"/>
      <c r="G91" s="37"/>
      <c r="H91" s="422"/>
      <c r="I91" s="101"/>
      <c r="N91" s="407"/>
      <c r="O91" s="51"/>
      <c r="P91" s="51"/>
      <c r="Q91" s="44"/>
      <c r="R91" s="419"/>
      <c r="S91" s="38"/>
      <c r="T91" s="421"/>
      <c r="U91" s="473"/>
    </row>
    <row r="92" spans="1:21" x14ac:dyDescent="0.25">
      <c r="A92" s="451" t="s">
        <v>457</v>
      </c>
      <c r="D92" s="69"/>
      <c r="E92" s="43" t="s">
        <v>3</v>
      </c>
      <c r="F92" s="302">
        <f>'1461'!F92</f>
        <v>11441151</v>
      </c>
      <c r="G92" s="37" t="s">
        <v>6</v>
      </c>
      <c r="H92" s="422">
        <f>H76</f>
        <v>1.9689999999999998E-3</v>
      </c>
      <c r="I92" s="101">
        <f t="shared" ref="I92:I96" si="14">ROUND(F92*H92,2)</f>
        <v>22527.63</v>
      </c>
      <c r="N92" s="453" t="s">
        <v>457</v>
      </c>
      <c r="O92" s="51"/>
      <c r="P92" s="51"/>
      <c r="Q92" s="44"/>
      <c r="R92" s="419">
        <f t="shared" ref="R92:R96" si="15">F92</f>
        <v>11441151</v>
      </c>
      <c r="S92" s="38" t="s">
        <v>6</v>
      </c>
      <c r="T92" s="421">
        <f>T76</f>
        <v>1.9689999999999998E-3</v>
      </c>
      <c r="U92" s="473">
        <f>ROUND(R92*T92,2)</f>
        <v>22527.63</v>
      </c>
    </row>
    <row r="93" spans="1:21" x14ac:dyDescent="0.25">
      <c r="A93" s="81"/>
      <c r="D93" s="69"/>
      <c r="E93" s="43"/>
      <c r="F93" s="117"/>
      <c r="G93" s="37"/>
      <c r="H93" s="422"/>
      <c r="I93" s="101"/>
      <c r="N93" s="383"/>
      <c r="O93" s="51"/>
      <c r="P93" s="51"/>
      <c r="Q93" s="44"/>
      <c r="R93" s="420"/>
      <c r="S93" s="38"/>
      <c r="T93" s="421"/>
      <c r="U93" s="477"/>
    </row>
    <row r="94" spans="1:21" x14ac:dyDescent="0.25">
      <c r="A94" s="584" t="s">
        <v>422</v>
      </c>
      <c r="B94" s="578"/>
      <c r="C94" s="578"/>
      <c r="D94" s="69"/>
      <c r="E94" s="43" t="s">
        <v>4</v>
      </c>
      <c r="F94" s="302">
        <f>'1461'!F94</f>
        <v>247265670</v>
      </c>
      <c r="G94" s="37" t="s">
        <v>6</v>
      </c>
      <c r="H94" s="422">
        <f>H73</f>
        <v>5.5030000000000001E-3</v>
      </c>
      <c r="I94" s="101">
        <f t="shared" si="14"/>
        <v>1360702.98</v>
      </c>
      <c r="N94" s="601" t="s">
        <v>422</v>
      </c>
      <c r="O94" s="601"/>
      <c r="P94" s="601"/>
      <c r="Q94" s="44"/>
      <c r="R94" s="419">
        <f t="shared" si="15"/>
        <v>247265670</v>
      </c>
      <c r="S94" s="38" t="s">
        <v>6</v>
      </c>
      <c r="T94" s="421">
        <f>T73</f>
        <v>1.573E-3</v>
      </c>
      <c r="U94" s="473">
        <f>ROUND(R94*T94,2)</f>
        <v>388948.9</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4" t="s">
        <v>423</v>
      </c>
      <c r="B96" s="578"/>
      <c r="C96" s="578"/>
      <c r="D96" s="69"/>
      <c r="E96" s="43" t="s">
        <v>4</v>
      </c>
      <c r="F96" s="302">
        <f>'1461'!F96</f>
        <v>0</v>
      </c>
      <c r="G96" s="37" t="s">
        <v>6</v>
      </c>
      <c r="H96" s="422">
        <f>H73</f>
        <v>5.5030000000000001E-3</v>
      </c>
      <c r="I96" s="101">
        <f t="shared" si="14"/>
        <v>0</v>
      </c>
      <c r="N96" s="600" t="s">
        <v>423</v>
      </c>
      <c r="O96" s="601"/>
      <c r="P96" s="601"/>
      <c r="Q96" s="44"/>
      <c r="R96" s="419">
        <f t="shared" si="15"/>
        <v>0</v>
      </c>
      <c r="S96" s="38" t="s">
        <v>6</v>
      </c>
      <c r="T96" s="421">
        <f>T73</f>
        <v>1.573E-3</v>
      </c>
      <c r="U96" s="473">
        <f>ROUND(R96*T96,2)</f>
        <v>0</v>
      </c>
    </row>
    <row r="97" spans="1:21" x14ac:dyDescent="0.25">
      <c r="A97" s="530"/>
      <c r="B97" s="529"/>
      <c r="C97" s="529"/>
      <c r="D97" s="529"/>
      <c r="E97" s="527"/>
      <c r="F97" s="117"/>
      <c r="G97" s="528"/>
      <c r="H97" s="422"/>
      <c r="I97" s="101"/>
      <c r="N97" s="533"/>
      <c r="O97" s="532"/>
      <c r="P97" s="532"/>
      <c r="Q97" s="44"/>
      <c r="R97" s="535"/>
      <c r="S97" s="534"/>
      <c r="T97" s="421"/>
      <c r="U97" s="477"/>
    </row>
    <row r="98" spans="1:21" x14ac:dyDescent="0.25">
      <c r="A98" s="530" t="s">
        <v>497</v>
      </c>
      <c r="B98" s="529"/>
      <c r="C98" s="529"/>
      <c r="D98" s="529"/>
      <c r="E98" s="527" t="s">
        <v>3</v>
      </c>
      <c r="F98" s="290">
        <v>0</v>
      </c>
      <c r="G98" s="528" t="s">
        <v>6</v>
      </c>
      <c r="H98" s="422">
        <f>H70</f>
        <v>1.758E-3</v>
      </c>
      <c r="I98" s="101">
        <f t="shared" ref="I98" si="16">ROUND(F98*H98,2)</f>
        <v>0</v>
      </c>
      <c r="N98" s="533" t="s">
        <v>497</v>
      </c>
      <c r="O98" s="533"/>
      <c r="P98" s="533"/>
      <c r="Q98" s="44"/>
      <c r="R98" s="536">
        <f>F98</f>
        <v>0</v>
      </c>
      <c r="S98" s="534" t="s">
        <v>6</v>
      </c>
      <c r="T98" s="421">
        <f>T70</f>
        <v>1.758E-3</v>
      </c>
      <c r="U98" s="473">
        <f>ROUND(R98*T98,2)</f>
        <v>0</v>
      </c>
    </row>
    <row r="99" spans="1:21" x14ac:dyDescent="0.25">
      <c r="A99" s="530"/>
      <c r="B99" s="529"/>
      <c r="C99" s="529"/>
      <c r="D99" s="529"/>
      <c r="E99" s="527"/>
      <c r="F99" s="276"/>
      <c r="G99" s="528"/>
      <c r="H99" s="422"/>
      <c r="I99" s="101"/>
      <c r="N99" s="533"/>
      <c r="O99" s="533"/>
      <c r="P99" s="533"/>
      <c r="Q99" s="44"/>
      <c r="R99" s="535"/>
      <c r="S99" s="534"/>
      <c r="T99" s="421"/>
      <c r="U99" s="477"/>
    </row>
    <row r="100" spans="1:21" x14ac:dyDescent="0.25">
      <c r="A100" s="530"/>
      <c r="B100" s="529"/>
      <c r="C100" s="529"/>
      <c r="D100" s="529"/>
      <c r="E100" s="527"/>
      <c r="F100" s="276"/>
      <c r="G100" s="528"/>
      <c r="H100" s="422"/>
      <c r="I100" s="101"/>
      <c r="N100" s="533"/>
      <c r="O100" s="533"/>
      <c r="P100" s="533"/>
      <c r="Q100" s="44"/>
      <c r="R100" s="420"/>
      <c r="S100" s="534"/>
      <c r="T100" s="421"/>
      <c r="U100" s="103"/>
    </row>
    <row r="101" spans="1:21" x14ac:dyDescent="0.25">
      <c r="A101" s="399" t="s">
        <v>498</v>
      </c>
      <c r="N101" s="407" t="s">
        <v>498</v>
      </c>
      <c r="O101" s="51"/>
      <c r="P101" s="51"/>
      <c r="Q101" s="51"/>
      <c r="R101" s="51"/>
      <c r="S101" s="51"/>
      <c r="T101" s="51"/>
      <c r="U101" s="51"/>
    </row>
    <row r="102" spans="1:21" x14ac:dyDescent="0.25">
      <c r="B102" s="69"/>
      <c r="C102" s="563" t="s">
        <v>60</v>
      </c>
      <c r="D102" s="563"/>
      <c r="E102" s="69"/>
      <c r="F102" s="39" t="s">
        <v>28</v>
      </c>
      <c r="G102" s="69"/>
      <c r="H102" s="69"/>
      <c r="I102" s="69"/>
      <c r="N102" s="45"/>
      <c r="O102" s="45"/>
      <c r="P102" s="45"/>
      <c r="Q102" s="45"/>
      <c r="R102" s="45"/>
      <c r="S102" s="45"/>
      <c r="T102" s="45"/>
      <c r="U102" s="45"/>
    </row>
    <row r="103" spans="1:21" x14ac:dyDescent="0.25">
      <c r="A103" s="3"/>
      <c r="B103" s="118"/>
      <c r="C103" s="564" t="s">
        <v>101</v>
      </c>
      <c r="D103" s="564"/>
      <c r="E103" s="423" t="s">
        <v>426</v>
      </c>
      <c r="F103" s="120" t="s">
        <v>106</v>
      </c>
      <c r="G103" s="121"/>
      <c r="H103" s="121"/>
      <c r="I103" s="121"/>
      <c r="N103" s="631" t="s">
        <v>35</v>
      </c>
      <c r="O103" s="631"/>
      <c r="P103" s="672" t="s">
        <v>428</v>
      </c>
      <c r="Q103" s="633"/>
      <c r="R103" s="604" t="s">
        <v>31</v>
      </c>
      <c r="S103" s="604"/>
      <c r="T103" s="604"/>
      <c r="U103" s="604"/>
    </row>
    <row r="104" spans="1:21" x14ac:dyDescent="0.25">
      <c r="A104" s="26"/>
      <c r="B104" s="52" t="s">
        <v>105</v>
      </c>
      <c r="C104" s="596">
        <f>H14+H15+H20+H23+H26</f>
        <v>425.32249999999999</v>
      </c>
      <c r="D104" s="596"/>
      <c r="E104" s="46">
        <f>H8</f>
        <v>1.0407999999999999</v>
      </c>
      <c r="F104" s="303">
        <f>'1461'!F104</f>
        <v>950.92</v>
      </c>
      <c r="G104" s="39" t="s">
        <v>12</v>
      </c>
      <c r="H104" s="101">
        <f>ROUND(C104*E104*F104,2)</f>
        <v>420949.14</v>
      </c>
      <c r="I104" s="104"/>
      <c r="N104" s="28" t="s">
        <v>17</v>
      </c>
      <c r="O104" s="47">
        <f>T14+T15+T20+T23+T26</f>
        <v>115.5</v>
      </c>
      <c r="P104" s="611">
        <f>T8</f>
        <v>1.0407999999999999</v>
      </c>
      <c r="Q104" s="611"/>
      <c r="R104" s="48">
        <f>F104</f>
        <v>950.92</v>
      </c>
      <c r="S104" s="40" t="s">
        <v>12</v>
      </c>
      <c r="T104" s="479">
        <f>ROUND(O104*P104*R104,2)</f>
        <v>114312.38</v>
      </c>
      <c r="U104" s="102"/>
    </row>
    <row r="105" spans="1:21" x14ac:dyDescent="0.25">
      <c r="A105" s="49"/>
      <c r="B105" s="49" t="s">
        <v>104</v>
      </c>
      <c r="C105" s="596">
        <f>H16+H17+H21+H24+H27</f>
        <v>475.17750000000001</v>
      </c>
      <c r="D105" s="596"/>
      <c r="E105" s="46">
        <f>H8</f>
        <v>1.0407999999999999</v>
      </c>
      <c r="F105" s="303">
        <f>'1461'!F105</f>
        <v>907.92</v>
      </c>
      <c r="G105" s="39" t="s">
        <v>12</v>
      </c>
      <c r="H105" s="101">
        <f>ROUND(C105*E105*F105,2)</f>
        <v>449025.22</v>
      </c>
      <c r="N105" s="50" t="s">
        <v>13</v>
      </c>
      <c r="O105" s="47">
        <f>T16+T17+T21+T24+T27</f>
        <v>123</v>
      </c>
      <c r="P105" s="611">
        <f>T8</f>
        <v>1.0407999999999999</v>
      </c>
      <c r="Q105" s="611"/>
      <c r="R105" s="48">
        <f>F105</f>
        <v>907.92</v>
      </c>
      <c r="S105" s="40" t="s">
        <v>12</v>
      </c>
      <c r="T105" s="479">
        <f>ROUND(O105*P105*R105,2)</f>
        <v>116230.47</v>
      </c>
      <c r="U105" s="51"/>
    </row>
    <row r="106" spans="1:21" ht="16.5" thickBot="1" x14ac:dyDescent="0.3">
      <c r="A106" s="52"/>
      <c r="B106" s="52" t="s">
        <v>103</v>
      </c>
      <c r="C106" s="596">
        <f>H18+H19+H22+H25+H28+H29</f>
        <v>392.04950000000002</v>
      </c>
      <c r="D106" s="596"/>
      <c r="E106" s="46">
        <f>H8</f>
        <v>1.0407999999999999</v>
      </c>
      <c r="F106" s="303">
        <f>'1461'!F106</f>
        <v>910.12</v>
      </c>
      <c r="G106" s="39" t="s">
        <v>12</v>
      </c>
      <c r="H106" s="94">
        <f>ROUND(C106*E106*F106,2)</f>
        <v>371370.02</v>
      </c>
      <c r="N106" s="53" t="s">
        <v>14</v>
      </c>
      <c r="O106" s="54">
        <f>T18+T19+T22+T25+T28+T29</f>
        <v>131</v>
      </c>
      <c r="P106" s="611">
        <f>T8</f>
        <v>1.0407999999999999</v>
      </c>
      <c r="Q106" s="611"/>
      <c r="R106" s="48">
        <f>F106</f>
        <v>910.12</v>
      </c>
      <c r="S106" s="40" t="s">
        <v>12</v>
      </c>
      <c r="T106" s="479">
        <f>ROUND(O106*P106*R106,2)</f>
        <v>124090.13</v>
      </c>
      <c r="U106" s="51"/>
    </row>
    <row r="107" spans="1:21" ht="16.5" thickBot="1" x14ac:dyDescent="0.3">
      <c r="A107" s="55"/>
      <c r="B107" s="122" t="s">
        <v>102</v>
      </c>
      <c r="C107" s="586">
        <f>SUM(C104:C106)</f>
        <v>1292.5495000000001</v>
      </c>
      <c r="D107" s="586"/>
      <c r="E107" s="123"/>
      <c r="F107" s="123"/>
      <c r="G107" s="123"/>
      <c r="H107" s="124" t="s">
        <v>100</v>
      </c>
      <c r="I107" s="101">
        <f>IF(A1=75,0,H106+H105+H104)</f>
        <v>1241344.3799999999</v>
      </c>
      <c r="N107" s="56" t="s">
        <v>89</v>
      </c>
      <c r="O107" s="57">
        <f>SUM(O104:O106)</f>
        <v>369.5</v>
      </c>
      <c r="P107" s="612" t="s">
        <v>16</v>
      </c>
      <c r="Q107" s="613"/>
      <c r="R107" s="613"/>
      <c r="S107" s="613"/>
      <c r="T107" s="613"/>
      <c r="U107" s="473">
        <f>IF(N1=75,0,T106+T105+T104)</f>
        <v>354632.98</v>
      </c>
    </row>
    <row r="108" spans="1:21" ht="16.5" thickTop="1" x14ac:dyDescent="0.25">
      <c r="A108" s="555" t="s">
        <v>65</v>
      </c>
      <c r="B108" s="555"/>
      <c r="C108" s="555"/>
      <c r="D108" s="555"/>
      <c r="E108" s="555"/>
      <c r="F108" s="555"/>
      <c r="G108" s="555"/>
      <c r="H108" s="555"/>
      <c r="I108" s="555"/>
      <c r="N108" s="614" t="s">
        <v>65</v>
      </c>
      <c r="O108" s="614"/>
      <c r="P108" s="614"/>
      <c r="Q108" s="614"/>
      <c r="R108" s="614"/>
      <c r="S108" s="614"/>
      <c r="T108" s="614"/>
      <c r="U108" s="614"/>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0" t="s">
        <v>499</v>
      </c>
      <c r="C110" s="43"/>
      <c r="D110" s="69"/>
      <c r="E110" s="43" t="s">
        <v>32</v>
      </c>
      <c r="F110" s="556"/>
      <c r="G110" s="556"/>
      <c r="H110" s="556"/>
      <c r="I110" s="556"/>
      <c r="N110" s="600" t="s">
        <v>499</v>
      </c>
      <c r="O110" s="601"/>
      <c r="P110" s="601"/>
      <c r="Q110" s="615"/>
      <c r="R110" s="615"/>
      <c r="S110" s="615"/>
      <c r="T110" s="615"/>
      <c r="U110" s="103"/>
    </row>
    <row r="111" spans="1:21" x14ac:dyDescent="0.25">
      <c r="B111" s="69"/>
      <c r="C111" s="88" t="s">
        <v>494</v>
      </c>
      <c r="D111" s="333" t="s">
        <v>495</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57" t="s">
        <v>381</v>
      </c>
      <c r="B113" s="558"/>
      <c r="C113" s="143">
        <v>0</v>
      </c>
      <c r="D113" s="143">
        <v>0</v>
      </c>
      <c r="E113" s="116">
        <f>C113</f>
        <v>0</v>
      </c>
      <c r="F113" s="126" t="s">
        <v>30</v>
      </c>
      <c r="G113" s="304">
        <f>'1461'!G113</f>
        <v>576</v>
      </c>
      <c r="I113" s="101">
        <f>ROUND(G113*E113,2)</f>
        <v>0</v>
      </c>
      <c r="N113" s="630" t="s">
        <v>52</v>
      </c>
      <c r="O113" s="630"/>
      <c r="P113" s="610">
        <f>IF(H133=1,E113,0)</f>
        <v>0</v>
      </c>
      <c r="Q113" s="610"/>
      <c r="R113" s="610"/>
      <c r="S113" s="83" t="s">
        <v>30</v>
      </c>
      <c r="T113" s="58">
        <f>G113</f>
        <v>576</v>
      </c>
      <c r="U113" s="473">
        <f>ROUND(T113*P113,2)</f>
        <v>0</v>
      </c>
    </row>
    <row r="114" spans="1:21" x14ac:dyDescent="0.25">
      <c r="A114" s="557" t="s">
        <v>382</v>
      </c>
      <c r="B114" s="558"/>
      <c r="C114" s="143">
        <v>0</v>
      </c>
      <c r="D114" s="143">
        <v>0</v>
      </c>
      <c r="E114" s="116">
        <f>C114</f>
        <v>0</v>
      </c>
      <c r="F114" s="126" t="s">
        <v>30</v>
      </c>
      <c r="G114" s="304">
        <f>'1461'!G114</f>
        <v>1823</v>
      </c>
      <c r="I114" s="101">
        <f>ROUND(G114*E114,2)</f>
        <v>0</v>
      </c>
      <c r="N114" s="630" t="s">
        <v>64</v>
      </c>
      <c r="O114" s="630"/>
      <c r="P114" s="608"/>
      <c r="Q114" s="608"/>
      <c r="R114" s="608"/>
      <c r="S114" s="83" t="s">
        <v>30</v>
      </c>
      <c r="T114" s="58">
        <f>G114</f>
        <v>1823</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4" t="s">
        <v>430</v>
      </c>
      <c r="B117" s="578"/>
      <c r="C117" s="578"/>
      <c r="D117" s="69"/>
      <c r="E117" s="39" t="s">
        <v>300</v>
      </c>
      <c r="F117" s="563"/>
      <c r="G117" s="563"/>
      <c r="H117" s="563"/>
      <c r="I117" s="563"/>
      <c r="N117" s="600" t="s">
        <v>431</v>
      </c>
      <c r="O117" s="601"/>
      <c r="P117" s="601"/>
      <c r="Q117" s="601"/>
      <c r="R117" s="601"/>
      <c r="S117" s="601"/>
      <c r="T117" s="601"/>
      <c r="U117" s="601"/>
    </row>
    <row r="118" spans="1:21" hidden="1" x14ac:dyDescent="0.25">
      <c r="B118" s="69"/>
      <c r="C118" s="564" t="s">
        <v>66</v>
      </c>
      <c r="D118" s="564"/>
      <c r="E118" s="564"/>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5" t="s">
        <v>109</v>
      </c>
      <c r="G119" s="563"/>
      <c r="H119" s="37" t="s">
        <v>29</v>
      </c>
      <c r="I119" s="37"/>
      <c r="N119" s="45"/>
      <c r="O119" s="45"/>
      <c r="P119" s="45"/>
      <c r="Q119" s="45"/>
      <c r="R119" s="45"/>
      <c r="S119" s="45"/>
      <c r="T119" s="45"/>
      <c r="U119" s="45"/>
    </row>
    <row r="120" spans="1:21" hidden="1" x14ac:dyDescent="0.25">
      <c r="A120" s="564" t="s">
        <v>69</v>
      </c>
      <c r="B120" s="564"/>
      <c r="C120" s="90" t="s">
        <v>2</v>
      </c>
      <c r="D120" s="90" t="s">
        <v>2</v>
      </c>
      <c r="E120" s="59" t="s">
        <v>2</v>
      </c>
      <c r="F120" s="564" t="s">
        <v>28</v>
      </c>
      <c r="G120" s="564"/>
      <c r="H120" s="59" t="s">
        <v>28</v>
      </c>
      <c r="I120" s="59" t="s">
        <v>8</v>
      </c>
      <c r="N120" s="609" t="s">
        <v>53</v>
      </c>
      <c r="O120" s="609"/>
      <c r="P120" s="610" t="s">
        <v>66</v>
      </c>
      <c r="Q120" s="610"/>
      <c r="R120" s="609" t="s">
        <v>54</v>
      </c>
      <c r="S120" s="609"/>
      <c r="T120" s="60" t="s">
        <v>55</v>
      </c>
      <c r="U120" s="60" t="s">
        <v>8</v>
      </c>
    </row>
    <row r="121" spans="1:21" hidden="1" x14ac:dyDescent="0.25">
      <c r="A121" s="561" t="s">
        <v>56</v>
      </c>
      <c r="B121" s="561"/>
      <c r="C121" s="141">
        <v>0</v>
      </c>
      <c r="D121" s="141">
        <v>0</v>
      </c>
      <c r="E121" s="187">
        <f>IF(D30=0,C121*2,C121+D121)</f>
        <v>0</v>
      </c>
      <c r="F121" s="562">
        <v>0</v>
      </c>
      <c r="G121" s="562"/>
      <c r="H121" s="224">
        <f>IF(C121=0,0,125)</f>
        <v>0</v>
      </c>
      <c r="I121" s="101">
        <f>ROUND((H121+F121)*E121,2)</f>
        <v>0</v>
      </c>
      <c r="N121" s="601" t="s">
        <v>56</v>
      </c>
      <c r="O121" s="601"/>
      <c r="P121" s="608">
        <f>IF(H$133=1,C121,0)</f>
        <v>0</v>
      </c>
      <c r="Q121" s="608"/>
      <c r="R121" s="628">
        <f>F121</f>
        <v>0</v>
      </c>
      <c r="S121" s="628"/>
      <c r="T121" s="62">
        <f>H121</f>
        <v>0</v>
      </c>
      <c r="U121" s="96">
        <f>ROUND((T121+R121)*P121,0)</f>
        <v>0</v>
      </c>
    </row>
    <row r="122" spans="1:21" hidden="1" x14ac:dyDescent="0.25">
      <c r="A122" s="581" t="s">
        <v>57</v>
      </c>
      <c r="B122" s="581"/>
      <c r="C122" s="143">
        <v>0</v>
      </c>
      <c r="D122" s="143">
        <v>0</v>
      </c>
      <c r="E122" s="116">
        <f>IF(D31=0,C122*2,C122+D122)</f>
        <v>0</v>
      </c>
      <c r="F122" s="598">
        <f>ROUND(F121/2,2)</f>
        <v>0</v>
      </c>
      <c r="G122" s="598"/>
      <c r="H122" s="224">
        <f>IF(C122=0,0,62.5)</f>
        <v>0</v>
      </c>
      <c r="I122" s="101">
        <f>ROUND((H122+F122)*E122,2)</f>
        <v>0</v>
      </c>
      <c r="N122" s="601" t="s">
        <v>57</v>
      </c>
      <c r="O122" s="601"/>
      <c r="P122" s="608">
        <f>IF(H$133=1,C122,0)</f>
        <v>0</v>
      </c>
      <c r="Q122" s="608"/>
      <c r="R122" s="629">
        <f>ROUND(R121/2,2)</f>
        <v>0</v>
      </c>
      <c r="S122" s="629"/>
      <c r="T122" s="62">
        <f>H122</f>
        <v>0</v>
      </c>
      <c r="U122" s="96">
        <f>ROUND((T122+R122)*P122,0)</f>
        <v>0</v>
      </c>
    </row>
    <row r="123" spans="1:21" ht="16.5" hidden="1" thickBot="1" x14ac:dyDescent="0.3">
      <c r="A123" s="581" t="s">
        <v>58</v>
      </c>
      <c r="B123" s="581"/>
      <c r="C123" s="143">
        <v>0</v>
      </c>
      <c r="D123" s="143">
        <v>0</v>
      </c>
      <c r="E123" s="116">
        <f>IF(D32=0,C123*2,C123+D123)</f>
        <v>0</v>
      </c>
      <c r="F123" s="599"/>
      <c r="G123" s="599"/>
      <c r="H123" s="225">
        <f>IF(H121&gt;0,436,0)</f>
        <v>0</v>
      </c>
      <c r="I123" s="101">
        <f>ROUND(H123*E123,2)</f>
        <v>0</v>
      </c>
      <c r="N123" s="616" t="s">
        <v>58</v>
      </c>
      <c r="O123" s="616"/>
      <c r="P123" s="608">
        <f>IF(H$133=1,C123,0)</f>
        <v>0</v>
      </c>
      <c r="Q123" s="608"/>
      <c r="R123" s="609"/>
      <c r="S123" s="609"/>
      <c r="T123" s="64">
        <f>H123</f>
        <v>0</v>
      </c>
      <c r="U123" s="103">
        <f>ROUND(T123*P123,0)</f>
        <v>0</v>
      </c>
    </row>
    <row r="124" spans="1:21" ht="16.5" hidden="1" thickBot="1" x14ac:dyDescent="0.3">
      <c r="A124" s="563" t="s">
        <v>8</v>
      </c>
      <c r="B124" s="563"/>
      <c r="C124" s="65"/>
      <c r="D124" s="65"/>
      <c r="E124" s="65"/>
      <c r="F124" s="65"/>
      <c r="G124" s="65"/>
      <c r="H124" s="65"/>
      <c r="I124" s="97">
        <f>SUM(I121:I123)</f>
        <v>0</v>
      </c>
      <c r="N124" s="627" t="s">
        <v>8</v>
      </c>
      <c r="O124" s="627"/>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4" t="s">
        <v>432</v>
      </c>
      <c r="B126" s="578"/>
      <c r="C126" s="578"/>
      <c r="D126" s="69"/>
      <c r="E126" s="68" t="s">
        <v>34</v>
      </c>
      <c r="F126" s="597"/>
      <c r="G126" s="597"/>
      <c r="H126" s="597"/>
      <c r="I126" s="154">
        <v>0</v>
      </c>
      <c r="N126" s="600" t="s">
        <v>432</v>
      </c>
      <c r="O126" s="601"/>
      <c r="P126" s="601"/>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90" t="s">
        <v>8</v>
      </c>
      <c r="B128" s="590"/>
      <c r="C128" s="590"/>
      <c r="D128" s="590"/>
      <c r="E128" s="590"/>
      <c r="F128" s="590"/>
      <c r="G128" s="590"/>
      <c r="H128" s="590"/>
      <c r="I128" s="94">
        <f>SUM(I46,I66,I85,I88,I90,I92,I94,I96,I107,I113,I114,I124,I126)</f>
        <v>10496307.719999999</v>
      </c>
      <c r="N128" s="453"/>
      <c r="O128" s="452"/>
      <c r="P128" s="452"/>
      <c r="Q128" s="306"/>
      <c r="R128" s="306"/>
      <c r="S128" s="306"/>
      <c r="T128" s="306"/>
      <c r="U128" s="480">
        <f>SUM(U30,U85,U88,U90,U92,U94,U96,U107,U113,U114,U124,U126)</f>
        <v>2935073.3499999996</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434</v>
      </c>
      <c r="B130" s="26"/>
      <c r="C130" s="26"/>
      <c r="D130" s="26"/>
      <c r="E130" s="26"/>
      <c r="F130" s="26"/>
      <c r="G130" s="26"/>
      <c r="H130" s="26"/>
      <c r="I130" s="101">
        <f>I128-I53</f>
        <v>10071026.489999998</v>
      </c>
      <c r="N130" s="601" t="s">
        <v>434</v>
      </c>
      <c r="O130" s="601"/>
      <c r="P130" s="601"/>
      <c r="Q130" s="601"/>
      <c r="R130" s="601"/>
      <c r="S130" s="601"/>
      <c r="T130" s="601"/>
      <c r="U130" s="471">
        <f>U128-U53</f>
        <v>2813498.5799999996</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4" t="s">
        <v>502</v>
      </c>
      <c r="B132" s="578"/>
      <c r="C132" s="578"/>
      <c r="D132" s="578"/>
      <c r="E132" s="578"/>
      <c r="F132" s="578"/>
      <c r="G132" s="578"/>
      <c r="H132" s="81" t="s">
        <v>333</v>
      </c>
      <c r="I132" s="134"/>
      <c r="N132" s="600" t="s">
        <v>502</v>
      </c>
      <c r="O132" s="601"/>
      <c r="P132" s="601"/>
      <c r="Q132" s="601"/>
      <c r="R132" s="601"/>
      <c r="S132" s="601"/>
      <c r="T132" s="601"/>
      <c r="U132" s="138"/>
    </row>
    <row r="133" spans="1:21" x14ac:dyDescent="0.25">
      <c r="A133" s="578" t="s">
        <v>70</v>
      </c>
      <c r="B133" s="578"/>
      <c r="C133" s="578"/>
      <c r="D133" s="578"/>
      <c r="E133" s="578"/>
      <c r="F133" s="578"/>
      <c r="G133" s="578"/>
      <c r="H133" s="70">
        <f>IF(E30=0,"",IF((E15+E17+SUM(E19:E25))/E30&gt;0.75,1,""))</f>
        <v>1</v>
      </c>
      <c r="I133" s="116">
        <f>U130</f>
        <v>2813498.5799999996</v>
      </c>
      <c r="N133" s="601" t="s">
        <v>70</v>
      </c>
      <c r="O133" s="601"/>
      <c r="P133" s="601"/>
      <c r="Q133" s="601"/>
      <c r="R133" s="601"/>
      <c r="S133" s="601"/>
      <c r="T133" s="601"/>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2813498.5799999996</v>
      </c>
      <c r="I135" s="94">
        <f>ROUND(IF(E30=0,0,IF(E30&gt;250,-(((250/E30)*H135)*IF(G135="H",0.02,0.05)),IF(G135="H",-0.02*H135,-0.05*H135))),2)</f>
        <v>-95179.25</v>
      </c>
      <c r="N135" s="626"/>
      <c r="O135" s="626"/>
      <c r="P135" s="626"/>
      <c r="Q135" s="626"/>
      <c r="R135" s="626"/>
      <c r="S135" s="626"/>
      <c r="T135" s="626"/>
      <c r="U135" s="626"/>
    </row>
    <row r="136" spans="1:21" x14ac:dyDescent="0.25">
      <c r="B136" s="69"/>
      <c r="C136" s="69"/>
      <c r="D136" s="69"/>
      <c r="E136" s="69"/>
      <c r="F136" s="69"/>
      <c r="G136" s="69"/>
      <c r="H136" s="65"/>
      <c r="I136" s="101"/>
      <c r="N136" s="624" t="s">
        <v>7</v>
      </c>
      <c r="O136" s="624"/>
      <c r="P136" s="624"/>
      <c r="Q136" s="624"/>
      <c r="R136" s="624"/>
      <c r="S136" s="624"/>
      <c r="T136" s="624"/>
      <c r="U136" s="624"/>
    </row>
    <row r="137" spans="1:21" x14ac:dyDescent="0.25">
      <c r="A137" s="309" t="s">
        <v>74</v>
      </c>
      <c r="B137" s="310"/>
      <c r="C137" s="310"/>
      <c r="D137" s="310"/>
      <c r="E137" s="310"/>
      <c r="F137" s="310"/>
      <c r="G137" s="310"/>
      <c r="H137" s="311"/>
      <c r="I137" s="312">
        <f>I128+I135</f>
        <v>10401128.469999999</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Payments'!Q75</f>
        <v>0</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10401128.469999999</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866760.71</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IF(G135="H",(H135*0.02)+I135,(H135*0.05)+I135)</f>
        <v>45495.678999999975</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372</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373</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374</v>
      </c>
      <c r="B155" s="252"/>
      <c r="C155" s="252"/>
      <c r="D155" s="252"/>
      <c r="E155" s="252"/>
      <c r="F155" s="252"/>
      <c r="G155" s="252"/>
      <c r="H155" s="252"/>
      <c r="I155" s="252"/>
      <c r="N155" s="625"/>
      <c r="O155" s="625"/>
      <c r="P155" s="625"/>
      <c r="Q155" s="625"/>
      <c r="R155" s="625"/>
      <c r="S155" s="625"/>
      <c r="T155" s="625"/>
      <c r="U155" s="625"/>
    </row>
    <row r="156" spans="1:21" s="76" customFormat="1" x14ac:dyDescent="0.2">
      <c r="A156" s="320" t="s">
        <v>375</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376</v>
      </c>
      <c r="B157" s="252"/>
      <c r="C157" s="252"/>
      <c r="D157" s="252"/>
      <c r="E157" s="252"/>
      <c r="F157" s="252"/>
      <c r="G157" s="252"/>
      <c r="H157" s="252"/>
      <c r="I157" s="252"/>
      <c r="N157" s="78"/>
      <c r="O157" s="79"/>
      <c r="P157" s="79"/>
      <c r="Q157" s="79"/>
      <c r="R157" s="79"/>
      <c r="S157" s="79"/>
      <c r="T157" s="79"/>
      <c r="U157" s="79"/>
    </row>
    <row r="158" spans="1:21" s="76" customFormat="1" x14ac:dyDescent="0.2">
      <c r="A158" s="320" t="s">
        <v>377</v>
      </c>
      <c r="B158" s="252"/>
      <c r="C158" s="252"/>
      <c r="D158" s="252"/>
      <c r="E158" s="252"/>
      <c r="F158" s="252"/>
      <c r="G158" s="252"/>
      <c r="H158" s="252"/>
      <c r="I158" s="252"/>
      <c r="N158" s="78"/>
    </row>
    <row r="159" spans="1:21" s="76" customFormat="1" x14ac:dyDescent="0.2">
      <c r="A159" s="320" t="s">
        <v>379</v>
      </c>
      <c r="B159" s="252"/>
      <c r="C159" s="252"/>
      <c r="D159" s="252"/>
      <c r="E159" s="252"/>
      <c r="F159" s="252"/>
      <c r="G159" s="252"/>
      <c r="H159" s="252"/>
      <c r="I159" s="252"/>
      <c r="N159" s="78"/>
    </row>
    <row r="160" spans="1:21" s="76" customFormat="1" x14ac:dyDescent="0.2">
      <c r="A160" s="385" t="s">
        <v>378</v>
      </c>
      <c r="B160" s="252"/>
      <c r="C160" s="252"/>
      <c r="D160" s="252"/>
      <c r="E160" s="252"/>
      <c r="F160" s="252"/>
      <c r="G160" s="252"/>
      <c r="H160" s="252"/>
      <c r="I160" s="252"/>
      <c r="N160" s="78"/>
    </row>
    <row r="161" spans="1:14" s="76" customFormat="1" x14ac:dyDescent="0.2">
      <c r="A161" s="320" t="s">
        <v>380</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383</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385</v>
      </c>
      <c r="B165" s="293"/>
      <c r="C165" s="293"/>
      <c r="D165" s="293"/>
      <c r="E165" s="293"/>
      <c r="F165" s="293"/>
      <c r="G165" s="293"/>
      <c r="H165" s="293"/>
      <c r="I165" s="293"/>
      <c r="N165" s="78"/>
    </row>
    <row r="166" spans="1:14" s="76" customFormat="1" ht="15.75" customHeight="1" x14ac:dyDescent="0.2">
      <c r="A166" s="351" t="s">
        <v>384</v>
      </c>
      <c r="B166" s="293"/>
      <c r="C166" s="293"/>
      <c r="D166" s="293"/>
      <c r="E166" s="293"/>
      <c r="F166" s="293"/>
      <c r="G166" s="293"/>
      <c r="H166" s="293"/>
      <c r="I166" s="293"/>
      <c r="N166" s="78"/>
    </row>
    <row r="167" spans="1:14" s="76" customFormat="1" ht="15.75" customHeight="1" x14ac:dyDescent="0.2">
      <c r="A167" s="320" t="s">
        <v>386</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388</v>
      </c>
      <c r="B169" s="343"/>
      <c r="C169" s="343"/>
      <c r="D169" s="343"/>
      <c r="E169" s="343"/>
      <c r="F169" s="343"/>
      <c r="G169" s="343"/>
      <c r="H169" s="343"/>
      <c r="I169" s="343"/>
      <c r="N169" s="78"/>
    </row>
    <row r="170" spans="1:14" s="76" customFormat="1" ht="15.75" customHeight="1" x14ac:dyDescent="0.2">
      <c r="A170" s="351" t="s">
        <v>387</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389</v>
      </c>
      <c r="B175" s="293"/>
      <c r="C175" s="293"/>
      <c r="D175" s="293"/>
      <c r="E175" s="293"/>
      <c r="F175" s="293"/>
      <c r="G175" s="293"/>
      <c r="H175" s="293"/>
      <c r="I175" s="293"/>
      <c r="J175" s="3"/>
      <c r="K175" s="3"/>
      <c r="L175" s="3"/>
      <c r="M175" s="3"/>
      <c r="N175" s="78"/>
    </row>
    <row r="176" spans="1:14" s="76" customFormat="1" ht="15.75" customHeight="1" x14ac:dyDescent="0.2">
      <c r="A176" s="361" t="s">
        <v>390</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N135:U135"/>
    <mergeCell ref="N126:P126"/>
    <mergeCell ref="A126:C126"/>
    <mergeCell ref="N130:T130"/>
    <mergeCell ref="A128:H128"/>
    <mergeCell ref="A132:G132"/>
    <mergeCell ref="A123:B123"/>
    <mergeCell ref="F123:G123"/>
    <mergeCell ref="N123:O123"/>
    <mergeCell ref="P123:Q123"/>
    <mergeCell ref="F126:H126"/>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&amp;L&amp;8&amp;Z&amp;F&amp;R&amp;P of &amp;N</oddFooter>
  </headerFooter>
  <rowBreaks count="1" manualBreakCount="1">
    <brk id="151" max="16383" man="1"/>
  </rowBreaks>
  <colBreaks count="1" manualBreakCount="1">
    <brk id="9"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6" t="s">
        <v>15</v>
      </c>
      <c r="C1" s="567"/>
      <c r="D1" s="567"/>
      <c r="E1" s="567"/>
      <c r="F1" s="567"/>
      <c r="G1" s="567"/>
      <c r="H1" s="567"/>
      <c r="I1" s="567"/>
      <c r="J1" s="135"/>
      <c r="K1" s="135"/>
      <c r="L1" s="135"/>
      <c r="N1" s="82">
        <f>A1</f>
        <v>0</v>
      </c>
      <c r="O1" s="658" t="s">
        <v>15</v>
      </c>
      <c r="P1" s="659"/>
      <c r="Q1" s="659"/>
      <c r="R1" s="659"/>
      <c r="S1" s="659"/>
      <c r="T1" s="659"/>
      <c r="U1" s="659"/>
    </row>
    <row r="2" spans="1:21" ht="21" x14ac:dyDescent="0.35">
      <c r="A2" s="1" t="s">
        <v>328</v>
      </c>
      <c r="B2" s="2"/>
      <c r="C2" s="2"/>
      <c r="D2" s="2"/>
      <c r="E2" s="2"/>
      <c r="F2" s="2"/>
      <c r="G2" s="2"/>
      <c r="H2" s="2"/>
      <c r="I2" s="2"/>
      <c r="N2" s="660" t="s">
        <v>18</v>
      </c>
      <c r="O2" s="660"/>
      <c r="P2" s="660"/>
      <c r="Q2" s="660"/>
      <c r="R2" s="660"/>
      <c r="S2" s="660"/>
      <c r="T2" s="660"/>
      <c r="U2" s="660"/>
    </row>
    <row r="3" spans="1:21" x14ac:dyDescent="0.25">
      <c r="A3" s="81" t="str">
        <f>'1461'!A3</f>
        <v>Based on the FLDOE 2024-25 Conference Calculation</v>
      </c>
      <c r="N3" s="627" t="str">
        <f>A3</f>
        <v>Based on the FLDOE 2024-25 Conference Calculation</v>
      </c>
      <c r="O3" s="627"/>
      <c r="P3" s="627"/>
      <c r="Q3" s="627"/>
      <c r="R3" s="627"/>
      <c r="S3" s="627"/>
      <c r="T3" s="627"/>
      <c r="U3" s="627"/>
    </row>
    <row r="4" spans="1:21" x14ac:dyDescent="0.25">
      <c r="A4" s="568" t="s">
        <v>0</v>
      </c>
      <c r="B4" s="568"/>
      <c r="C4" s="569" t="s">
        <v>9</v>
      </c>
      <c r="D4" s="569"/>
      <c r="E4" s="569"/>
      <c r="F4" s="4" t="str">
        <f>'1461'!F4</f>
        <v>July 2024</v>
      </c>
      <c r="G4" s="4"/>
      <c r="H4" s="4"/>
      <c r="I4" s="4"/>
      <c r="N4" s="661" t="s">
        <v>0</v>
      </c>
      <c r="O4" s="661"/>
      <c r="P4" s="662" t="str">
        <f>C4</f>
        <v>Palm Beach</v>
      </c>
      <c r="Q4" s="662"/>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70" t="s">
        <v>433</v>
      </c>
      <c r="B7" s="664"/>
      <c r="C7" s="664"/>
      <c r="D7" s="664"/>
      <c r="E7" s="664"/>
      <c r="F7" s="664"/>
      <c r="G7" s="664"/>
      <c r="H7" s="664"/>
      <c r="I7" s="664"/>
      <c r="N7" s="661" t="str">
        <f>A7</f>
        <v>1A.   2023-24 FEFP State and Local Funding</v>
      </c>
      <c r="O7" s="661"/>
      <c r="P7" s="661"/>
      <c r="Q7" s="661"/>
      <c r="R7" s="661"/>
      <c r="S7" s="661"/>
      <c r="T7" s="661"/>
      <c r="U7" s="661"/>
    </row>
    <row r="8" spans="1:21" x14ac:dyDescent="0.25">
      <c r="A8" s="84"/>
      <c r="B8" s="85" t="s">
        <v>92</v>
      </c>
      <c r="C8" s="299">
        <f>'1461'!C8</f>
        <v>5330.98</v>
      </c>
      <c r="D8" s="86"/>
      <c r="E8" s="87"/>
      <c r="F8" s="84"/>
      <c r="G8" s="85" t="s">
        <v>393</v>
      </c>
      <c r="H8" s="287">
        <f>'1461'!H8</f>
        <v>1.0407999999999999</v>
      </c>
      <c r="I8" s="75"/>
      <c r="N8" s="665" t="s">
        <v>10</v>
      </c>
      <c r="O8" s="665"/>
      <c r="P8" s="666">
        <f>C8</f>
        <v>5330.98</v>
      </c>
      <c r="Q8" s="666"/>
      <c r="R8" s="648" t="s">
        <v>394</v>
      </c>
      <c r="S8" s="649"/>
      <c r="T8" s="650">
        <f>H8</f>
        <v>1.0407999999999999</v>
      </c>
      <c r="U8" s="650"/>
    </row>
    <row r="9" spans="1:21" x14ac:dyDescent="0.25">
      <c r="A9" s="84"/>
      <c r="B9" s="85"/>
      <c r="C9" s="222"/>
      <c r="D9" s="86"/>
      <c r="E9" s="87"/>
      <c r="F9" s="84"/>
      <c r="G9" s="85" t="s">
        <v>391</v>
      </c>
      <c r="H9" s="287">
        <f>'1461'!H9</f>
        <v>1</v>
      </c>
      <c r="I9" s="75"/>
      <c r="N9" s="12"/>
      <c r="O9" s="12"/>
      <c r="P9" s="13"/>
      <c r="Q9" s="13"/>
      <c r="R9" s="387" t="s">
        <v>392</v>
      </c>
      <c r="S9" s="384"/>
      <c r="T9" s="650">
        <f>H9</f>
        <v>1</v>
      </c>
      <c r="U9" s="650"/>
    </row>
    <row r="10" spans="1:21" x14ac:dyDescent="0.25">
      <c r="A10" s="7"/>
      <c r="B10" s="42" t="s">
        <v>310</v>
      </c>
      <c r="C10" s="334" t="str">
        <f>'1461'!C10</f>
        <v xml:space="preserve"> </v>
      </c>
      <c r="D10" s="334" t="str">
        <f>'1461'!D10</f>
        <v xml:space="preserve"> </v>
      </c>
      <c r="E10" s="8"/>
      <c r="F10" s="9"/>
      <c r="G10" s="9"/>
      <c r="H10" s="10"/>
      <c r="I10" s="305" t="str">
        <f>'1461'!I10</f>
        <v>2024-25</v>
      </c>
      <c r="N10" s="12"/>
      <c r="O10" s="12"/>
      <c r="P10" s="13"/>
      <c r="Q10" s="13"/>
      <c r="R10" s="14"/>
      <c r="S10" s="14"/>
      <c r="T10" s="15"/>
      <c r="U10" s="366" t="str">
        <f>I10</f>
        <v>2024-25</v>
      </c>
    </row>
    <row r="11" spans="1:21" x14ac:dyDescent="0.25">
      <c r="A11" s="7"/>
      <c r="B11" s="7"/>
      <c r="C11" s="88" t="str">
        <f>'1461'!C11</f>
        <v>Oct 2023</v>
      </c>
      <c r="D11" s="333" t="str">
        <f>'1461'!D11</f>
        <v>Feb 2024</v>
      </c>
      <c r="E11" s="89" t="s">
        <v>8</v>
      </c>
      <c r="F11" s="571" t="s">
        <v>1</v>
      </c>
      <c r="G11" s="571"/>
      <c r="H11" s="10" t="s">
        <v>60</v>
      </c>
      <c r="I11" s="11" t="s">
        <v>27</v>
      </c>
      <c r="N11" s="12"/>
      <c r="O11" s="12"/>
      <c r="P11" s="13"/>
      <c r="Q11" s="13"/>
      <c r="R11" s="651" t="s">
        <v>1</v>
      </c>
      <c r="S11" s="651"/>
      <c r="T11" s="15" t="s">
        <v>60</v>
      </c>
      <c r="U11" s="16" t="s">
        <v>27</v>
      </c>
    </row>
    <row r="12" spans="1:21" ht="15.75" customHeight="1" x14ac:dyDescent="0.25">
      <c r="A12" s="572" t="s">
        <v>1</v>
      </c>
      <c r="B12" s="572"/>
      <c r="C12" s="324" t="str">
        <f>'1461'!C12</f>
        <v>FTE</v>
      </c>
      <c r="D12" s="324" t="str">
        <f>'1461'!D12</f>
        <v>FTE</v>
      </c>
      <c r="E12" s="324" t="s">
        <v>2</v>
      </c>
      <c r="F12" s="573" t="s">
        <v>63</v>
      </c>
      <c r="G12" s="573"/>
      <c r="H12" s="17" t="s">
        <v>59</v>
      </c>
      <c r="I12" s="388" t="s">
        <v>395</v>
      </c>
      <c r="N12" s="639" t="s">
        <v>1</v>
      </c>
      <c r="O12" s="639"/>
      <c r="P12" s="652" t="s">
        <v>19</v>
      </c>
      <c r="Q12" s="652"/>
      <c r="R12" s="653" t="s">
        <v>63</v>
      </c>
      <c r="S12" s="653"/>
      <c r="T12" s="18" t="s">
        <v>59</v>
      </c>
      <c r="U12" s="19" t="str">
        <f>I12</f>
        <v>(WFTE x BSA x CWF x SDF)</v>
      </c>
    </row>
    <row r="13" spans="1:21" x14ac:dyDescent="0.25">
      <c r="A13" s="574" t="s">
        <v>36</v>
      </c>
      <c r="B13" s="574"/>
      <c r="C13" s="91"/>
      <c r="D13" s="91"/>
      <c r="E13" s="92" t="s">
        <v>37</v>
      </c>
      <c r="F13" s="575" t="s">
        <v>38</v>
      </c>
      <c r="G13" s="575"/>
      <c r="H13" s="20" t="s">
        <v>39</v>
      </c>
      <c r="I13" s="21" t="s">
        <v>40</v>
      </c>
      <c r="N13" s="654" t="s">
        <v>36</v>
      </c>
      <c r="O13" s="654"/>
      <c r="P13" s="655" t="s">
        <v>37</v>
      </c>
      <c r="Q13" s="655"/>
      <c r="R13" s="656" t="s">
        <v>38</v>
      </c>
      <c r="S13" s="656"/>
      <c r="T13" s="22" t="s">
        <v>39</v>
      </c>
      <c r="U13" s="23" t="s">
        <v>40</v>
      </c>
    </row>
    <row r="14" spans="1:21" x14ac:dyDescent="0.25">
      <c r="A14" s="576" t="s">
        <v>20</v>
      </c>
      <c r="B14" s="576"/>
      <c r="C14" s="143">
        <v>0</v>
      </c>
      <c r="D14" s="141">
        <v>0</v>
      </c>
      <c r="E14" s="187">
        <f>IF(D$30=0,C14*2,C14+D14)</f>
        <v>0</v>
      </c>
      <c r="F14" s="667">
        <f>'1461'!F14:G14</f>
        <v>1.1180000000000001</v>
      </c>
      <c r="G14" s="667"/>
      <c r="H14" s="145">
        <f>ROUND(E14*F14,4)</f>
        <v>0</v>
      </c>
      <c r="I14" s="111">
        <f>ROUND(ROUND(ROUND(H14*$C$8,4)*($H$8),2)*(MAX($H$9,1)),2)</f>
        <v>0</v>
      </c>
      <c r="N14" s="641" t="s">
        <v>20</v>
      </c>
      <c r="O14" s="641"/>
      <c r="P14" s="642">
        <f t="shared" ref="P14:P29" si="0">IF($H$133=1,E14,0)</f>
        <v>0</v>
      </c>
      <c r="Q14" s="642"/>
      <c r="R14" s="657">
        <v>1</v>
      </c>
      <c r="S14" s="657"/>
      <c r="T14" s="95">
        <f>ROUND(P14*R14,4)</f>
        <v>0</v>
      </c>
      <c r="U14" s="473">
        <f>ROUND(ROUND(ROUND(T14*$C$8,4)*($H$8),2)*(MAX($H$9,1)),2)</f>
        <v>0</v>
      </c>
    </row>
    <row r="15" spans="1:21" x14ac:dyDescent="0.25">
      <c r="A15" s="578" t="s">
        <v>21</v>
      </c>
      <c r="B15" s="578"/>
      <c r="C15" s="143">
        <v>0</v>
      </c>
      <c r="D15" s="143">
        <v>0.48</v>
      </c>
      <c r="E15" s="116">
        <f t="shared" ref="E15:E29" si="1">IF(D$30=0,C15*2,C15+D15)</f>
        <v>0.48</v>
      </c>
      <c r="F15" s="663">
        <f>'1461'!F15:G15</f>
        <v>1.1180000000000001</v>
      </c>
      <c r="G15" s="663"/>
      <c r="H15" s="80">
        <f t="shared" ref="H15:H29" si="2">ROUND(E15*F15,4)</f>
        <v>0.53659999999999997</v>
      </c>
      <c r="I15" s="101">
        <f t="shared" ref="I15:I29" si="3">ROUND(ROUND(ROUND(H15*$C$8,4)*($H$8),2)*(MAX($H$9,1)),2)</f>
        <v>2977.32</v>
      </c>
      <c r="J15" s="65" t="str">
        <f>IF(ROUND(E15,2)=ROUND(SUM(E57:E59),2)," ","CHECK PK-3 LINES BELOW")</f>
        <v xml:space="preserve"> </v>
      </c>
      <c r="N15" s="601" t="s">
        <v>21</v>
      </c>
      <c r="O15" s="601"/>
      <c r="P15" s="642">
        <f t="shared" si="0"/>
        <v>0.48</v>
      </c>
      <c r="Q15" s="642"/>
      <c r="R15" s="647">
        <v>1</v>
      </c>
      <c r="S15" s="647"/>
      <c r="T15" s="95">
        <f t="shared" ref="T15:T29" si="4">ROUND(P15*R15,4)</f>
        <v>0.48</v>
      </c>
      <c r="U15" s="473">
        <f t="shared" ref="U15:U29" si="5">ROUND(ROUND(ROUND(T15*$C$8,4)*($H$8),2)*(MAX($H$9,1)),2)</f>
        <v>2663.27</v>
      </c>
    </row>
    <row r="16" spans="1:21" x14ac:dyDescent="0.25">
      <c r="A16" s="578" t="s">
        <v>22</v>
      </c>
      <c r="B16" s="578"/>
      <c r="C16" s="143">
        <v>0</v>
      </c>
      <c r="D16" s="143">
        <v>0</v>
      </c>
      <c r="E16" s="116">
        <f t="shared" si="1"/>
        <v>0</v>
      </c>
      <c r="F16" s="663">
        <f>'1461'!F16:G16</f>
        <v>1</v>
      </c>
      <c r="G16" s="663"/>
      <c r="H16" s="80">
        <f t="shared" si="2"/>
        <v>0</v>
      </c>
      <c r="I16" s="101">
        <f t="shared" si="3"/>
        <v>0</v>
      </c>
      <c r="N16" s="601" t="s">
        <v>22</v>
      </c>
      <c r="O16" s="601"/>
      <c r="P16" s="642">
        <f t="shared" si="0"/>
        <v>0</v>
      </c>
      <c r="Q16" s="642"/>
      <c r="R16" s="647">
        <v>1</v>
      </c>
      <c r="S16" s="647"/>
      <c r="T16" s="95">
        <f t="shared" si="4"/>
        <v>0</v>
      </c>
      <c r="U16" s="473">
        <f t="shared" si="5"/>
        <v>0</v>
      </c>
    </row>
    <row r="17" spans="1:21" x14ac:dyDescent="0.25">
      <c r="A17" s="578" t="s">
        <v>23</v>
      </c>
      <c r="B17" s="578"/>
      <c r="C17" s="143">
        <v>0</v>
      </c>
      <c r="D17" s="143">
        <v>0</v>
      </c>
      <c r="E17" s="116">
        <f t="shared" si="1"/>
        <v>0</v>
      </c>
      <c r="F17" s="663">
        <f>'1461'!F17:G17</f>
        <v>1</v>
      </c>
      <c r="G17" s="663"/>
      <c r="H17" s="80">
        <f t="shared" si="2"/>
        <v>0</v>
      </c>
      <c r="I17" s="101">
        <f t="shared" si="3"/>
        <v>0</v>
      </c>
      <c r="J17" s="65" t="str">
        <f>IF(ROUND(E17,2)=ROUND(SUM(E60:E62),2)," ","CHECK 4-8 LINES BELOW")</f>
        <v xml:space="preserve"> </v>
      </c>
      <c r="N17" s="601" t="s">
        <v>23</v>
      </c>
      <c r="O17" s="601"/>
      <c r="P17" s="642">
        <f t="shared" si="0"/>
        <v>0</v>
      </c>
      <c r="Q17" s="642"/>
      <c r="R17" s="647">
        <v>1</v>
      </c>
      <c r="S17" s="647"/>
      <c r="T17" s="95">
        <f t="shared" si="4"/>
        <v>0</v>
      </c>
      <c r="U17" s="473">
        <f t="shared" si="5"/>
        <v>0</v>
      </c>
    </row>
    <row r="18" spans="1:21" x14ac:dyDescent="0.25">
      <c r="A18" s="578" t="s">
        <v>24</v>
      </c>
      <c r="B18" s="578"/>
      <c r="C18" s="143">
        <v>0</v>
      </c>
      <c r="D18" s="143">
        <v>0</v>
      </c>
      <c r="E18" s="116">
        <f t="shared" si="1"/>
        <v>0</v>
      </c>
      <c r="F18" s="663">
        <f>'1461'!F18:G18</f>
        <v>0.97799999999999998</v>
      </c>
      <c r="G18" s="663"/>
      <c r="H18" s="80">
        <f t="shared" si="2"/>
        <v>0</v>
      </c>
      <c r="I18" s="101">
        <f t="shared" si="3"/>
        <v>0</v>
      </c>
      <c r="N18" s="601" t="s">
        <v>24</v>
      </c>
      <c r="O18" s="601"/>
      <c r="P18" s="642">
        <f t="shared" si="0"/>
        <v>0</v>
      </c>
      <c r="Q18" s="642"/>
      <c r="R18" s="647">
        <v>1</v>
      </c>
      <c r="S18" s="647"/>
      <c r="T18" s="95">
        <f t="shared" si="4"/>
        <v>0</v>
      </c>
      <c r="U18" s="473">
        <f t="shared" si="5"/>
        <v>0</v>
      </c>
    </row>
    <row r="19" spans="1:21" x14ac:dyDescent="0.25">
      <c r="A19" s="578" t="s">
        <v>25</v>
      </c>
      <c r="B19" s="578"/>
      <c r="C19" s="143">
        <v>3.5</v>
      </c>
      <c r="D19" s="143">
        <v>4</v>
      </c>
      <c r="E19" s="116">
        <f t="shared" si="1"/>
        <v>7.5</v>
      </c>
      <c r="F19" s="663">
        <f>'1461'!F19:G19</f>
        <v>0.97799999999999998</v>
      </c>
      <c r="G19" s="663"/>
      <c r="H19" s="80">
        <f t="shared" si="2"/>
        <v>7.335</v>
      </c>
      <c r="I19" s="101">
        <f t="shared" si="3"/>
        <v>40698.129999999997</v>
      </c>
      <c r="J19" s="65" t="str">
        <f>IF(ROUND(E19,2)=ROUND(SUM(E63:E65),2)," ","CHECK 4-8 LINES BELOW")</f>
        <v xml:space="preserve"> </v>
      </c>
      <c r="N19" s="601" t="s">
        <v>25</v>
      </c>
      <c r="O19" s="601"/>
      <c r="P19" s="642">
        <f t="shared" si="0"/>
        <v>7.5</v>
      </c>
      <c r="Q19" s="642"/>
      <c r="R19" s="647">
        <v>1</v>
      </c>
      <c r="S19" s="647"/>
      <c r="T19" s="95">
        <f t="shared" si="4"/>
        <v>7.5</v>
      </c>
      <c r="U19" s="472">
        <f t="shared" si="5"/>
        <v>41613.629999999997</v>
      </c>
    </row>
    <row r="20" spans="1:21" x14ac:dyDescent="0.25">
      <c r="A20" s="578" t="s">
        <v>79</v>
      </c>
      <c r="B20" s="578"/>
      <c r="C20" s="143">
        <v>0</v>
      </c>
      <c r="D20" s="143">
        <v>4.37</v>
      </c>
      <c r="E20" s="116">
        <f t="shared" si="1"/>
        <v>4.37</v>
      </c>
      <c r="F20" s="663">
        <f>'1461'!F20:G20</f>
        <v>3.6970000000000001</v>
      </c>
      <c r="G20" s="663"/>
      <c r="H20" s="80">
        <f t="shared" si="2"/>
        <v>16.155899999999999</v>
      </c>
      <c r="I20" s="101">
        <f t="shared" si="3"/>
        <v>89640.75</v>
      </c>
      <c r="N20" s="601" t="s">
        <v>79</v>
      </c>
      <c r="O20" s="601"/>
      <c r="P20" s="642">
        <f t="shared" si="0"/>
        <v>4.37</v>
      </c>
      <c r="Q20" s="642"/>
      <c r="R20" s="647">
        <v>1</v>
      </c>
      <c r="S20" s="647"/>
      <c r="T20" s="95">
        <f t="shared" si="4"/>
        <v>4.37</v>
      </c>
      <c r="U20" s="473">
        <f t="shared" si="5"/>
        <v>24246.880000000001</v>
      </c>
    </row>
    <row r="21" spans="1:21" x14ac:dyDescent="0.25">
      <c r="A21" s="578" t="s">
        <v>80</v>
      </c>
      <c r="B21" s="578"/>
      <c r="C21" s="143">
        <v>0</v>
      </c>
      <c r="D21" s="143">
        <v>8.75</v>
      </c>
      <c r="E21" s="116">
        <f t="shared" si="1"/>
        <v>8.75</v>
      </c>
      <c r="F21" s="663">
        <f>'1461'!F21:G21</f>
        <v>3.6970000000000001</v>
      </c>
      <c r="G21" s="663"/>
      <c r="H21" s="80">
        <f t="shared" si="2"/>
        <v>32.348799999999997</v>
      </c>
      <c r="I21" s="101">
        <f t="shared" si="3"/>
        <v>179486.8</v>
      </c>
      <c r="N21" s="601" t="s">
        <v>80</v>
      </c>
      <c r="O21" s="601"/>
      <c r="P21" s="642">
        <f t="shared" si="0"/>
        <v>8.75</v>
      </c>
      <c r="Q21" s="642"/>
      <c r="R21" s="647">
        <v>1</v>
      </c>
      <c r="S21" s="647"/>
      <c r="T21" s="95">
        <f t="shared" si="4"/>
        <v>8.75</v>
      </c>
      <c r="U21" s="473">
        <f t="shared" si="5"/>
        <v>48549.23</v>
      </c>
    </row>
    <row r="22" spans="1:21" x14ac:dyDescent="0.25">
      <c r="A22" s="578" t="s">
        <v>81</v>
      </c>
      <c r="B22" s="578"/>
      <c r="C22" s="143">
        <v>25</v>
      </c>
      <c r="D22" s="143">
        <v>21.89</v>
      </c>
      <c r="E22" s="116">
        <f t="shared" si="1"/>
        <v>46.89</v>
      </c>
      <c r="F22" s="663">
        <f>'1461'!F22:G22</f>
        <v>3.6970000000000001</v>
      </c>
      <c r="G22" s="663"/>
      <c r="H22" s="80">
        <f t="shared" si="2"/>
        <v>173.35230000000001</v>
      </c>
      <c r="I22" s="101">
        <f t="shared" si="3"/>
        <v>961842.46</v>
      </c>
      <c r="N22" s="601" t="s">
        <v>81</v>
      </c>
      <c r="O22" s="601"/>
      <c r="P22" s="642">
        <f t="shared" si="0"/>
        <v>46.89</v>
      </c>
      <c r="Q22" s="642"/>
      <c r="R22" s="647">
        <v>1</v>
      </c>
      <c r="S22" s="647"/>
      <c r="T22" s="95">
        <f t="shared" si="4"/>
        <v>46.89</v>
      </c>
      <c r="U22" s="473">
        <f t="shared" si="5"/>
        <v>260168.41</v>
      </c>
    </row>
    <row r="23" spans="1:21" x14ac:dyDescent="0.25">
      <c r="A23" s="578" t="s">
        <v>82</v>
      </c>
      <c r="B23" s="578"/>
      <c r="C23" s="143">
        <v>0</v>
      </c>
      <c r="D23" s="143">
        <v>1.47</v>
      </c>
      <c r="E23" s="116">
        <f t="shared" si="1"/>
        <v>1.47</v>
      </c>
      <c r="F23" s="663">
        <f>'1461'!F23:G23</f>
        <v>5.992</v>
      </c>
      <c r="G23" s="663"/>
      <c r="H23" s="80">
        <f t="shared" si="2"/>
        <v>8.8081999999999994</v>
      </c>
      <c r="I23" s="101">
        <f t="shared" si="3"/>
        <v>48872.160000000003</v>
      </c>
      <c r="N23" s="601" t="s">
        <v>82</v>
      </c>
      <c r="O23" s="601"/>
      <c r="P23" s="642">
        <f t="shared" si="0"/>
        <v>1.47</v>
      </c>
      <c r="Q23" s="642"/>
      <c r="R23" s="647">
        <v>1</v>
      </c>
      <c r="S23" s="647"/>
      <c r="T23" s="95">
        <f t="shared" si="4"/>
        <v>1.47</v>
      </c>
      <c r="U23" s="473">
        <f t="shared" si="5"/>
        <v>8156.27</v>
      </c>
    </row>
    <row r="24" spans="1:21" x14ac:dyDescent="0.25">
      <c r="A24" s="578" t="s">
        <v>83</v>
      </c>
      <c r="B24" s="578"/>
      <c r="C24" s="143">
        <v>0</v>
      </c>
      <c r="D24" s="143">
        <v>2.96</v>
      </c>
      <c r="E24" s="116">
        <f t="shared" si="1"/>
        <v>2.96</v>
      </c>
      <c r="F24" s="663">
        <f>'1461'!F24:G24</f>
        <v>5.992</v>
      </c>
      <c r="G24" s="663"/>
      <c r="H24" s="80">
        <f t="shared" si="2"/>
        <v>17.7363</v>
      </c>
      <c r="I24" s="101">
        <f t="shared" si="3"/>
        <v>98409.58</v>
      </c>
      <c r="N24" s="601" t="s">
        <v>83</v>
      </c>
      <c r="O24" s="601"/>
      <c r="P24" s="642">
        <f t="shared" si="0"/>
        <v>2.96</v>
      </c>
      <c r="Q24" s="642"/>
      <c r="R24" s="647">
        <v>1</v>
      </c>
      <c r="S24" s="647"/>
      <c r="T24" s="95">
        <f t="shared" si="4"/>
        <v>2.96</v>
      </c>
      <c r="U24" s="473">
        <f t="shared" si="5"/>
        <v>16423.509999999998</v>
      </c>
    </row>
    <row r="25" spans="1:21" x14ac:dyDescent="0.25">
      <c r="A25" s="578" t="s">
        <v>84</v>
      </c>
      <c r="B25" s="578"/>
      <c r="C25" s="143">
        <v>33</v>
      </c>
      <c r="D25" s="143">
        <v>34</v>
      </c>
      <c r="E25" s="116">
        <f t="shared" si="1"/>
        <v>67</v>
      </c>
      <c r="F25" s="663">
        <f>'1461'!F25:G25</f>
        <v>5.992</v>
      </c>
      <c r="G25" s="663"/>
      <c r="H25" s="80">
        <f t="shared" si="2"/>
        <v>401.464</v>
      </c>
      <c r="I25" s="101">
        <f t="shared" si="3"/>
        <v>2227516.5699999998</v>
      </c>
      <c r="N25" s="601" t="s">
        <v>84</v>
      </c>
      <c r="O25" s="601"/>
      <c r="P25" s="642">
        <f t="shared" si="0"/>
        <v>67</v>
      </c>
      <c r="Q25" s="642"/>
      <c r="R25" s="647">
        <v>1</v>
      </c>
      <c r="S25" s="647"/>
      <c r="T25" s="95">
        <f t="shared" si="4"/>
        <v>67</v>
      </c>
      <c r="U25" s="473">
        <f t="shared" si="5"/>
        <v>371748.43</v>
      </c>
    </row>
    <row r="26" spans="1:21" x14ac:dyDescent="0.25">
      <c r="A26" s="578" t="s">
        <v>85</v>
      </c>
      <c r="B26" s="578"/>
      <c r="C26" s="143">
        <v>0</v>
      </c>
      <c r="D26" s="143">
        <v>0</v>
      </c>
      <c r="E26" s="116">
        <f t="shared" si="1"/>
        <v>0</v>
      </c>
      <c r="F26" s="663">
        <f>'1461'!F26:G26</f>
        <v>1.1919999999999999</v>
      </c>
      <c r="G26" s="663"/>
      <c r="H26" s="80">
        <f t="shared" si="2"/>
        <v>0</v>
      </c>
      <c r="I26" s="101">
        <f t="shared" si="3"/>
        <v>0</v>
      </c>
      <c r="N26" s="601" t="s">
        <v>85</v>
      </c>
      <c r="O26" s="601"/>
      <c r="P26" s="642">
        <f t="shared" si="0"/>
        <v>0</v>
      </c>
      <c r="Q26" s="642"/>
      <c r="R26" s="647">
        <v>1</v>
      </c>
      <c r="S26" s="647"/>
      <c r="T26" s="95">
        <f t="shared" si="4"/>
        <v>0</v>
      </c>
      <c r="U26" s="473">
        <f t="shared" si="5"/>
        <v>0</v>
      </c>
    </row>
    <row r="27" spans="1:21" x14ac:dyDescent="0.25">
      <c r="A27" s="578" t="s">
        <v>86</v>
      </c>
      <c r="B27" s="578"/>
      <c r="C27" s="143">
        <v>0</v>
      </c>
      <c r="D27" s="143">
        <v>0</v>
      </c>
      <c r="E27" s="116">
        <f t="shared" si="1"/>
        <v>0</v>
      </c>
      <c r="F27" s="663">
        <f>'1461'!F27:G27</f>
        <v>1.1919999999999999</v>
      </c>
      <c r="G27" s="663"/>
      <c r="H27" s="80">
        <f t="shared" si="2"/>
        <v>0</v>
      </c>
      <c r="I27" s="101">
        <f t="shared" si="3"/>
        <v>0</v>
      </c>
      <c r="N27" s="601" t="s">
        <v>86</v>
      </c>
      <c r="O27" s="601"/>
      <c r="P27" s="642">
        <f t="shared" si="0"/>
        <v>0</v>
      </c>
      <c r="Q27" s="642"/>
      <c r="R27" s="647">
        <v>1</v>
      </c>
      <c r="S27" s="647"/>
      <c r="T27" s="95">
        <f t="shared" si="4"/>
        <v>0</v>
      </c>
      <c r="U27" s="473">
        <f t="shared" si="5"/>
        <v>0</v>
      </c>
    </row>
    <row r="28" spans="1:21" x14ac:dyDescent="0.25">
      <c r="A28" s="578" t="s">
        <v>87</v>
      </c>
      <c r="B28" s="578"/>
      <c r="C28" s="143">
        <v>0</v>
      </c>
      <c r="D28" s="143">
        <v>0</v>
      </c>
      <c r="E28" s="116">
        <f t="shared" si="1"/>
        <v>0</v>
      </c>
      <c r="F28" s="663">
        <f>'1461'!F28:G28</f>
        <v>1.1919999999999999</v>
      </c>
      <c r="G28" s="663"/>
      <c r="H28" s="80">
        <f t="shared" si="2"/>
        <v>0</v>
      </c>
      <c r="I28" s="101">
        <f t="shared" si="3"/>
        <v>0</v>
      </c>
      <c r="N28" s="601" t="s">
        <v>87</v>
      </c>
      <c r="O28" s="601"/>
      <c r="P28" s="642">
        <f t="shared" si="0"/>
        <v>0</v>
      </c>
      <c r="Q28" s="642"/>
      <c r="R28" s="647">
        <v>1</v>
      </c>
      <c r="S28" s="647"/>
      <c r="T28" s="95">
        <f t="shared" si="4"/>
        <v>0</v>
      </c>
      <c r="U28" s="473">
        <f t="shared" si="5"/>
        <v>0</v>
      </c>
    </row>
    <row r="29" spans="1:21" x14ac:dyDescent="0.25">
      <c r="A29" s="578" t="s">
        <v>88</v>
      </c>
      <c r="B29" s="578"/>
      <c r="C29" s="110">
        <v>0</v>
      </c>
      <c r="D29" s="110">
        <v>0</v>
      </c>
      <c r="E29" s="154">
        <f t="shared" si="1"/>
        <v>0</v>
      </c>
      <c r="F29" s="663">
        <f>'1461'!F29:G29</f>
        <v>1.079</v>
      </c>
      <c r="G29" s="663"/>
      <c r="H29" s="93">
        <f t="shared" si="2"/>
        <v>0</v>
      </c>
      <c r="I29" s="94">
        <f t="shared" si="3"/>
        <v>0</v>
      </c>
      <c r="N29" s="616" t="s">
        <v>88</v>
      </c>
      <c r="O29" s="616"/>
      <c r="P29" s="642">
        <f t="shared" si="0"/>
        <v>0</v>
      </c>
      <c r="Q29" s="642"/>
      <c r="R29" s="643">
        <v>1</v>
      </c>
      <c r="S29" s="643"/>
      <c r="T29" s="95">
        <f t="shared" si="4"/>
        <v>0</v>
      </c>
      <c r="U29" s="473">
        <f t="shared" si="5"/>
        <v>0</v>
      </c>
    </row>
    <row r="30" spans="1:21" x14ac:dyDescent="0.25">
      <c r="A30" s="590" t="s">
        <v>5</v>
      </c>
      <c r="B30" s="590"/>
      <c r="C30" s="94">
        <f>SUM(C14:C29)</f>
        <v>61.5</v>
      </c>
      <c r="D30" s="94">
        <f>SUM(D14:D29)</f>
        <v>77.92</v>
      </c>
      <c r="E30" s="94">
        <f>SUM(E14:E29)</f>
        <v>139.42000000000002</v>
      </c>
      <c r="F30" s="582"/>
      <c r="G30" s="582"/>
      <c r="H30" s="99">
        <f>SUM(H14:H29)</f>
        <v>657.73710000000005</v>
      </c>
      <c r="I30" s="94">
        <f>SUM(I14:I29)</f>
        <v>3649443.7699999996</v>
      </c>
      <c r="N30" s="644" t="s">
        <v>5</v>
      </c>
      <c r="O30" s="644"/>
      <c r="P30" s="645">
        <f>SUM(P14:P29)</f>
        <v>139.42000000000002</v>
      </c>
      <c r="Q30" s="645"/>
      <c r="R30" s="617"/>
      <c r="S30" s="617"/>
      <c r="T30" s="100">
        <f>SUM(T14:T29)</f>
        <v>139.42000000000002</v>
      </c>
      <c r="U30" s="473">
        <f>SUM(U14:U29)</f>
        <v>773569.63000000012</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0" t="s">
        <v>233</v>
      </c>
      <c r="G34" s="670"/>
      <c r="H34" s="670"/>
      <c r="I34" s="101"/>
      <c r="N34" s="28"/>
      <c r="O34" s="28"/>
      <c r="P34" s="29"/>
      <c r="Q34" s="29"/>
      <c r="R34" s="30"/>
      <c r="S34" s="30"/>
      <c r="T34" s="102"/>
      <c r="U34" s="103"/>
    </row>
    <row r="35" spans="1:21" hidden="1" x14ac:dyDescent="0.25">
      <c r="A35" s="3"/>
      <c r="B35" s="69"/>
      <c r="C35" s="69"/>
      <c r="D35" s="69"/>
      <c r="E35" s="69"/>
      <c r="F35" s="670"/>
      <c r="G35" s="670"/>
      <c r="H35" s="670"/>
      <c r="I35" s="24" t="s">
        <v>61</v>
      </c>
      <c r="N35" s="627" t="s">
        <v>26</v>
      </c>
      <c r="O35" s="627"/>
      <c r="P35" s="627"/>
      <c r="Q35" s="627"/>
      <c r="R35" s="627"/>
      <c r="S35" s="627"/>
      <c r="T35" s="627"/>
      <c r="U35" s="25" t="str">
        <f>I35</f>
        <v>2015-16</v>
      </c>
    </row>
    <row r="36" spans="1:21" hidden="1" x14ac:dyDescent="0.25">
      <c r="A36" s="26"/>
      <c r="B36" s="26"/>
      <c r="C36" s="88" t="s">
        <v>93</v>
      </c>
      <c r="D36" s="88" t="s">
        <v>94</v>
      </c>
      <c r="E36" s="89" t="s">
        <v>8</v>
      </c>
      <c r="F36" s="670"/>
      <c r="G36" s="670"/>
      <c r="H36" s="670"/>
      <c r="I36" s="24" t="s">
        <v>27</v>
      </c>
      <c r="N36" s="28"/>
      <c r="O36" s="28"/>
      <c r="P36" s="29"/>
      <c r="Q36" s="29"/>
      <c r="R36" s="30"/>
      <c r="S36" s="30"/>
      <c r="T36" s="102"/>
      <c r="U36" s="25" t="s">
        <v>27</v>
      </c>
    </row>
    <row r="37" spans="1:21" ht="26.25" hidden="1" x14ac:dyDescent="0.25">
      <c r="A37" s="572" t="s">
        <v>50</v>
      </c>
      <c r="B37" s="572"/>
      <c r="C37" s="90" t="s">
        <v>2</v>
      </c>
      <c r="D37" s="90" t="s">
        <v>2</v>
      </c>
      <c r="E37" s="90" t="s">
        <v>2</v>
      </c>
      <c r="F37" s="671"/>
      <c r="G37" s="671"/>
      <c r="H37" s="671"/>
      <c r="I37" s="31" t="s">
        <v>395</v>
      </c>
      <c r="N37" s="639" t="s">
        <v>50</v>
      </c>
      <c r="O37" s="639"/>
      <c r="P37" s="640" t="s">
        <v>19</v>
      </c>
      <c r="Q37" s="640"/>
      <c r="R37" s="640"/>
      <c r="S37" s="640"/>
      <c r="T37" s="640"/>
      <c r="U37" s="19" t="str">
        <f>I37</f>
        <v>(WFTE x BSA x CWF x SDF)</v>
      </c>
    </row>
    <row r="38" spans="1:21" hidden="1" x14ac:dyDescent="0.25">
      <c r="A38" s="576" t="s">
        <v>45</v>
      </c>
      <c r="B38" s="576"/>
      <c r="C38" s="147">
        <v>0</v>
      </c>
      <c r="D38" s="147">
        <v>0</v>
      </c>
      <c r="E38" s="187">
        <f t="shared" ref="E38:E43" si="6">IF(D$44=0,C38*2,C38+D38)</f>
        <v>0</v>
      </c>
      <c r="F38" s="148"/>
      <c r="G38" s="148"/>
      <c r="H38" s="148"/>
      <c r="I38" s="111">
        <f>ROUND(ROUND(ROUND(E38*$C$8,4)*($H$8),2)*(MAX($H$9,1)),2)</f>
        <v>0</v>
      </c>
      <c r="N38" s="641" t="s">
        <v>45</v>
      </c>
      <c r="O38" s="641"/>
      <c r="P38" s="608">
        <f t="shared" ref="P38:P43" si="7">IF($H$133=1,E38,0)</f>
        <v>0</v>
      </c>
      <c r="Q38" s="608"/>
      <c r="R38" s="608"/>
      <c r="S38" s="608"/>
      <c r="T38" s="608"/>
      <c r="U38" s="98">
        <f>ROUND(ROUND(ROUND(P38*$C$8,4)*($H$8),2)*(MAX($H$9,1)),2)</f>
        <v>0</v>
      </c>
    </row>
    <row r="39" spans="1:21" hidden="1" x14ac:dyDescent="0.25">
      <c r="A39" s="578" t="s">
        <v>46</v>
      </c>
      <c r="B39" s="578"/>
      <c r="C39" s="150">
        <v>0</v>
      </c>
      <c r="D39" s="150">
        <v>0</v>
      </c>
      <c r="E39" s="116">
        <f t="shared" si="6"/>
        <v>0</v>
      </c>
      <c r="F39" s="151"/>
      <c r="G39" s="151"/>
      <c r="H39" s="151"/>
      <c r="I39" s="101">
        <f t="shared" ref="I39:I43" si="8">ROUND(ROUND(ROUND(E39*$C$8,4)*($H$8),2)*(MAX($H$9,1)),2)</f>
        <v>0</v>
      </c>
      <c r="N39" s="601" t="s">
        <v>46</v>
      </c>
      <c r="O39" s="601"/>
      <c r="P39" s="608">
        <f t="shared" si="7"/>
        <v>0</v>
      </c>
      <c r="Q39" s="608"/>
      <c r="R39" s="608"/>
      <c r="S39" s="608"/>
      <c r="T39" s="608"/>
      <c r="U39" s="98">
        <f t="shared" ref="U39:U43" si="9">ROUND(ROUND(ROUND(P39*$C$8,4)*($H$8),2)*(MAX($H$9,1)),2)</f>
        <v>0</v>
      </c>
    </row>
    <row r="40" spans="1:21" hidden="1" x14ac:dyDescent="0.25">
      <c r="A40" s="583" t="s">
        <v>47</v>
      </c>
      <c r="B40" s="583"/>
      <c r="C40" s="150">
        <v>0</v>
      </c>
      <c r="D40" s="150">
        <v>0</v>
      </c>
      <c r="E40" s="116">
        <f t="shared" si="6"/>
        <v>0</v>
      </c>
      <c r="F40" s="151"/>
      <c r="G40" s="151"/>
      <c r="H40" s="151"/>
      <c r="I40" s="101">
        <f t="shared" si="8"/>
        <v>0</v>
      </c>
      <c r="N40" s="646" t="s">
        <v>47</v>
      </c>
      <c r="O40" s="646"/>
      <c r="P40" s="608">
        <f t="shared" si="7"/>
        <v>0</v>
      </c>
      <c r="Q40" s="608"/>
      <c r="R40" s="608"/>
      <c r="S40" s="608"/>
      <c r="T40" s="608"/>
      <c r="U40" s="98">
        <f t="shared" si="9"/>
        <v>0</v>
      </c>
    </row>
    <row r="41" spans="1:21" hidden="1" x14ac:dyDescent="0.25">
      <c r="A41" s="578" t="s">
        <v>48</v>
      </c>
      <c r="B41" s="578"/>
      <c r="C41" s="150">
        <v>0</v>
      </c>
      <c r="D41" s="150">
        <v>0</v>
      </c>
      <c r="E41" s="116">
        <f t="shared" si="6"/>
        <v>0</v>
      </c>
      <c r="F41" s="151"/>
      <c r="G41" s="151"/>
      <c r="H41" s="151"/>
      <c r="I41" s="101">
        <f t="shared" si="8"/>
        <v>0</v>
      </c>
      <c r="N41" s="601" t="s">
        <v>48</v>
      </c>
      <c r="O41" s="601"/>
      <c r="P41" s="608">
        <f t="shared" si="7"/>
        <v>0</v>
      </c>
      <c r="Q41" s="608"/>
      <c r="R41" s="608"/>
      <c r="S41" s="608"/>
      <c r="T41" s="608"/>
      <c r="U41" s="98">
        <f t="shared" si="9"/>
        <v>0</v>
      </c>
    </row>
    <row r="42" spans="1:21" hidden="1" x14ac:dyDescent="0.25">
      <c r="A42" s="578" t="s">
        <v>49</v>
      </c>
      <c r="B42" s="578"/>
      <c r="C42" s="150">
        <v>0</v>
      </c>
      <c r="D42" s="150">
        <v>0</v>
      </c>
      <c r="E42" s="116">
        <f t="shared" si="6"/>
        <v>0</v>
      </c>
      <c r="F42" s="151"/>
      <c r="G42" s="151"/>
      <c r="H42" s="151"/>
      <c r="I42" s="101">
        <f t="shared" si="8"/>
        <v>0</v>
      </c>
      <c r="N42" s="601" t="s">
        <v>49</v>
      </c>
      <c r="O42" s="601"/>
      <c r="P42" s="608">
        <f t="shared" si="7"/>
        <v>0</v>
      </c>
      <c r="Q42" s="608"/>
      <c r="R42" s="608"/>
      <c r="S42" s="608"/>
      <c r="T42" s="608"/>
      <c r="U42" s="98">
        <f t="shared" si="9"/>
        <v>0</v>
      </c>
    </row>
    <row r="43" spans="1:21" hidden="1" x14ac:dyDescent="0.25">
      <c r="A43" s="578" t="s">
        <v>41</v>
      </c>
      <c r="B43" s="578"/>
      <c r="C43" s="149">
        <v>0</v>
      </c>
      <c r="D43" s="149">
        <v>0</v>
      </c>
      <c r="E43" s="154">
        <f t="shared" si="6"/>
        <v>0</v>
      </c>
      <c r="F43" s="151"/>
      <c r="G43" s="151"/>
      <c r="H43" s="151"/>
      <c r="I43" s="94">
        <f t="shared" si="8"/>
        <v>0</v>
      </c>
      <c r="N43" s="616" t="s">
        <v>41</v>
      </c>
      <c r="O43" s="616"/>
      <c r="P43" s="608">
        <f t="shared" si="7"/>
        <v>0</v>
      </c>
      <c r="Q43" s="608"/>
      <c r="R43" s="608"/>
      <c r="S43" s="608"/>
      <c r="T43" s="60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3" t="s">
        <v>43</v>
      </c>
      <c r="O44" s="603"/>
      <c r="P44" s="603"/>
      <c r="Q44" s="603"/>
      <c r="R44" s="33">
        <f>SUM(P38:R43)</f>
        <v>0</v>
      </c>
      <c r="S44" s="617" t="s">
        <v>51</v>
      </c>
      <c r="T44" s="617"/>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657.73710000000005</v>
      </c>
      <c r="F46" s="34"/>
      <c r="G46" s="106"/>
      <c r="H46" s="107" t="s">
        <v>98</v>
      </c>
      <c r="I46" s="94">
        <f>SUM(I44,I30)</f>
        <v>3649443.7699999996</v>
      </c>
      <c r="N46" s="603" t="s">
        <v>44</v>
      </c>
      <c r="O46" s="603"/>
      <c r="P46" s="603"/>
      <c r="Q46" s="603"/>
      <c r="R46" s="35">
        <f>R44+T30</f>
        <v>139.42000000000002</v>
      </c>
      <c r="S46" s="617" t="s">
        <v>42</v>
      </c>
      <c r="T46" s="617"/>
      <c r="U46" s="108">
        <f>SUM(U44,U30)</f>
        <v>773569.63000000012</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396</v>
      </c>
      <c r="B48" s="26"/>
      <c r="C48" s="26"/>
      <c r="D48" s="26"/>
      <c r="E48" s="26"/>
      <c r="F48" s="34"/>
      <c r="G48" s="27"/>
      <c r="H48" s="27"/>
      <c r="I48" s="101"/>
      <c r="N48" s="383" t="s">
        <v>396</v>
      </c>
      <c r="O48" s="28"/>
      <c r="P48" s="28"/>
      <c r="Q48" s="28"/>
      <c r="R48" s="35"/>
      <c r="S48" s="30"/>
      <c r="T48" s="30"/>
      <c r="U48" s="402"/>
    </row>
    <row r="49" spans="1:22" s="391" customFormat="1" ht="9" customHeight="1" x14ac:dyDescent="0.2">
      <c r="A49" s="481" t="s">
        <v>397</v>
      </c>
      <c r="F49" s="392"/>
      <c r="G49" s="393"/>
      <c r="H49" s="393"/>
      <c r="I49" s="394"/>
      <c r="N49" s="403" t="s">
        <v>397</v>
      </c>
      <c r="O49" s="395"/>
      <c r="P49" s="395"/>
      <c r="Q49" s="395"/>
      <c r="R49" s="396"/>
      <c r="S49" s="397"/>
      <c r="T49" s="397"/>
      <c r="U49" s="404"/>
    </row>
    <row r="50" spans="1:22" s="391" customFormat="1" ht="11.25" customHeight="1" x14ac:dyDescent="0.2">
      <c r="A50" s="483" t="s">
        <v>398</v>
      </c>
      <c r="F50" s="392"/>
      <c r="G50" s="393"/>
      <c r="H50" s="393"/>
      <c r="I50" s="394"/>
      <c r="N50" s="405" t="s">
        <v>398</v>
      </c>
      <c r="O50" s="395"/>
      <c r="P50" s="395"/>
      <c r="Q50" s="395"/>
      <c r="R50" s="396"/>
      <c r="S50" s="397"/>
      <c r="T50" s="397"/>
      <c r="U50" s="404"/>
    </row>
    <row r="51" spans="1:22" x14ac:dyDescent="0.25">
      <c r="A51" s="389"/>
      <c r="B51" s="399" t="s">
        <v>399</v>
      </c>
      <c r="C51" s="26"/>
      <c r="D51" s="26"/>
      <c r="E51" s="43" t="s">
        <v>400</v>
      </c>
      <c r="F51" s="400">
        <f>I46</f>
        <v>3649443.7699999996</v>
      </c>
      <c r="G51" s="109" t="s">
        <v>6</v>
      </c>
      <c r="H51" s="401">
        <v>4.5199999999999997E-2</v>
      </c>
      <c r="I51" s="101">
        <f>ROUND(F51*H51,2)</f>
        <v>164954.85999999999</v>
      </c>
      <c r="N51" s="406"/>
      <c r="O51" s="407" t="s">
        <v>399</v>
      </c>
      <c r="P51" s="28"/>
      <c r="Q51" s="44" t="s">
        <v>400</v>
      </c>
      <c r="R51" s="408">
        <f>U30</f>
        <v>773569.63000000012</v>
      </c>
      <c r="S51" s="409" t="s">
        <v>6</v>
      </c>
      <c r="T51" s="410">
        <v>4.5199999999999997E-2</v>
      </c>
      <c r="U51" s="402">
        <f>ROUND(R51*T51,2)</f>
        <v>34965.35</v>
      </c>
    </row>
    <row r="52" spans="1:22" x14ac:dyDescent="0.25">
      <c r="A52" s="26"/>
      <c r="B52" s="81" t="s">
        <v>401</v>
      </c>
      <c r="C52" s="26"/>
      <c r="D52" s="26"/>
      <c r="E52" s="43" t="s">
        <v>400</v>
      </c>
      <c r="F52" s="400">
        <f>I46</f>
        <v>3649443.7699999996</v>
      </c>
      <c r="G52" s="109" t="s">
        <v>6</v>
      </c>
      <c r="H52" s="401">
        <v>1.41E-2</v>
      </c>
      <c r="I52" s="101">
        <f>ROUND(F52*H52,2)</f>
        <v>51457.16</v>
      </c>
      <c r="N52" s="28"/>
      <c r="O52" s="383" t="s">
        <v>401</v>
      </c>
      <c r="P52" s="28"/>
      <c r="Q52" s="44" t="s">
        <v>400</v>
      </c>
      <c r="R52" s="408">
        <f>U30</f>
        <v>773569.63000000012</v>
      </c>
      <c r="S52" s="409" t="s">
        <v>6</v>
      </c>
      <c r="T52" s="410">
        <v>1.41E-2</v>
      </c>
      <c r="U52" s="411">
        <f>ROUND(R52*T52,2)</f>
        <v>10907.33</v>
      </c>
    </row>
    <row r="53" spans="1:22" x14ac:dyDescent="0.25">
      <c r="A53" s="26"/>
      <c r="B53" s="81" t="s">
        <v>402</v>
      </c>
      <c r="C53" s="26"/>
      <c r="D53" s="26"/>
      <c r="E53" s="43"/>
      <c r="F53" s="400"/>
      <c r="G53" s="109"/>
      <c r="H53" s="401"/>
      <c r="I53" s="97">
        <f>SUM(I51:I52)</f>
        <v>216412.02</v>
      </c>
      <c r="N53" s="28"/>
      <c r="O53" s="383" t="s">
        <v>402</v>
      </c>
      <c r="P53" s="28"/>
      <c r="Q53" s="44"/>
      <c r="R53" s="408"/>
      <c r="S53" s="409"/>
      <c r="T53" s="410"/>
      <c r="U53" s="402">
        <f>SUM(U51:U52)</f>
        <v>45872.68</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440</v>
      </c>
      <c r="G55" s="109" t="s">
        <v>441</v>
      </c>
      <c r="H55" s="454" t="s">
        <v>442</v>
      </c>
      <c r="I55" s="101"/>
      <c r="N55" s="448"/>
      <c r="O55" s="448"/>
      <c r="P55" s="464"/>
      <c r="Q55" s="465"/>
      <c r="R55" s="466"/>
      <c r="S55" s="468" t="s">
        <v>441</v>
      </c>
      <c r="T55" s="469" t="s">
        <v>442</v>
      </c>
      <c r="U55" s="467"/>
      <c r="V55" s="424"/>
    </row>
    <row r="56" spans="1:22" x14ac:dyDescent="0.25">
      <c r="A56" s="36" t="s">
        <v>443</v>
      </c>
      <c r="B56" s="36"/>
      <c r="C56" s="324" t="str">
        <f>'1461'!C56</f>
        <v>FTE</v>
      </c>
      <c r="D56" s="324" t="str">
        <f>'1461'!D56</f>
        <v>FTE</v>
      </c>
      <c r="E56" s="90" t="s">
        <v>2</v>
      </c>
      <c r="F56" s="439" t="s">
        <v>444</v>
      </c>
      <c r="G56" s="441" t="s">
        <v>444</v>
      </c>
      <c r="H56" s="455" t="s">
        <v>445</v>
      </c>
      <c r="I56" s="36"/>
      <c r="N56" s="459" t="s">
        <v>443</v>
      </c>
      <c r="O56" s="459"/>
      <c r="P56" s="620" t="s">
        <v>2</v>
      </c>
      <c r="Q56" s="620"/>
      <c r="R56" s="459" t="s">
        <v>449</v>
      </c>
      <c r="S56" s="450" t="s">
        <v>444</v>
      </c>
      <c r="T56" s="470" t="s">
        <v>445</v>
      </c>
      <c r="U56" s="459"/>
      <c r="V56" s="458"/>
    </row>
    <row r="57" spans="1:22" x14ac:dyDescent="0.25">
      <c r="A57" s="588" t="s">
        <v>447</v>
      </c>
      <c r="B57" s="588"/>
      <c r="C57" s="143">
        <v>0</v>
      </c>
      <c r="D57" s="143">
        <v>0.48</v>
      </c>
      <c r="E57" s="116">
        <f t="shared" ref="E57:E65" si="10">IF(D$66=0,C57*2,C57+D57)</f>
        <v>0.48</v>
      </c>
      <c r="F57" s="443" t="s">
        <v>439</v>
      </c>
      <c r="G57" s="443">
        <v>251</v>
      </c>
      <c r="H57" s="457">
        <f>'1461'!H57</f>
        <v>1047</v>
      </c>
      <c r="I57" s="101">
        <f>ROUND(E57*H57,2)</f>
        <v>502.56</v>
      </c>
      <c r="N57" s="618" t="s">
        <v>447</v>
      </c>
      <c r="O57" s="618"/>
      <c r="P57" s="621"/>
      <c r="Q57" s="621"/>
      <c r="R57" s="449" t="s">
        <v>439</v>
      </c>
      <c r="S57" s="449">
        <v>251</v>
      </c>
      <c r="T57" s="460">
        <f>H57</f>
        <v>1047</v>
      </c>
      <c r="U57" s="474">
        <f>ROUND(P57*T57,2)</f>
        <v>0</v>
      </c>
      <c r="V57" s="424"/>
    </row>
    <row r="58" spans="1:22" x14ac:dyDescent="0.25">
      <c r="A58" s="589"/>
      <c r="B58" s="589"/>
      <c r="C58" s="143">
        <v>0</v>
      </c>
      <c r="D58" s="143">
        <v>0</v>
      </c>
      <c r="E58" s="116">
        <f t="shared" si="10"/>
        <v>0</v>
      </c>
      <c r="F58" s="443" t="s">
        <v>439</v>
      </c>
      <c r="G58" s="443">
        <v>252</v>
      </c>
      <c r="H58" s="457">
        <f>'1461'!H58</f>
        <v>3380</v>
      </c>
      <c r="I58" s="101">
        <f t="shared" ref="I58:I65" si="11">ROUND(E58*H58,2)</f>
        <v>0</v>
      </c>
      <c r="N58" s="619"/>
      <c r="O58" s="619"/>
      <c r="P58" s="622"/>
      <c r="Q58" s="622"/>
      <c r="R58" s="449" t="s">
        <v>439</v>
      </c>
      <c r="S58" s="449">
        <v>252</v>
      </c>
      <c r="T58" s="460">
        <f t="shared" ref="T58:T65" si="12">H58</f>
        <v>3380</v>
      </c>
      <c r="U58" s="474">
        <f t="shared" ref="U58:U65" si="13">ROUND(P58*T58,2)</f>
        <v>0</v>
      </c>
      <c r="V58" s="424"/>
    </row>
    <row r="59" spans="1:22" x14ac:dyDescent="0.25">
      <c r="A59" s="589"/>
      <c r="B59" s="589"/>
      <c r="C59" s="143">
        <v>0</v>
      </c>
      <c r="D59" s="143">
        <v>0</v>
      </c>
      <c r="E59" s="116">
        <f t="shared" si="10"/>
        <v>0</v>
      </c>
      <c r="F59" s="443" t="s">
        <v>439</v>
      </c>
      <c r="G59" s="443">
        <v>253</v>
      </c>
      <c r="H59" s="457">
        <f>'1461'!H59</f>
        <v>6896</v>
      </c>
      <c r="I59" s="101">
        <f t="shared" si="11"/>
        <v>0</v>
      </c>
      <c r="N59" s="619"/>
      <c r="O59" s="619"/>
      <c r="P59" s="622"/>
      <c r="Q59" s="622"/>
      <c r="R59" s="449" t="s">
        <v>439</v>
      </c>
      <c r="S59" s="449">
        <v>253</v>
      </c>
      <c r="T59" s="460">
        <f t="shared" si="12"/>
        <v>6896</v>
      </c>
      <c r="U59" s="474">
        <f t="shared" si="13"/>
        <v>0</v>
      </c>
      <c r="V59" s="424"/>
    </row>
    <row r="60" spans="1:22" x14ac:dyDescent="0.25">
      <c r="A60" s="589"/>
      <c r="B60" s="589"/>
      <c r="C60" s="143">
        <v>0</v>
      </c>
      <c r="D60" s="143">
        <v>0</v>
      </c>
      <c r="E60" s="116">
        <f t="shared" si="10"/>
        <v>0</v>
      </c>
      <c r="F60" s="444" t="s">
        <v>13</v>
      </c>
      <c r="G60" s="443">
        <v>251</v>
      </c>
      <c r="H60" s="457">
        <f>'1461'!H60</f>
        <v>1173</v>
      </c>
      <c r="I60" s="101">
        <f t="shared" si="11"/>
        <v>0</v>
      </c>
      <c r="N60" s="619"/>
      <c r="O60" s="619"/>
      <c r="P60" s="622"/>
      <c r="Q60" s="622"/>
      <c r="R60" s="40" t="s">
        <v>13</v>
      </c>
      <c r="S60" s="449">
        <v>251</v>
      </c>
      <c r="T60" s="460">
        <f t="shared" si="12"/>
        <v>1173</v>
      </c>
      <c r="U60" s="474">
        <f t="shared" si="13"/>
        <v>0</v>
      </c>
      <c r="V60" s="424"/>
    </row>
    <row r="61" spans="1:22" x14ac:dyDescent="0.25">
      <c r="A61" s="589"/>
      <c r="B61" s="589"/>
      <c r="C61" s="143">
        <v>0</v>
      </c>
      <c r="D61" s="143">
        <v>0</v>
      </c>
      <c r="E61" s="116">
        <f t="shared" si="10"/>
        <v>0</v>
      </c>
      <c r="F61" s="444" t="s">
        <v>13</v>
      </c>
      <c r="G61" s="443">
        <v>252</v>
      </c>
      <c r="H61" s="457">
        <f>'1461'!H61</f>
        <v>3506</v>
      </c>
      <c r="I61" s="101">
        <f t="shared" si="11"/>
        <v>0</v>
      </c>
      <c r="N61" s="619"/>
      <c r="O61" s="619"/>
      <c r="P61" s="622"/>
      <c r="Q61" s="622"/>
      <c r="R61" s="40" t="s">
        <v>13</v>
      </c>
      <c r="S61" s="449">
        <v>252</v>
      </c>
      <c r="T61" s="460">
        <f t="shared" si="12"/>
        <v>3506</v>
      </c>
      <c r="U61" s="474">
        <f t="shared" si="13"/>
        <v>0</v>
      </c>
      <c r="V61" s="424"/>
    </row>
    <row r="62" spans="1:22" x14ac:dyDescent="0.25">
      <c r="A62" s="589"/>
      <c r="B62" s="589"/>
      <c r="C62" s="143">
        <v>0</v>
      </c>
      <c r="D62" s="143">
        <v>0</v>
      </c>
      <c r="E62" s="116">
        <f t="shared" si="10"/>
        <v>0</v>
      </c>
      <c r="F62" s="444" t="s">
        <v>13</v>
      </c>
      <c r="G62" s="443">
        <v>253</v>
      </c>
      <c r="H62" s="457">
        <f>'1461'!H62</f>
        <v>7023</v>
      </c>
      <c r="I62" s="101">
        <f t="shared" si="11"/>
        <v>0</v>
      </c>
      <c r="N62" s="619"/>
      <c r="O62" s="619"/>
      <c r="P62" s="622"/>
      <c r="Q62" s="622"/>
      <c r="R62" s="40" t="s">
        <v>13</v>
      </c>
      <c r="S62" s="449">
        <v>253</v>
      </c>
      <c r="T62" s="460">
        <f t="shared" si="12"/>
        <v>7023</v>
      </c>
      <c r="U62" s="474">
        <f t="shared" si="13"/>
        <v>0</v>
      </c>
      <c r="V62" s="424"/>
    </row>
    <row r="63" spans="1:22" x14ac:dyDescent="0.25">
      <c r="A63" s="589"/>
      <c r="B63" s="589"/>
      <c r="C63" s="143">
        <v>0</v>
      </c>
      <c r="D63" s="143">
        <v>0</v>
      </c>
      <c r="E63" s="116">
        <f t="shared" si="10"/>
        <v>0</v>
      </c>
      <c r="F63" s="444" t="s">
        <v>14</v>
      </c>
      <c r="G63" s="443">
        <v>251</v>
      </c>
      <c r="H63" s="457">
        <f>'1461'!H63</f>
        <v>835</v>
      </c>
      <c r="I63" s="101">
        <f t="shared" si="11"/>
        <v>0</v>
      </c>
      <c r="N63" s="619"/>
      <c r="O63" s="619"/>
      <c r="P63" s="622"/>
      <c r="Q63" s="622"/>
      <c r="R63" s="40" t="s">
        <v>14</v>
      </c>
      <c r="S63" s="449">
        <v>251</v>
      </c>
      <c r="T63" s="460">
        <f t="shared" si="12"/>
        <v>835</v>
      </c>
      <c r="U63" s="474">
        <f t="shared" si="13"/>
        <v>0</v>
      </c>
      <c r="V63" s="424"/>
    </row>
    <row r="64" spans="1:22" x14ac:dyDescent="0.25">
      <c r="A64" s="589"/>
      <c r="B64" s="589"/>
      <c r="C64" s="143">
        <v>0</v>
      </c>
      <c r="D64" s="143">
        <v>0</v>
      </c>
      <c r="E64" s="116">
        <f t="shared" si="10"/>
        <v>0</v>
      </c>
      <c r="F64" s="444" t="s">
        <v>14</v>
      </c>
      <c r="G64" s="443">
        <v>252</v>
      </c>
      <c r="H64" s="457">
        <f>'1461'!H64</f>
        <v>3168</v>
      </c>
      <c r="I64" s="101">
        <f t="shared" si="11"/>
        <v>0</v>
      </c>
      <c r="N64" s="619"/>
      <c r="O64" s="619"/>
      <c r="P64" s="622"/>
      <c r="Q64" s="622"/>
      <c r="R64" s="40" t="s">
        <v>14</v>
      </c>
      <c r="S64" s="449">
        <v>252</v>
      </c>
      <c r="T64" s="460">
        <f t="shared" si="12"/>
        <v>3168</v>
      </c>
      <c r="U64" s="474">
        <f t="shared" si="13"/>
        <v>0</v>
      </c>
      <c r="V64" s="424"/>
    </row>
    <row r="65" spans="1:22" ht="16.5" thickBot="1" x14ac:dyDescent="0.3">
      <c r="A65" s="589"/>
      <c r="B65" s="589"/>
      <c r="C65" s="143">
        <v>3.5</v>
      </c>
      <c r="D65" s="143">
        <v>4</v>
      </c>
      <c r="E65" s="116">
        <f t="shared" si="10"/>
        <v>7.5</v>
      </c>
      <c r="F65" s="444" t="s">
        <v>14</v>
      </c>
      <c r="G65" s="443">
        <v>253</v>
      </c>
      <c r="H65" s="457">
        <f>'1461'!H65</f>
        <v>6685</v>
      </c>
      <c r="I65" s="101">
        <f t="shared" si="11"/>
        <v>50137.5</v>
      </c>
      <c r="N65" s="619"/>
      <c r="O65" s="619"/>
      <c r="P65" s="623"/>
      <c r="Q65" s="623"/>
      <c r="R65" s="40" t="s">
        <v>14</v>
      </c>
      <c r="S65" s="449">
        <v>253</v>
      </c>
      <c r="T65" s="460">
        <f t="shared" si="12"/>
        <v>6685</v>
      </c>
      <c r="U65" s="475">
        <f t="shared" si="13"/>
        <v>0</v>
      </c>
      <c r="V65" s="424"/>
    </row>
    <row r="66" spans="1:22" ht="16.5" thickBot="1" x14ac:dyDescent="0.3">
      <c r="A66" s="440"/>
      <c r="C66" s="97">
        <f>SUM(C57:C65)</f>
        <v>3.5</v>
      </c>
      <c r="D66" s="97">
        <f>SUM(D57:D65)</f>
        <v>4.4800000000000004</v>
      </c>
      <c r="E66" s="97">
        <f>SUM(E57:E65)</f>
        <v>7.98</v>
      </c>
      <c r="F66" s="590" t="s">
        <v>448</v>
      </c>
      <c r="G66" s="590"/>
      <c r="H66" s="590"/>
      <c r="I66" s="97">
        <f>SUM(I57:I65)</f>
        <v>50640.06</v>
      </c>
      <c r="N66" s="446"/>
      <c r="O66" s="51"/>
      <c r="P66" s="602">
        <f>SUM(P57:P65)</f>
        <v>0</v>
      </c>
      <c r="Q66" s="602"/>
      <c r="R66" s="603" t="s">
        <v>448</v>
      </c>
      <c r="S66" s="603"/>
      <c r="T66" s="603"/>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450</v>
      </c>
      <c r="N68" s="453" t="s">
        <v>458</v>
      </c>
      <c r="O68" s="51"/>
      <c r="P68" s="51"/>
      <c r="Q68" s="51"/>
      <c r="R68" s="51"/>
      <c r="S68" s="51"/>
      <c r="T68" s="51"/>
      <c r="U68" s="51"/>
    </row>
    <row r="69" spans="1:22" x14ac:dyDescent="0.25">
      <c r="A69" s="584" t="s">
        <v>403</v>
      </c>
      <c r="B69" s="578"/>
      <c r="C69" s="112">
        <f>E30</f>
        <v>139.42000000000002</v>
      </c>
      <c r="D69" s="565" t="s">
        <v>414</v>
      </c>
      <c r="E69" s="565"/>
      <c r="F69" s="565"/>
      <c r="G69" s="565"/>
      <c r="H69" s="300">
        <f>'1461'!H69</f>
        <v>210228.91</v>
      </c>
      <c r="I69" s="113"/>
      <c r="N69" s="600" t="s">
        <v>407</v>
      </c>
      <c r="O69" s="601"/>
      <c r="P69" s="41">
        <f>P30</f>
        <v>139.42000000000002</v>
      </c>
      <c r="Q69" s="606" t="s">
        <v>409</v>
      </c>
      <c r="R69" s="607"/>
      <c r="S69" s="607"/>
      <c r="T69" s="604">
        <f>H69</f>
        <v>210228.91</v>
      </c>
      <c r="U69" s="604"/>
    </row>
    <row r="70" spans="1:22" x14ac:dyDescent="0.25">
      <c r="B70" s="69"/>
      <c r="G70" s="42" t="s">
        <v>12</v>
      </c>
      <c r="H70" s="114">
        <f>ROUND(C69/H69,6)</f>
        <v>6.6299999999999996E-4</v>
      </c>
      <c r="I70" s="115"/>
      <c r="N70" s="601"/>
      <c r="O70" s="601"/>
      <c r="P70" s="601"/>
      <c r="Q70" s="601"/>
      <c r="R70" s="601"/>
      <c r="S70" s="601"/>
      <c r="T70" s="605">
        <f>ROUND(P69/T69,6)</f>
        <v>6.6299999999999996E-4</v>
      </c>
      <c r="U70" s="605"/>
    </row>
    <row r="71" spans="1:22" x14ac:dyDescent="0.25">
      <c r="A71" s="442" t="s">
        <v>451</v>
      </c>
      <c r="N71" s="453" t="s">
        <v>459</v>
      </c>
      <c r="O71" s="51"/>
      <c r="P71" s="51"/>
      <c r="Q71" s="51"/>
      <c r="R71" s="51"/>
      <c r="S71" s="51"/>
      <c r="T71" s="51"/>
      <c r="U71" s="51"/>
    </row>
    <row r="72" spans="1:22" x14ac:dyDescent="0.25">
      <c r="A72" s="584" t="s">
        <v>404</v>
      </c>
      <c r="B72" s="578"/>
      <c r="C72" s="112">
        <f>H30</f>
        <v>657.73710000000005</v>
      </c>
      <c r="D72" s="565" t="s">
        <v>415</v>
      </c>
      <c r="E72" s="565"/>
      <c r="F72" s="565"/>
      <c r="G72" s="565"/>
      <c r="H72" s="301">
        <f>'1461'!H72</f>
        <v>234891.44</v>
      </c>
      <c r="I72" s="116"/>
      <c r="N72" s="600" t="s">
        <v>408</v>
      </c>
      <c r="O72" s="601"/>
      <c r="P72" s="41">
        <f>T30</f>
        <v>139.42000000000002</v>
      </c>
      <c r="Q72" s="606" t="s">
        <v>410</v>
      </c>
      <c r="R72" s="607"/>
      <c r="S72" s="607"/>
      <c r="T72" s="604">
        <f>H72</f>
        <v>234891.44</v>
      </c>
      <c r="U72" s="604"/>
    </row>
    <row r="73" spans="1:22" x14ac:dyDescent="0.25">
      <c r="G73" s="42" t="s">
        <v>12</v>
      </c>
      <c r="H73" s="114">
        <f>ROUND(C72/H72,6)</f>
        <v>2.8E-3</v>
      </c>
      <c r="I73" s="114"/>
      <c r="N73" s="601"/>
      <c r="O73" s="601"/>
      <c r="P73" s="601"/>
      <c r="Q73" s="601"/>
      <c r="R73" s="601"/>
      <c r="S73" s="601"/>
      <c r="T73" s="605">
        <f>ROUND(P72/T72,6)</f>
        <v>5.9400000000000002E-4</v>
      </c>
      <c r="U73" s="605"/>
    </row>
    <row r="74" spans="1:22" x14ac:dyDescent="0.25">
      <c r="A74" s="417" t="s">
        <v>452</v>
      </c>
      <c r="B74" s="414"/>
      <c r="C74" s="414"/>
      <c r="D74" s="414"/>
      <c r="E74" s="414"/>
      <c r="F74" s="414"/>
      <c r="G74" s="414"/>
      <c r="H74" s="414"/>
      <c r="I74" s="414"/>
      <c r="N74" s="416" t="s">
        <v>460</v>
      </c>
      <c r="O74" s="415"/>
      <c r="P74" s="415"/>
      <c r="Q74" s="415"/>
      <c r="R74" s="415"/>
      <c r="S74" s="415"/>
      <c r="T74" s="415"/>
      <c r="U74" s="415"/>
      <c r="V74" s="414"/>
    </row>
    <row r="75" spans="1:22" x14ac:dyDescent="0.25">
      <c r="A75" s="584" t="s">
        <v>405</v>
      </c>
      <c r="B75" s="578"/>
      <c r="C75" s="112">
        <f>E30</f>
        <v>139.42000000000002</v>
      </c>
      <c r="D75" s="557" t="s">
        <v>416</v>
      </c>
      <c r="E75" s="557"/>
      <c r="F75" s="557"/>
      <c r="G75" s="557"/>
      <c r="H75" s="300">
        <f>'1461'!H75</f>
        <v>187665.41</v>
      </c>
      <c r="I75" s="113"/>
      <c r="N75" s="600" t="s">
        <v>406</v>
      </c>
      <c r="O75" s="601"/>
      <c r="P75" s="41">
        <f>P30</f>
        <v>139.42000000000002</v>
      </c>
      <c r="Q75" s="636" t="s">
        <v>411</v>
      </c>
      <c r="R75" s="637"/>
      <c r="S75" s="637"/>
      <c r="T75" s="604">
        <f>H75</f>
        <v>187665.41</v>
      </c>
      <c r="U75" s="604"/>
    </row>
    <row r="76" spans="1:22" x14ac:dyDescent="0.25">
      <c r="B76" s="69"/>
      <c r="G76" s="42" t="s">
        <v>12</v>
      </c>
      <c r="H76" s="114">
        <f>ROUND(C75/H75,6)</f>
        <v>7.4299999999999995E-4</v>
      </c>
      <c r="I76" s="115"/>
      <c r="N76" s="601"/>
      <c r="O76" s="601"/>
      <c r="P76" s="601"/>
      <c r="Q76" s="601"/>
      <c r="R76" s="601"/>
      <c r="S76" s="601"/>
      <c r="T76" s="605">
        <f>ROUND(P75/T75,6)</f>
        <v>7.4299999999999995E-4</v>
      </c>
      <c r="U76" s="605"/>
    </row>
    <row r="77" spans="1:22" x14ac:dyDescent="0.25">
      <c r="A77" s="417" t="s">
        <v>453</v>
      </c>
      <c r="B77" s="414"/>
      <c r="C77" s="414"/>
      <c r="D77" s="414"/>
      <c r="E77" s="414"/>
      <c r="F77" s="414"/>
      <c r="G77" s="414"/>
      <c r="H77" s="414"/>
      <c r="I77" s="414"/>
      <c r="N77" s="416" t="s">
        <v>461</v>
      </c>
      <c r="O77" s="415"/>
      <c r="P77" s="415"/>
      <c r="Q77" s="415"/>
      <c r="R77" s="415"/>
      <c r="S77" s="415"/>
      <c r="T77" s="415"/>
      <c r="U77" s="415"/>
      <c r="V77" s="414"/>
    </row>
    <row r="78" spans="1:22" x14ac:dyDescent="0.25">
      <c r="A78" s="584" t="s">
        <v>405</v>
      </c>
      <c r="B78" s="578"/>
      <c r="C78" s="112">
        <f>E30</f>
        <v>139.42000000000002</v>
      </c>
      <c r="D78" s="585" t="s">
        <v>417</v>
      </c>
      <c r="E78" s="585"/>
      <c r="F78" s="585"/>
      <c r="G78" s="585"/>
      <c r="H78" s="300">
        <f>'1461'!H78</f>
        <v>209892.26</v>
      </c>
      <c r="I78" s="113"/>
      <c r="N78" s="600" t="s">
        <v>406</v>
      </c>
      <c r="O78" s="601"/>
      <c r="P78" s="41">
        <f>P30</f>
        <v>139.42000000000002</v>
      </c>
      <c r="Q78" s="634" t="s">
        <v>412</v>
      </c>
      <c r="R78" s="635"/>
      <c r="S78" s="635"/>
      <c r="T78" s="604">
        <f>H78</f>
        <v>209892.26</v>
      </c>
      <c r="U78" s="604"/>
    </row>
    <row r="79" spans="1:22" x14ac:dyDescent="0.25">
      <c r="B79" s="69"/>
      <c r="G79" s="42" t="s">
        <v>12</v>
      </c>
      <c r="H79" s="114">
        <f>ROUND(C78/H78,6)</f>
        <v>6.6399999999999999E-4</v>
      </c>
      <c r="I79" s="115"/>
      <c r="N79" s="601"/>
      <c r="O79" s="601"/>
      <c r="P79" s="601"/>
      <c r="Q79" s="601"/>
      <c r="R79" s="601"/>
      <c r="S79" s="601"/>
      <c r="T79" s="605">
        <f>ROUND(P78/T78,6)</f>
        <v>6.6399999999999999E-4</v>
      </c>
      <c r="U79" s="605"/>
    </row>
    <row r="80" spans="1:22" x14ac:dyDescent="0.25">
      <c r="A80" s="417" t="s">
        <v>454</v>
      </c>
      <c r="B80" s="414"/>
      <c r="C80" s="414"/>
      <c r="D80" s="414"/>
      <c r="E80" s="414"/>
      <c r="F80" s="414"/>
      <c r="G80" s="414"/>
      <c r="H80" s="414"/>
      <c r="I80" s="414"/>
      <c r="N80" s="416" t="s">
        <v>462</v>
      </c>
      <c r="O80" s="415"/>
      <c r="P80" s="415"/>
      <c r="Q80" s="415"/>
      <c r="R80" s="415"/>
      <c r="S80" s="415"/>
      <c r="T80" s="415"/>
      <c r="U80" s="415"/>
      <c r="V80" s="414"/>
    </row>
    <row r="81" spans="1:21" x14ac:dyDescent="0.25">
      <c r="A81" s="584" t="s">
        <v>413</v>
      </c>
      <c r="B81" s="578"/>
      <c r="C81" s="112">
        <f>E30</f>
        <v>139.42000000000002</v>
      </c>
      <c r="D81" s="557" t="s">
        <v>418</v>
      </c>
      <c r="E81" s="557"/>
      <c r="F81" s="557"/>
      <c r="G81" s="557"/>
      <c r="H81" s="300">
        <f>'1461'!H81</f>
        <v>187328.76</v>
      </c>
      <c r="I81" s="113"/>
      <c r="N81" s="600" t="s">
        <v>419</v>
      </c>
      <c r="O81" s="601"/>
      <c r="P81" s="41">
        <f>P30</f>
        <v>139.42000000000002</v>
      </c>
      <c r="Q81" s="636" t="s">
        <v>420</v>
      </c>
      <c r="R81" s="637"/>
      <c r="S81" s="637"/>
      <c r="T81" s="604">
        <f>H81</f>
        <v>187328.76</v>
      </c>
      <c r="U81" s="604"/>
    </row>
    <row r="82" spans="1:21" x14ac:dyDescent="0.25">
      <c r="B82" s="69"/>
      <c r="G82" s="42" t="s">
        <v>12</v>
      </c>
      <c r="H82" s="114">
        <f>ROUND(C81/H81,6)</f>
        <v>7.4399999999999998E-4</v>
      </c>
      <c r="I82" s="115"/>
      <c r="N82" s="601"/>
      <c r="O82" s="601"/>
      <c r="P82" s="601"/>
      <c r="Q82" s="601"/>
      <c r="R82" s="601"/>
      <c r="S82" s="601"/>
      <c r="T82" s="605">
        <f>ROUND(P81/T81,6)</f>
        <v>7.4399999999999998E-4</v>
      </c>
      <c r="U82" s="605"/>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455</v>
      </c>
      <c r="D85" s="69"/>
      <c r="E85" s="43" t="s">
        <v>299</v>
      </c>
      <c r="F85" s="302">
        <f>'1461'!F85</f>
        <v>46163704</v>
      </c>
      <c r="G85" s="37" t="s">
        <v>6</v>
      </c>
      <c r="H85" s="422">
        <f>H79</f>
        <v>6.6399999999999999E-4</v>
      </c>
      <c r="I85" s="101">
        <f>ROUND(F85*H85,2)</f>
        <v>30652.7</v>
      </c>
      <c r="N85" s="453" t="s">
        <v>455</v>
      </c>
      <c r="O85" s="51"/>
      <c r="P85" s="51"/>
      <c r="Q85" s="44"/>
      <c r="R85" s="419">
        <f>F85</f>
        <v>46163704</v>
      </c>
      <c r="S85" s="38" t="s">
        <v>6</v>
      </c>
      <c r="T85" s="421">
        <f>T79</f>
        <v>6.6399999999999999E-4</v>
      </c>
      <c r="U85" s="473">
        <f>ROUND(R85*T85,2)</f>
        <v>30652.7</v>
      </c>
    </row>
    <row r="86" spans="1:21" x14ac:dyDescent="0.25">
      <c r="A86" s="399"/>
      <c r="D86" s="69"/>
      <c r="E86" s="43"/>
      <c r="F86" s="117"/>
      <c r="G86" s="37"/>
      <c r="H86" s="422"/>
      <c r="I86" s="101"/>
      <c r="N86" s="51"/>
      <c r="O86" s="51"/>
      <c r="P86" s="51"/>
      <c r="Q86" s="44"/>
      <c r="R86" s="420"/>
      <c r="S86" s="38"/>
      <c r="T86" s="421"/>
      <c r="U86" s="477"/>
    </row>
    <row r="87" spans="1:21" x14ac:dyDescent="0.25">
      <c r="A87" s="587" t="s">
        <v>71</v>
      </c>
      <c r="B87" s="578"/>
      <c r="C87" s="578"/>
      <c r="D87" s="69"/>
      <c r="E87" s="43"/>
      <c r="F87" s="117"/>
      <c r="G87" s="37"/>
      <c r="H87" s="422"/>
      <c r="I87" s="101"/>
      <c r="N87" s="600" t="s">
        <v>463</v>
      </c>
      <c r="O87" s="601"/>
      <c r="P87" s="601"/>
      <c r="Q87" s="51"/>
      <c r="R87" s="420"/>
      <c r="S87" s="51"/>
      <c r="T87" s="38"/>
      <c r="U87" s="478"/>
    </row>
    <row r="88" spans="1:21" x14ac:dyDescent="0.25">
      <c r="A88" s="587" t="s">
        <v>99</v>
      </c>
      <c r="B88" s="578"/>
      <c r="C88" s="578"/>
      <c r="D88" s="69"/>
      <c r="E88" s="43" t="s">
        <v>3</v>
      </c>
      <c r="F88" s="302">
        <f>'1461'!F88</f>
        <v>0</v>
      </c>
      <c r="G88" s="37" t="s">
        <v>6</v>
      </c>
      <c r="H88" s="422">
        <f>H70</f>
        <v>6.6299999999999996E-4</v>
      </c>
      <c r="I88" s="101">
        <f>ROUND(F88*H88,2)</f>
        <v>0</v>
      </c>
      <c r="N88" s="638" t="s">
        <v>99</v>
      </c>
      <c r="O88" s="601"/>
      <c r="P88" s="601"/>
      <c r="Q88" s="44"/>
      <c r="R88" s="419">
        <f>F88</f>
        <v>0</v>
      </c>
      <c r="S88" s="38" t="s">
        <v>6</v>
      </c>
      <c r="T88" s="421">
        <f>T70</f>
        <v>6.6299999999999996E-4</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456</v>
      </c>
      <c r="D90" s="69"/>
      <c r="E90" s="43" t="s">
        <v>421</v>
      </c>
      <c r="F90" s="302">
        <f>'1461'!F90</f>
        <v>19042026</v>
      </c>
      <c r="G90" s="37" t="s">
        <v>6</v>
      </c>
      <c r="H90" s="422">
        <f>H82</f>
        <v>7.4399999999999998E-4</v>
      </c>
      <c r="I90" s="101">
        <f>ROUND(F90*H90,2)</f>
        <v>14167.27</v>
      </c>
      <c r="N90" s="453" t="s">
        <v>456</v>
      </c>
      <c r="O90" s="51"/>
      <c r="P90" s="51"/>
      <c r="Q90" s="44"/>
      <c r="R90" s="419">
        <f>F90</f>
        <v>19042026</v>
      </c>
      <c r="S90" s="38" t="s">
        <v>6</v>
      </c>
      <c r="T90" s="421">
        <f>T82</f>
        <v>7.4399999999999998E-4</v>
      </c>
      <c r="U90" s="473">
        <f>ROUND(R90*T90,2)</f>
        <v>14167.27</v>
      </c>
    </row>
    <row r="91" spans="1:21" x14ac:dyDescent="0.25">
      <c r="A91" s="399"/>
      <c r="D91" s="69"/>
      <c r="E91" s="43"/>
      <c r="F91" s="117"/>
      <c r="G91" s="37"/>
      <c r="H91" s="422"/>
      <c r="I91" s="101"/>
      <c r="N91" s="407"/>
      <c r="O91" s="51"/>
      <c r="P91" s="51"/>
      <c r="Q91" s="44"/>
      <c r="R91" s="419"/>
      <c r="S91" s="38"/>
      <c r="T91" s="421"/>
      <c r="U91" s="473"/>
    </row>
    <row r="92" spans="1:21" x14ac:dyDescent="0.25">
      <c r="A92" s="451" t="s">
        <v>457</v>
      </c>
      <c r="D92" s="69"/>
      <c r="E92" s="43" t="s">
        <v>3</v>
      </c>
      <c r="F92" s="302">
        <f>'1461'!F92</f>
        <v>11441151</v>
      </c>
      <c r="G92" s="37" t="s">
        <v>6</v>
      </c>
      <c r="H92" s="422">
        <f>H76</f>
        <v>7.4299999999999995E-4</v>
      </c>
      <c r="I92" s="101">
        <f t="shared" ref="I92:I96" si="14">ROUND(F92*H92,2)</f>
        <v>8500.7800000000007</v>
      </c>
      <c r="N92" s="453" t="s">
        <v>457</v>
      </c>
      <c r="O92" s="51"/>
      <c r="P92" s="51"/>
      <c r="Q92" s="44"/>
      <c r="R92" s="419">
        <f t="shared" ref="R92:R96" si="15">F92</f>
        <v>11441151</v>
      </c>
      <c r="S92" s="38" t="s">
        <v>6</v>
      </c>
      <c r="T92" s="421">
        <f>T76</f>
        <v>7.4299999999999995E-4</v>
      </c>
      <c r="U92" s="473">
        <f>ROUND(R92*T92,2)</f>
        <v>8500.7800000000007</v>
      </c>
    </row>
    <row r="93" spans="1:21" x14ac:dyDescent="0.25">
      <c r="A93" s="81"/>
      <c r="D93" s="69"/>
      <c r="E93" s="43"/>
      <c r="F93" s="117"/>
      <c r="G93" s="37"/>
      <c r="H93" s="422"/>
      <c r="I93" s="101"/>
      <c r="N93" s="383"/>
      <c r="O93" s="51"/>
      <c r="P93" s="51"/>
      <c r="Q93" s="44"/>
      <c r="R93" s="420"/>
      <c r="S93" s="38"/>
      <c r="T93" s="421"/>
      <c r="U93" s="477"/>
    </row>
    <row r="94" spans="1:21" x14ac:dyDescent="0.25">
      <c r="A94" s="584" t="s">
        <v>422</v>
      </c>
      <c r="B94" s="578"/>
      <c r="C94" s="578"/>
      <c r="D94" s="69"/>
      <c r="E94" s="43" t="s">
        <v>4</v>
      </c>
      <c r="F94" s="302">
        <f>'1461'!F94</f>
        <v>247265670</v>
      </c>
      <c r="G94" s="37" t="s">
        <v>6</v>
      </c>
      <c r="H94" s="422">
        <f>H73</f>
        <v>2.8E-3</v>
      </c>
      <c r="I94" s="101">
        <f t="shared" si="14"/>
        <v>692343.88</v>
      </c>
      <c r="N94" s="601" t="s">
        <v>422</v>
      </c>
      <c r="O94" s="601"/>
      <c r="P94" s="601"/>
      <c r="Q94" s="44"/>
      <c r="R94" s="419">
        <f t="shared" si="15"/>
        <v>247265670</v>
      </c>
      <c r="S94" s="38" t="s">
        <v>6</v>
      </c>
      <c r="T94" s="421">
        <f>T73</f>
        <v>5.9400000000000002E-4</v>
      </c>
      <c r="U94" s="473">
        <f>ROUND(R94*T94,2)</f>
        <v>146875.81</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4" t="s">
        <v>423</v>
      </c>
      <c r="B96" s="578"/>
      <c r="C96" s="578"/>
      <c r="D96" s="69"/>
      <c r="E96" s="43" t="s">
        <v>4</v>
      </c>
      <c r="F96" s="302">
        <f>'1461'!F96</f>
        <v>0</v>
      </c>
      <c r="G96" s="37" t="s">
        <v>6</v>
      </c>
      <c r="H96" s="422">
        <f>H73</f>
        <v>2.8E-3</v>
      </c>
      <c r="I96" s="101">
        <f t="shared" si="14"/>
        <v>0</v>
      </c>
      <c r="N96" s="600" t="s">
        <v>423</v>
      </c>
      <c r="O96" s="601"/>
      <c r="P96" s="601"/>
      <c r="Q96" s="44"/>
      <c r="R96" s="419">
        <f t="shared" si="15"/>
        <v>0</v>
      </c>
      <c r="S96" s="38" t="s">
        <v>6</v>
      </c>
      <c r="T96" s="421">
        <f>T73</f>
        <v>5.9400000000000002E-4</v>
      </c>
      <c r="U96" s="473">
        <f>ROUND(R96*T96,2)</f>
        <v>0</v>
      </c>
    </row>
    <row r="97" spans="1:21" x14ac:dyDescent="0.25">
      <c r="A97" s="530"/>
      <c r="B97" s="529"/>
      <c r="C97" s="529"/>
      <c r="D97" s="529"/>
      <c r="E97" s="527"/>
      <c r="F97" s="117"/>
      <c r="G97" s="528"/>
      <c r="H97" s="422"/>
      <c r="I97" s="101"/>
      <c r="N97" s="533"/>
      <c r="O97" s="532"/>
      <c r="P97" s="532"/>
      <c r="Q97" s="44"/>
      <c r="R97" s="535"/>
      <c r="S97" s="534"/>
      <c r="T97" s="421"/>
      <c r="U97" s="477"/>
    </row>
    <row r="98" spans="1:21" x14ac:dyDescent="0.25">
      <c r="A98" s="530" t="s">
        <v>497</v>
      </c>
      <c r="B98" s="529"/>
      <c r="C98" s="529"/>
      <c r="D98" s="529"/>
      <c r="E98" s="527" t="s">
        <v>3</v>
      </c>
      <c r="F98" s="290">
        <v>0</v>
      </c>
      <c r="G98" s="528" t="s">
        <v>6</v>
      </c>
      <c r="H98" s="422">
        <f>H70</f>
        <v>6.6299999999999996E-4</v>
      </c>
      <c r="I98" s="101">
        <f t="shared" ref="I98" si="16">ROUND(F98*H98,2)</f>
        <v>0</v>
      </c>
      <c r="N98" s="533" t="s">
        <v>497</v>
      </c>
      <c r="O98" s="533"/>
      <c r="P98" s="533"/>
      <c r="Q98" s="44"/>
      <c r="R98" s="536">
        <f>F98</f>
        <v>0</v>
      </c>
      <c r="S98" s="534" t="s">
        <v>6</v>
      </c>
      <c r="T98" s="421">
        <f>T70</f>
        <v>6.6299999999999996E-4</v>
      </c>
      <c r="U98" s="473">
        <f>ROUND(R98*T98,2)</f>
        <v>0</v>
      </c>
    </row>
    <row r="99" spans="1:21" x14ac:dyDescent="0.25">
      <c r="A99" s="530"/>
      <c r="B99" s="529"/>
      <c r="C99" s="529"/>
      <c r="D99" s="529"/>
      <c r="E99" s="527"/>
      <c r="F99" s="276"/>
      <c r="G99" s="528"/>
      <c r="H99" s="422"/>
      <c r="I99" s="101"/>
      <c r="N99" s="533"/>
      <c r="O99" s="533"/>
      <c r="P99" s="533"/>
      <c r="Q99" s="44"/>
      <c r="R99" s="535"/>
      <c r="S99" s="534"/>
      <c r="T99" s="421"/>
      <c r="U99" s="477"/>
    </row>
    <row r="100" spans="1:21" x14ac:dyDescent="0.25">
      <c r="A100" s="530"/>
      <c r="B100" s="529"/>
      <c r="C100" s="529"/>
      <c r="D100" s="529"/>
      <c r="E100" s="527"/>
      <c r="F100" s="276"/>
      <c r="G100" s="528"/>
      <c r="H100" s="422"/>
      <c r="I100" s="101"/>
      <c r="N100" s="533"/>
      <c r="O100" s="533"/>
      <c r="P100" s="533"/>
      <c r="Q100" s="44"/>
      <c r="R100" s="420"/>
      <c r="S100" s="534"/>
      <c r="T100" s="421"/>
      <c r="U100" s="103"/>
    </row>
    <row r="101" spans="1:21" x14ac:dyDescent="0.25">
      <c r="A101" s="399" t="s">
        <v>498</v>
      </c>
      <c r="N101" s="407" t="s">
        <v>498</v>
      </c>
      <c r="O101" s="51"/>
      <c r="P101" s="51"/>
      <c r="Q101" s="51"/>
      <c r="R101" s="51"/>
      <c r="S101" s="51"/>
      <c r="T101" s="51"/>
      <c r="U101" s="51"/>
    </row>
    <row r="102" spans="1:21" x14ac:dyDescent="0.25">
      <c r="B102" s="69"/>
      <c r="C102" s="563" t="s">
        <v>60</v>
      </c>
      <c r="D102" s="563"/>
      <c r="E102" s="69"/>
      <c r="F102" s="39" t="s">
        <v>28</v>
      </c>
      <c r="G102" s="69"/>
      <c r="H102" s="69"/>
      <c r="I102" s="69"/>
      <c r="N102" s="45"/>
      <c r="O102" s="45"/>
      <c r="P102" s="45"/>
      <c r="Q102" s="45"/>
      <c r="R102" s="45"/>
      <c r="S102" s="45"/>
      <c r="T102" s="45"/>
      <c r="U102" s="45"/>
    </row>
    <row r="103" spans="1:21" x14ac:dyDescent="0.25">
      <c r="A103" s="3"/>
      <c r="B103" s="118"/>
      <c r="C103" s="564" t="s">
        <v>101</v>
      </c>
      <c r="D103" s="564"/>
      <c r="E103" s="423" t="s">
        <v>426</v>
      </c>
      <c r="F103" s="120" t="s">
        <v>106</v>
      </c>
      <c r="G103" s="121"/>
      <c r="H103" s="121"/>
      <c r="I103" s="121"/>
      <c r="N103" s="631" t="s">
        <v>35</v>
      </c>
      <c r="O103" s="631"/>
      <c r="P103" s="672" t="s">
        <v>428</v>
      </c>
      <c r="Q103" s="633"/>
      <c r="R103" s="604" t="s">
        <v>31</v>
      </c>
      <c r="S103" s="604"/>
      <c r="T103" s="604"/>
      <c r="U103" s="604"/>
    </row>
    <row r="104" spans="1:21" x14ac:dyDescent="0.25">
      <c r="A104" s="26"/>
      <c r="B104" s="52" t="s">
        <v>105</v>
      </c>
      <c r="C104" s="596">
        <f>H14+H15+H20+H23+H26</f>
        <v>25.500699999999998</v>
      </c>
      <c r="D104" s="596"/>
      <c r="E104" s="46">
        <f>H8</f>
        <v>1.0407999999999999</v>
      </c>
      <c r="F104" s="303">
        <f>'1461'!F104</f>
        <v>950.92</v>
      </c>
      <c r="G104" s="39" t="s">
        <v>12</v>
      </c>
      <c r="H104" s="101">
        <f>ROUND(C104*E104*F104,2)</f>
        <v>25238.49</v>
      </c>
      <c r="I104" s="104"/>
      <c r="N104" s="28" t="s">
        <v>17</v>
      </c>
      <c r="O104" s="47">
        <f>T14+T15+T20+T23+T26</f>
        <v>6.3199999999999994</v>
      </c>
      <c r="P104" s="611">
        <f>T8</f>
        <v>1.0407999999999999</v>
      </c>
      <c r="Q104" s="611"/>
      <c r="R104" s="48">
        <f>F104</f>
        <v>950.92</v>
      </c>
      <c r="S104" s="40" t="s">
        <v>12</v>
      </c>
      <c r="T104" s="479">
        <f>ROUND(O104*P104*R104,2)</f>
        <v>6255.01</v>
      </c>
      <c r="U104" s="102"/>
    </row>
    <row r="105" spans="1:21" x14ac:dyDescent="0.25">
      <c r="A105" s="49"/>
      <c r="B105" s="49" t="s">
        <v>104</v>
      </c>
      <c r="C105" s="596">
        <f>H16+H17+H21+H24+H27</f>
        <v>50.085099999999997</v>
      </c>
      <c r="D105" s="596"/>
      <c r="E105" s="46">
        <f>H8</f>
        <v>1.0407999999999999</v>
      </c>
      <c r="F105" s="303">
        <f>'1461'!F105</f>
        <v>907.92</v>
      </c>
      <c r="G105" s="39" t="s">
        <v>12</v>
      </c>
      <c r="H105" s="101">
        <f>ROUND(C105*E105*F105,2)</f>
        <v>47328.57</v>
      </c>
      <c r="N105" s="50" t="s">
        <v>13</v>
      </c>
      <c r="O105" s="47">
        <f>T16+T17+T21+T24+T27</f>
        <v>11.71</v>
      </c>
      <c r="P105" s="611">
        <f>T8</f>
        <v>1.0407999999999999</v>
      </c>
      <c r="Q105" s="611"/>
      <c r="R105" s="48">
        <f>F105</f>
        <v>907.92</v>
      </c>
      <c r="S105" s="40" t="s">
        <v>12</v>
      </c>
      <c r="T105" s="479">
        <f>ROUND(O105*P105*R105,2)</f>
        <v>11065.52</v>
      </c>
      <c r="U105" s="51"/>
    </row>
    <row r="106" spans="1:21" ht="16.5" thickBot="1" x14ac:dyDescent="0.3">
      <c r="A106" s="52"/>
      <c r="B106" s="52" t="s">
        <v>103</v>
      </c>
      <c r="C106" s="596">
        <f>H18+H19+H22+H25+H28+H29</f>
        <v>582.15129999999999</v>
      </c>
      <c r="D106" s="596"/>
      <c r="E106" s="46">
        <f>H8</f>
        <v>1.0407999999999999</v>
      </c>
      <c r="F106" s="303">
        <f>'1461'!F106</f>
        <v>910.12</v>
      </c>
      <c r="G106" s="39" t="s">
        <v>12</v>
      </c>
      <c r="H106" s="94">
        <f>ROUND(C106*E106*F106,2)</f>
        <v>551444.5</v>
      </c>
      <c r="N106" s="53" t="s">
        <v>14</v>
      </c>
      <c r="O106" s="54">
        <f>T18+T19+T22+T25+T28+T29</f>
        <v>121.39</v>
      </c>
      <c r="P106" s="611">
        <f>T8</f>
        <v>1.0407999999999999</v>
      </c>
      <c r="Q106" s="611"/>
      <c r="R106" s="48">
        <f>F106</f>
        <v>910.12</v>
      </c>
      <c r="S106" s="40" t="s">
        <v>12</v>
      </c>
      <c r="T106" s="479">
        <f>ROUND(O106*P106*R106,2)</f>
        <v>114987.03</v>
      </c>
      <c r="U106" s="51"/>
    </row>
    <row r="107" spans="1:21" ht="16.5" thickBot="1" x14ac:dyDescent="0.3">
      <c r="A107" s="55"/>
      <c r="B107" s="122" t="s">
        <v>102</v>
      </c>
      <c r="C107" s="586">
        <f>SUM(C104:C106)</f>
        <v>657.73709999999994</v>
      </c>
      <c r="D107" s="586"/>
      <c r="E107" s="123"/>
      <c r="F107" s="123"/>
      <c r="G107" s="123"/>
      <c r="H107" s="124" t="s">
        <v>100</v>
      </c>
      <c r="I107" s="101">
        <f>IF(A1=75,0,H106+H105+H104)</f>
        <v>624011.55999999994</v>
      </c>
      <c r="N107" s="56" t="s">
        <v>89</v>
      </c>
      <c r="O107" s="57">
        <f>SUM(O104:O106)</f>
        <v>139.42000000000002</v>
      </c>
      <c r="P107" s="612" t="s">
        <v>16</v>
      </c>
      <c r="Q107" s="613"/>
      <c r="R107" s="613"/>
      <c r="S107" s="613"/>
      <c r="T107" s="613"/>
      <c r="U107" s="473">
        <f>IF(N1=75,0,T106+T105+T104)</f>
        <v>132307.56</v>
      </c>
    </row>
    <row r="108" spans="1:21" ht="16.5" thickTop="1" x14ac:dyDescent="0.25">
      <c r="A108" s="555" t="s">
        <v>65</v>
      </c>
      <c r="B108" s="555"/>
      <c r="C108" s="555"/>
      <c r="D108" s="555"/>
      <c r="E108" s="555"/>
      <c r="F108" s="555"/>
      <c r="G108" s="555"/>
      <c r="H108" s="555"/>
      <c r="I108" s="555"/>
      <c r="N108" s="614" t="s">
        <v>65</v>
      </c>
      <c r="O108" s="614"/>
      <c r="P108" s="614"/>
      <c r="Q108" s="614"/>
      <c r="R108" s="614"/>
      <c r="S108" s="614"/>
      <c r="T108" s="614"/>
      <c r="U108" s="614"/>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0" t="s">
        <v>499</v>
      </c>
      <c r="C110" s="43"/>
      <c r="D110" s="69"/>
      <c r="E110" s="43" t="s">
        <v>32</v>
      </c>
      <c r="F110" s="556"/>
      <c r="G110" s="556"/>
      <c r="H110" s="556"/>
      <c r="I110" s="556"/>
      <c r="N110" s="600" t="s">
        <v>499</v>
      </c>
      <c r="O110" s="601"/>
      <c r="P110" s="601"/>
      <c r="Q110" s="615"/>
      <c r="R110" s="615"/>
      <c r="S110" s="615"/>
      <c r="T110" s="615"/>
      <c r="U110" s="103"/>
    </row>
    <row r="111" spans="1:21" x14ac:dyDescent="0.25">
      <c r="B111" s="69"/>
      <c r="C111" s="88" t="s">
        <v>494</v>
      </c>
      <c r="D111" s="333" t="s">
        <v>495</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57" t="s">
        <v>381</v>
      </c>
      <c r="B113" s="558"/>
      <c r="C113" s="143">
        <v>0</v>
      </c>
      <c r="D113" s="143">
        <v>0</v>
      </c>
      <c r="E113" s="116">
        <f>C113</f>
        <v>0</v>
      </c>
      <c r="F113" s="126" t="s">
        <v>30</v>
      </c>
      <c r="G113" s="304">
        <f>'1461'!G113</f>
        <v>576</v>
      </c>
      <c r="I113" s="101">
        <f>ROUND(G113*E113,2)</f>
        <v>0</v>
      </c>
      <c r="N113" s="630" t="s">
        <v>52</v>
      </c>
      <c r="O113" s="630"/>
      <c r="P113" s="610">
        <f>IF(H133=1,E113,0)</f>
        <v>0</v>
      </c>
      <c r="Q113" s="610"/>
      <c r="R113" s="610"/>
      <c r="S113" s="83" t="s">
        <v>30</v>
      </c>
      <c r="T113" s="58">
        <f>G113</f>
        <v>576</v>
      </c>
      <c r="U113" s="473">
        <f>ROUND(T113*P113,2)</f>
        <v>0</v>
      </c>
    </row>
    <row r="114" spans="1:21" x14ac:dyDescent="0.25">
      <c r="A114" s="557" t="s">
        <v>382</v>
      </c>
      <c r="B114" s="558"/>
      <c r="C114" s="143">
        <v>0</v>
      </c>
      <c r="D114" s="143">
        <v>0</v>
      </c>
      <c r="E114" s="116">
        <f>-C114</f>
        <v>0</v>
      </c>
      <c r="F114" s="126" t="s">
        <v>30</v>
      </c>
      <c r="G114" s="304">
        <f>'1461'!G114</f>
        <v>1823</v>
      </c>
      <c r="I114" s="101">
        <f>ROUND(G114*E114,2)</f>
        <v>0</v>
      </c>
      <c r="N114" s="630" t="s">
        <v>64</v>
      </c>
      <c r="O114" s="630"/>
      <c r="P114" s="608"/>
      <c r="Q114" s="608"/>
      <c r="R114" s="608"/>
      <c r="S114" s="83" t="s">
        <v>30</v>
      </c>
      <c r="T114" s="58">
        <f>G114</f>
        <v>1823</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4" t="s">
        <v>430</v>
      </c>
      <c r="B117" s="578"/>
      <c r="C117" s="578"/>
      <c r="D117" s="69"/>
      <c r="E117" s="39" t="s">
        <v>300</v>
      </c>
      <c r="F117" s="563"/>
      <c r="G117" s="563"/>
      <c r="H117" s="563"/>
      <c r="I117" s="563"/>
      <c r="N117" s="600" t="s">
        <v>431</v>
      </c>
      <c r="O117" s="601"/>
      <c r="P117" s="601"/>
      <c r="Q117" s="601"/>
      <c r="R117" s="601"/>
      <c r="S117" s="601"/>
      <c r="T117" s="601"/>
      <c r="U117" s="601"/>
    </row>
    <row r="118" spans="1:21" hidden="1" x14ac:dyDescent="0.25">
      <c r="B118" s="69"/>
      <c r="C118" s="564" t="s">
        <v>66</v>
      </c>
      <c r="D118" s="564"/>
      <c r="E118" s="564"/>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5" t="s">
        <v>109</v>
      </c>
      <c r="G119" s="563"/>
      <c r="H119" s="37" t="s">
        <v>29</v>
      </c>
      <c r="I119" s="37"/>
      <c r="N119" s="45"/>
      <c r="O119" s="45"/>
      <c r="P119" s="45"/>
      <c r="Q119" s="45"/>
      <c r="R119" s="45"/>
      <c r="S119" s="45"/>
      <c r="T119" s="45"/>
      <c r="U119" s="45"/>
    </row>
    <row r="120" spans="1:21" hidden="1" x14ac:dyDescent="0.25">
      <c r="A120" s="564" t="s">
        <v>69</v>
      </c>
      <c r="B120" s="564"/>
      <c r="C120" s="90" t="s">
        <v>2</v>
      </c>
      <c r="D120" s="90" t="s">
        <v>2</v>
      </c>
      <c r="E120" s="59" t="s">
        <v>2</v>
      </c>
      <c r="F120" s="564" t="s">
        <v>28</v>
      </c>
      <c r="G120" s="564"/>
      <c r="H120" s="59" t="s">
        <v>28</v>
      </c>
      <c r="I120" s="59" t="s">
        <v>8</v>
      </c>
      <c r="N120" s="609" t="s">
        <v>53</v>
      </c>
      <c r="O120" s="609"/>
      <c r="P120" s="610" t="s">
        <v>66</v>
      </c>
      <c r="Q120" s="610"/>
      <c r="R120" s="609" t="s">
        <v>54</v>
      </c>
      <c r="S120" s="609"/>
      <c r="T120" s="60" t="s">
        <v>55</v>
      </c>
      <c r="U120" s="60" t="s">
        <v>8</v>
      </c>
    </row>
    <row r="121" spans="1:21" hidden="1" x14ac:dyDescent="0.25">
      <c r="A121" s="561" t="s">
        <v>56</v>
      </c>
      <c r="B121" s="561"/>
      <c r="C121" s="141">
        <v>0</v>
      </c>
      <c r="D121" s="141">
        <v>0</v>
      </c>
      <c r="E121" s="187">
        <f>IF(D30=0,C121*2,C121+D121)</f>
        <v>0</v>
      </c>
      <c r="F121" s="562">
        <v>0</v>
      </c>
      <c r="G121" s="562"/>
      <c r="H121" s="224">
        <f>IF(C121=0,0,125)</f>
        <v>0</v>
      </c>
      <c r="I121" s="101">
        <f>ROUND((H121+F121)*E121,2)</f>
        <v>0</v>
      </c>
      <c r="N121" s="601" t="s">
        <v>56</v>
      </c>
      <c r="O121" s="601"/>
      <c r="P121" s="608">
        <f>IF(H$133=1,C121,0)</f>
        <v>0</v>
      </c>
      <c r="Q121" s="608"/>
      <c r="R121" s="628">
        <f>F121</f>
        <v>0</v>
      </c>
      <c r="S121" s="628"/>
      <c r="T121" s="62">
        <f>H121</f>
        <v>0</v>
      </c>
      <c r="U121" s="96">
        <f>ROUND((T121+R121)*P121,0)</f>
        <v>0</v>
      </c>
    </row>
    <row r="122" spans="1:21" hidden="1" x14ac:dyDescent="0.25">
      <c r="A122" s="581" t="s">
        <v>57</v>
      </c>
      <c r="B122" s="581"/>
      <c r="C122" s="143">
        <v>0</v>
      </c>
      <c r="D122" s="143">
        <v>0</v>
      </c>
      <c r="E122" s="116">
        <f>IF(D31=0,C122*2,C122+D122)</f>
        <v>0</v>
      </c>
      <c r="F122" s="598">
        <f>ROUND(F121/2,2)</f>
        <v>0</v>
      </c>
      <c r="G122" s="598"/>
      <c r="H122" s="224">
        <f>IF(C122=0,0,62.5)</f>
        <v>0</v>
      </c>
      <c r="I122" s="101">
        <f>ROUND((H122+F122)*E122,2)</f>
        <v>0</v>
      </c>
      <c r="N122" s="601" t="s">
        <v>57</v>
      </c>
      <c r="O122" s="601"/>
      <c r="P122" s="608">
        <f>IF(H$133=1,C122,0)</f>
        <v>0</v>
      </c>
      <c r="Q122" s="608"/>
      <c r="R122" s="629">
        <f>ROUND(R121/2,2)</f>
        <v>0</v>
      </c>
      <c r="S122" s="629"/>
      <c r="T122" s="62">
        <f>H122</f>
        <v>0</v>
      </c>
      <c r="U122" s="96">
        <f>ROUND((T122+R122)*P122,0)</f>
        <v>0</v>
      </c>
    </row>
    <row r="123" spans="1:21" ht="16.5" hidden="1" thickBot="1" x14ac:dyDescent="0.3">
      <c r="A123" s="581" t="s">
        <v>58</v>
      </c>
      <c r="B123" s="581"/>
      <c r="C123" s="143">
        <v>0</v>
      </c>
      <c r="D123" s="143">
        <v>0</v>
      </c>
      <c r="E123" s="116">
        <f>IF(D32=0,C123*2,C123+D123)</f>
        <v>0</v>
      </c>
      <c r="F123" s="599"/>
      <c r="G123" s="599"/>
      <c r="H123" s="225">
        <f>IF(H121&gt;0,436,0)</f>
        <v>0</v>
      </c>
      <c r="I123" s="101">
        <f>ROUND(H123*E123,2)</f>
        <v>0</v>
      </c>
      <c r="N123" s="616" t="s">
        <v>58</v>
      </c>
      <c r="O123" s="616"/>
      <c r="P123" s="608">
        <f>IF(H$133=1,C123,0)</f>
        <v>0</v>
      </c>
      <c r="Q123" s="608"/>
      <c r="R123" s="609"/>
      <c r="S123" s="609"/>
      <c r="T123" s="64">
        <f>H123</f>
        <v>0</v>
      </c>
      <c r="U123" s="103">
        <f>ROUND(T123*P123,0)</f>
        <v>0</v>
      </c>
    </row>
    <row r="124" spans="1:21" ht="16.5" hidden="1" thickBot="1" x14ac:dyDescent="0.3">
      <c r="A124" s="563" t="s">
        <v>8</v>
      </c>
      <c r="B124" s="563"/>
      <c r="C124" s="65"/>
      <c r="D124" s="65"/>
      <c r="E124" s="65"/>
      <c r="F124" s="65"/>
      <c r="G124" s="65"/>
      <c r="H124" s="65"/>
      <c r="I124" s="97">
        <f>SUM(I121:I123)</f>
        <v>0</v>
      </c>
      <c r="N124" s="627" t="s">
        <v>8</v>
      </c>
      <c r="O124" s="627"/>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4" t="s">
        <v>432</v>
      </c>
      <c r="B126" s="578"/>
      <c r="C126" s="578"/>
      <c r="D126" s="69"/>
      <c r="E126" s="68" t="s">
        <v>34</v>
      </c>
      <c r="F126" s="597"/>
      <c r="G126" s="597"/>
      <c r="H126" s="597"/>
      <c r="I126" s="154">
        <v>0</v>
      </c>
      <c r="N126" s="600" t="s">
        <v>432</v>
      </c>
      <c r="O126" s="601"/>
      <c r="P126" s="601"/>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90" t="s">
        <v>8</v>
      </c>
      <c r="B128" s="590"/>
      <c r="C128" s="590"/>
      <c r="D128" s="590"/>
      <c r="E128" s="590"/>
      <c r="F128" s="590"/>
      <c r="G128" s="590"/>
      <c r="H128" s="590"/>
      <c r="I128" s="94">
        <f>SUM(I46,I66,I85,I88,I90,I92,I94,I96,I107,I113,I114,I124,I126)</f>
        <v>5069760.0199999996</v>
      </c>
      <c r="N128" s="453"/>
      <c r="O128" s="452"/>
      <c r="P128" s="452"/>
      <c r="Q128" s="306"/>
      <c r="R128" s="306"/>
      <c r="S128" s="306"/>
      <c r="T128" s="306"/>
      <c r="U128" s="480">
        <f>SUM(U30,U85,U88,U90,U92,U94,U96,U107,U113,U114,U124,U126)</f>
        <v>1106073.7500000002</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434</v>
      </c>
      <c r="B130" s="26"/>
      <c r="C130" s="26"/>
      <c r="D130" s="26"/>
      <c r="E130" s="26"/>
      <c r="F130" s="26"/>
      <c r="G130" s="26"/>
      <c r="H130" s="26"/>
      <c r="I130" s="101">
        <f>I128-I53</f>
        <v>4853348</v>
      </c>
      <c r="N130" s="601" t="s">
        <v>434</v>
      </c>
      <c r="O130" s="601"/>
      <c r="P130" s="601"/>
      <c r="Q130" s="601"/>
      <c r="R130" s="601"/>
      <c r="S130" s="601"/>
      <c r="T130" s="601"/>
      <c r="U130" s="132">
        <f>U128-U53</f>
        <v>1060201.0700000003</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4" t="s">
        <v>502</v>
      </c>
      <c r="B132" s="578"/>
      <c r="C132" s="578"/>
      <c r="D132" s="578"/>
      <c r="E132" s="578"/>
      <c r="F132" s="578"/>
      <c r="G132" s="578"/>
      <c r="H132" s="81" t="s">
        <v>333</v>
      </c>
      <c r="I132" s="134"/>
      <c r="N132" s="600" t="s">
        <v>502</v>
      </c>
      <c r="O132" s="601"/>
      <c r="P132" s="601"/>
      <c r="Q132" s="601"/>
      <c r="R132" s="601"/>
      <c r="S132" s="601"/>
      <c r="T132" s="601"/>
      <c r="U132" s="138"/>
    </row>
    <row r="133" spans="1:21" x14ac:dyDescent="0.25">
      <c r="A133" s="578" t="s">
        <v>70</v>
      </c>
      <c r="B133" s="578"/>
      <c r="C133" s="578"/>
      <c r="D133" s="578"/>
      <c r="E133" s="578"/>
      <c r="F133" s="578"/>
      <c r="G133" s="578"/>
      <c r="H133" s="70">
        <f>IF(E30=0,"",IF((E15+E17+SUM(E19:E25))/E30&gt;0.75,1,""))</f>
        <v>1</v>
      </c>
      <c r="I133" s="116">
        <f>U130</f>
        <v>1060201.0700000003</v>
      </c>
      <c r="N133" s="601" t="s">
        <v>70</v>
      </c>
      <c r="O133" s="601"/>
      <c r="P133" s="601"/>
      <c r="Q133" s="601"/>
      <c r="R133" s="601"/>
      <c r="S133" s="601"/>
      <c r="T133" s="601"/>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1060201.0700000003</v>
      </c>
      <c r="I135" s="94">
        <f>ROUND(IF(E30=0,0,IF(E30&gt;250,-(((250/E30)*H135)*IF(G135="H",0.02,0.05)),IF(G135="H",-0.02*H135,-0.05*H135))),2)</f>
        <v>-53010.05</v>
      </c>
      <c r="N135" s="626"/>
      <c r="O135" s="626"/>
      <c r="P135" s="626"/>
      <c r="Q135" s="626"/>
      <c r="R135" s="626"/>
      <c r="S135" s="626"/>
      <c r="T135" s="626"/>
      <c r="U135" s="626"/>
    </row>
    <row r="136" spans="1:21" x14ac:dyDescent="0.25">
      <c r="B136" s="69"/>
      <c r="C136" s="69"/>
      <c r="D136" s="69"/>
      <c r="E136" s="69"/>
      <c r="F136" s="69"/>
      <c r="G136" s="69"/>
      <c r="H136" s="65"/>
      <c r="I136" s="101"/>
      <c r="N136" s="624" t="s">
        <v>7</v>
      </c>
      <c r="O136" s="624"/>
      <c r="P136" s="624"/>
      <c r="Q136" s="624"/>
      <c r="R136" s="624"/>
      <c r="S136" s="624"/>
      <c r="T136" s="624"/>
      <c r="U136" s="624"/>
    </row>
    <row r="137" spans="1:21" x14ac:dyDescent="0.25">
      <c r="A137" s="309" t="s">
        <v>74</v>
      </c>
      <c r="B137" s="310"/>
      <c r="C137" s="310"/>
      <c r="D137" s="310"/>
      <c r="E137" s="310"/>
      <c r="F137" s="310"/>
      <c r="G137" s="310"/>
      <c r="H137" s="311"/>
      <c r="I137" s="312">
        <f>I128+I135</f>
        <v>5016749.97</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Payments'!Q76</f>
        <v>0</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5016749.97</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418062.5</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372</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373</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374</v>
      </c>
      <c r="B155" s="252"/>
      <c r="C155" s="252"/>
      <c r="D155" s="252"/>
      <c r="E155" s="252"/>
      <c r="F155" s="252"/>
      <c r="G155" s="252"/>
      <c r="H155" s="252"/>
      <c r="I155" s="252"/>
      <c r="N155" s="625"/>
      <c r="O155" s="625"/>
      <c r="P155" s="625"/>
      <c r="Q155" s="625"/>
      <c r="R155" s="625"/>
      <c r="S155" s="625"/>
      <c r="T155" s="625"/>
      <c r="U155" s="625"/>
    </row>
    <row r="156" spans="1:21" s="76" customFormat="1" x14ac:dyDescent="0.2">
      <c r="A156" s="320" t="s">
        <v>375</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376</v>
      </c>
      <c r="B157" s="252"/>
      <c r="C157" s="252"/>
      <c r="D157" s="252"/>
      <c r="E157" s="252"/>
      <c r="F157" s="252"/>
      <c r="G157" s="252"/>
      <c r="H157" s="252"/>
      <c r="I157" s="252"/>
      <c r="N157" s="78"/>
      <c r="O157" s="79"/>
      <c r="P157" s="79"/>
      <c r="Q157" s="79"/>
      <c r="R157" s="79"/>
      <c r="S157" s="79"/>
      <c r="T157" s="79"/>
      <c r="U157" s="79"/>
    </row>
    <row r="158" spans="1:21" s="76" customFormat="1" x14ac:dyDescent="0.2">
      <c r="A158" s="320" t="s">
        <v>377</v>
      </c>
      <c r="B158" s="252"/>
      <c r="C158" s="252"/>
      <c r="D158" s="252"/>
      <c r="E158" s="252"/>
      <c r="F158" s="252"/>
      <c r="G158" s="252"/>
      <c r="H158" s="252"/>
      <c r="I158" s="252"/>
      <c r="N158" s="78"/>
    </row>
    <row r="159" spans="1:21" s="76" customFormat="1" x14ac:dyDescent="0.2">
      <c r="A159" s="320" t="s">
        <v>379</v>
      </c>
      <c r="B159" s="252"/>
      <c r="C159" s="252"/>
      <c r="D159" s="252"/>
      <c r="E159" s="252"/>
      <c r="F159" s="252"/>
      <c r="G159" s="252"/>
      <c r="H159" s="252"/>
      <c r="I159" s="252"/>
      <c r="N159" s="78"/>
    </row>
    <row r="160" spans="1:21" s="76" customFormat="1" x14ac:dyDescent="0.2">
      <c r="A160" s="385" t="s">
        <v>378</v>
      </c>
      <c r="B160" s="252"/>
      <c r="C160" s="252"/>
      <c r="D160" s="252"/>
      <c r="E160" s="252"/>
      <c r="F160" s="252"/>
      <c r="G160" s="252"/>
      <c r="H160" s="252"/>
      <c r="I160" s="252"/>
      <c r="N160" s="78"/>
    </row>
    <row r="161" spans="1:14" s="76" customFormat="1" x14ac:dyDescent="0.2">
      <c r="A161" s="320" t="s">
        <v>380</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383</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385</v>
      </c>
      <c r="B165" s="293"/>
      <c r="C165" s="293"/>
      <c r="D165" s="293"/>
      <c r="E165" s="293"/>
      <c r="F165" s="293"/>
      <c r="G165" s="293"/>
      <c r="H165" s="293"/>
      <c r="I165" s="293"/>
      <c r="N165" s="78"/>
    </row>
    <row r="166" spans="1:14" s="76" customFormat="1" ht="15.75" customHeight="1" x14ac:dyDescent="0.2">
      <c r="A166" s="351" t="s">
        <v>384</v>
      </c>
      <c r="B166" s="293"/>
      <c r="C166" s="293"/>
      <c r="D166" s="293"/>
      <c r="E166" s="293"/>
      <c r="F166" s="293"/>
      <c r="G166" s="293"/>
      <c r="H166" s="293"/>
      <c r="I166" s="293"/>
      <c r="N166" s="78"/>
    </row>
    <row r="167" spans="1:14" s="76" customFormat="1" ht="15.75" customHeight="1" x14ac:dyDescent="0.2">
      <c r="A167" s="320" t="s">
        <v>386</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388</v>
      </c>
      <c r="B169" s="343"/>
      <c r="C169" s="343"/>
      <c r="D169" s="343"/>
      <c r="E169" s="343"/>
      <c r="F169" s="343"/>
      <c r="G169" s="343"/>
      <c r="H169" s="343"/>
      <c r="I169" s="343"/>
      <c r="N169" s="78"/>
    </row>
    <row r="170" spans="1:14" s="76" customFormat="1" ht="15.75" customHeight="1" x14ac:dyDescent="0.2">
      <c r="A170" s="351" t="s">
        <v>387</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389</v>
      </c>
      <c r="B175" s="293"/>
      <c r="C175" s="293"/>
      <c r="D175" s="293"/>
      <c r="E175" s="293"/>
      <c r="F175" s="293"/>
      <c r="G175" s="293"/>
      <c r="H175" s="293"/>
      <c r="I175" s="293"/>
      <c r="J175" s="3"/>
      <c r="K175" s="3"/>
      <c r="L175" s="3"/>
      <c r="M175" s="3"/>
      <c r="N175" s="78"/>
    </row>
    <row r="176" spans="1:14" s="76" customFormat="1" ht="15.75" customHeight="1" x14ac:dyDescent="0.2">
      <c r="A176" s="361" t="s">
        <v>390</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6" t="s">
        <v>15</v>
      </c>
      <c r="C1" s="567"/>
      <c r="D1" s="567"/>
      <c r="E1" s="567"/>
      <c r="F1" s="567"/>
      <c r="G1" s="567"/>
      <c r="H1" s="567"/>
      <c r="I1" s="567"/>
      <c r="J1" s="135"/>
      <c r="K1" s="135"/>
      <c r="L1" s="135"/>
      <c r="N1" s="82">
        <f>A1</f>
        <v>0</v>
      </c>
      <c r="O1" s="658" t="s">
        <v>15</v>
      </c>
      <c r="P1" s="659"/>
      <c r="Q1" s="659"/>
      <c r="R1" s="659"/>
      <c r="S1" s="659"/>
      <c r="T1" s="659"/>
      <c r="U1" s="659"/>
    </row>
    <row r="2" spans="1:21" ht="21" x14ac:dyDescent="0.35">
      <c r="A2" s="1" t="s">
        <v>362</v>
      </c>
      <c r="B2" s="2"/>
      <c r="C2" s="2"/>
      <c r="D2" s="2"/>
      <c r="E2" s="2"/>
      <c r="F2" s="2"/>
      <c r="G2" s="2"/>
      <c r="H2" s="2"/>
      <c r="I2" s="2"/>
      <c r="N2" s="660" t="s">
        <v>18</v>
      </c>
      <c r="O2" s="660"/>
      <c r="P2" s="660"/>
      <c r="Q2" s="660"/>
      <c r="R2" s="660"/>
      <c r="S2" s="660"/>
      <c r="T2" s="660"/>
      <c r="U2" s="660"/>
    </row>
    <row r="3" spans="1:21" x14ac:dyDescent="0.25">
      <c r="A3" s="81" t="str">
        <f>'1461'!A3</f>
        <v>Based on the FLDOE 2024-25 Conference Calculation</v>
      </c>
      <c r="N3" s="627" t="str">
        <f>A3</f>
        <v>Based on the FLDOE 2024-25 Conference Calculation</v>
      </c>
      <c r="O3" s="627"/>
      <c r="P3" s="627"/>
      <c r="Q3" s="627"/>
      <c r="R3" s="627"/>
      <c r="S3" s="627"/>
      <c r="T3" s="627"/>
      <c r="U3" s="627"/>
    </row>
    <row r="4" spans="1:21" x14ac:dyDescent="0.25">
      <c r="A4" s="568" t="s">
        <v>0</v>
      </c>
      <c r="B4" s="568"/>
      <c r="C4" s="569" t="s">
        <v>9</v>
      </c>
      <c r="D4" s="569"/>
      <c r="E4" s="569"/>
      <c r="F4" s="4" t="str">
        <f>'1461'!F4</f>
        <v>July 2024</v>
      </c>
      <c r="G4" s="4"/>
      <c r="H4" s="4"/>
      <c r="I4" s="4"/>
      <c r="N4" s="661" t="s">
        <v>0</v>
      </c>
      <c r="O4" s="661"/>
      <c r="P4" s="662" t="str">
        <f>C4</f>
        <v>Palm Beach</v>
      </c>
      <c r="Q4" s="662"/>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70" t="s">
        <v>433</v>
      </c>
      <c r="B7" s="664"/>
      <c r="C7" s="664"/>
      <c r="D7" s="664"/>
      <c r="E7" s="664"/>
      <c r="F7" s="664"/>
      <c r="G7" s="664"/>
      <c r="H7" s="664"/>
      <c r="I7" s="664"/>
      <c r="N7" s="661" t="str">
        <f>A7</f>
        <v>1A.   2023-24 FEFP State and Local Funding</v>
      </c>
      <c r="O7" s="661"/>
      <c r="P7" s="661"/>
      <c r="Q7" s="661"/>
      <c r="R7" s="661"/>
      <c r="S7" s="661"/>
      <c r="T7" s="661"/>
      <c r="U7" s="661"/>
    </row>
    <row r="8" spans="1:21" x14ac:dyDescent="0.25">
      <c r="A8" s="84"/>
      <c r="B8" s="85" t="s">
        <v>92</v>
      </c>
      <c r="C8" s="299">
        <f>'1461'!C8</f>
        <v>5330.98</v>
      </c>
      <c r="D8" s="86"/>
      <c r="E8" s="87"/>
      <c r="F8" s="84"/>
      <c r="G8" s="85" t="s">
        <v>393</v>
      </c>
      <c r="H8" s="287">
        <f>'1461'!H8</f>
        <v>1.0407999999999999</v>
      </c>
      <c r="I8" s="75"/>
      <c r="N8" s="665" t="s">
        <v>10</v>
      </c>
      <c r="O8" s="665"/>
      <c r="P8" s="666">
        <f>C8</f>
        <v>5330.98</v>
      </c>
      <c r="Q8" s="666"/>
      <c r="R8" s="648" t="s">
        <v>394</v>
      </c>
      <c r="S8" s="649"/>
      <c r="T8" s="650">
        <f>H8</f>
        <v>1.0407999999999999</v>
      </c>
      <c r="U8" s="650"/>
    </row>
    <row r="9" spans="1:21" x14ac:dyDescent="0.25">
      <c r="A9" s="84"/>
      <c r="B9" s="85"/>
      <c r="C9" s="222"/>
      <c r="D9" s="86"/>
      <c r="E9" s="87"/>
      <c r="F9" s="84"/>
      <c r="G9" s="85" t="s">
        <v>391</v>
      </c>
      <c r="H9" s="287">
        <f>'1461'!H9</f>
        <v>1</v>
      </c>
      <c r="I9" s="75"/>
      <c r="N9" s="12"/>
      <c r="O9" s="12"/>
      <c r="P9" s="13"/>
      <c r="Q9" s="13"/>
      <c r="R9" s="387" t="s">
        <v>392</v>
      </c>
      <c r="S9" s="384"/>
      <c r="T9" s="650">
        <f>H9</f>
        <v>1</v>
      </c>
      <c r="U9" s="650"/>
    </row>
    <row r="10" spans="1:21" x14ac:dyDescent="0.25">
      <c r="A10" s="7"/>
      <c r="B10" s="42" t="s">
        <v>310</v>
      </c>
      <c r="C10" s="334" t="str">
        <f>'1461'!C10</f>
        <v xml:space="preserve"> </v>
      </c>
      <c r="D10" s="334" t="str">
        <f>'1461'!D10</f>
        <v xml:space="preserve"> </v>
      </c>
      <c r="E10" s="8"/>
      <c r="F10" s="9"/>
      <c r="G10" s="9"/>
      <c r="H10" s="10"/>
      <c r="I10" s="305" t="str">
        <f>'1461'!I10</f>
        <v>2024-25</v>
      </c>
      <c r="N10" s="12"/>
      <c r="O10" s="12"/>
      <c r="P10" s="13"/>
      <c r="Q10" s="13"/>
      <c r="R10" s="14"/>
      <c r="S10" s="14"/>
      <c r="T10" s="15"/>
      <c r="U10" s="366" t="str">
        <f>I10</f>
        <v>2024-25</v>
      </c>
    </row>
    <row r="11" spans="1:21" x14ac:dyDescent="0.25">
      <c r="A11" s="7"/>
      <c r="B11" s="7"/>
      <c r="C11" s="88" t="str">
        <f>'1461'!C11</f>
        <v>Oct 2023</v>
      </c>
      <c r="D11" s="333" t="str">
        <f>'1461'!D11</f>
        <v>Feb 2024</v>
      </c>
      <c r="E11" s="89" t="s">
        <v>8</v>
      </c>
      <c r="F11" s="571" t="s">
        <v>1</v>
      </c>
      <c r="G11" s="571"/>
      <c r="H11" s="10" t="s">
        <v>60</v>
      </c>
      <c r="I11" s="11" t="s">
        <v>27</v>
      </c>
      <c r="N11" s="12"/>
      <c r="O11" s="12"/>
      <c r="P11" s="13"/>
      <c r="Q11" s="13"/>
      <c r="R11" s="651" t="s">
        <v>1</v>
      </c>
      <c r="S11" s="651"/>
      <c r="T11" s="15" t="s">
        <v>60</v>
      </c>
      <c r="U11" s="16" t="s">
        <v>27</v>
      </c>
    </row>
    <row r="12" spans="1:21" ht="15.75" customHeight="1" x14ac:dyDescent="0.25">
      <c r="A12" s="572" t="s">
        <v>1</v>
      </c>
      <c r="B12" s="572"/>
      <c r="C12" s="324" t="str">
        <f>'1461'!C12</f>
        <v>FTE</v>
      </c>
      <c r="D12" s="324" t="str">
        <f>'1461'!D12</f>
        <v>FTE</v>
      </c>
      <c r="E12" s="324" t="s">
        <v>2</v>
      </c>
      <c r="F12" s="573" t="s">
        <v>63</v>
      </c>
      <c r="G12" s="573"/>
      <c r="H12" s="17" t="s">
        <v>59</v>
      </c>
      <c r="I12" s="388" t="s">
        <v>395</v>
      </c>
      <c r="N12" s="639" t="s">
        <v>1</v>
      </c>
      <c r="O12" s="639"/>
      <c r="P12" s="652" t="s">
        <v>19</v>
      </c>
      <c r="Q12" s="652"/>
      <c r="R12" s="653" t="s">
        <v>63</v>
      </c>
      <c r="S12" s="653"/>
      <c r="T12" s="18" t="s">
        <v>59</v>
      </c>
      <c r="U12" s="19" t="str">
        <f>I12</f>
        <v>(WFTE x BSA x CWF x SDF)</v>
      </c>
    </row>
    <row r="13" spans="1:21" x14ac:dyDescent="0.25">
      <c r="A13" s="574" t="s">
        <v>36</v>
      </c>
      <c r="B13" s="574"/>
      <c r="C13" s="91"/>
      <c r="D13" s="91"/>
      <c r="E13" s="92" t="s">
        <v>37</v>
      </c>
      <c r="F13" s="575" t="s">
        <v>38</v>
      </c>
      <c r="G13" s="575"/>
      <c r="H13" s="20" t="s">
        <v>39</v>
      </c>
      <c r="I13" s="21" t="s">
        <v>40</v>
      </c>
      <c r="N13" s="654" t="s">
        <v>36</v>
      </c>
      <c r="O13" s="654"/>
      <c r="P13" s="655" t="s">
        <v>37</v>
      </c>
      <c r="Q13" s="655"/>
      <c r="R13" s="656" t="s">
        <v>38</v>
      </c>
      <c r="S13" s="656"/>
      <c r="T13" s="22" t="s">
        <v>39</v>
      </c>
      <c r="U13" s="23" t="s">
        <v>40</v>
      </c>
    </row>
    <row r="14" spans="1:21" x14ac:dyDescent="0.25">
      <c r="A14" s="576" t="s">
        <v>20</v>
      </c>
      <c r="B14" s="576"/>
      <c r="C14" s="143">
        <v>0</v>
      </c>
      <c r="D14" s="141">
        <v>0</v>
      </c>
      <c r="E14" s="187">
        <f>IF(D$30=0,C14*2,C14+D14)</f>
        <v>0</v>
      </c>
      <c r="F14" s="667">
        <f>'1461'!F14:G14</f>
        <v>1.1180000000000001</v>
      </c>
      <c r="G14" s="667"/>
      <c r="H14" s="145">
        <f>ROUND(E14*F14,4)</f>
        <v>0</v>
      </c>
      <c r="I14" s="111">
        <f>ROUND(ROUND(ROUND(H14*$C$8,4)*($H$8),2)*(MAX($H$9,1)),2)</f>
        <v>0</v>
      </c>
      <c r="N14" s="641" t="s">
        <v>20</v>
      </c>
      <c r="O14" s="641"/>
      <c r="P14" s="642">
        <f t="shared" ref="P14:P29" si="0">IF($H$133=1,E14,0)</f>
        <v>0</v>
      </c>
      <c r="Q14" s="642"/>
      <c r="R14" s="657">
        <v>1</v>
      </c>
      <c r="S14" s="657"/>
      <c r="T14" s="95">
        <f>ROUND(P14*R14,4)</f>
        <v>0</v>
      </c>
      <c r="U14" s="473">
        <f>ROUND(ROUND(ROUND(T14*$C$8,4)*($H$8),2)*(MAX($H$9,1)),2)</f>
        <v>0</v>
      </c>
    </row>
    <row r="15" spans="1:21" x14ac:dyDescent="0.25">
      <c r="A15" s="578" t="s">
        <v>21</v>
      </c>
      <c r="B15" s="578"/>
      <c r="C15" s="143">
        <v>0</v>
      </c>
      <c r="D15" s="143">
        <v>0</v>
      </c>
      <c r="E15" s="116">
        <f t="shared" ref="E15:E29" si="1">IF(D$30=0,C15*2,C15+D15)</f>
        <v>0</v>
      </c>
      <c r="F15" s="663">
        <f>'1461'!F15:G15</f>
        <v>1.1180000000000001</v>
      </c>
      <c r="G15" s="663"/>
      <c r="H15" s="80">
        <f t="shared" ref="H15:H29" si="2">ROUND(E15*F15,4)</f>
        <v>0</v>
      </c>
      <c r="I15" s="101">
        <f t="shared" ref="I15:I29" si="3">ROUND(ROUND(ROUND(H15*$C$8,4)*($H$8),2)*(MAX($H$9,1)),2)</f>
        <v>0</v>
      </c>
      <c r="J15" s="65" t="str">
        <f>IF(ROUND(E15,2)=ROUND(SUM(E57:E59),2)," ","CHECK PK-3 LINES BELOW")</f>
        <v xml:space="preserve"> </v>
      </c>
      <c r="N15" s="601" t="s">
        <v>21</v>
      </c>
      <c r="O15" s="601"/>
      <c r="P15" s="642">
        <f t="shared" si="0"/>
        <v>0</v>
      </c>
      <c r="Q15" s="642"/>
      <c r="R15" s="647">
        <v>1</v>
      </c>
      <c r="S15" s="647"/>
      <c r="T15" s="95">
        <f t="shared" ref="T15:T29" si="4">ROUND(P15*R15,4)</f>
        <v>0</v>
      </c>
      <c r="U15" s="473">
        <f t="shared" ref="U15:U29" si="5">ROUND(ROUND(ROUND(T15*$C$8,4)*($H$8),2)*(MAX($H$9,1)),2)</f>
        <v>0</v>
      </c>
    </row>
    <row r="16" spans="1:21" x14ac:dyDescent="0.25">
      <c r="A16" s="578" t="s">
        <v>22</v>
      </c>
      <c r="B16" s="578"/>
      <c r="C16" s="143">
        <v>0</v>
      </c>
      <c r="D16" s="143">
        <v>0</v>
      </c>
      <c r="E16" s="116">
        <f t="shared" si="1"/>
        <v>0</v>
      </c>
      <c r="F16" s="663">
        <f>'1461'!F16:G16</f>
        <v>1</v>
      </c>
      <c r="G16" s="663"/>
      <c r="H16" s="80">
        <f t="shared" si="2"/>
        <v>0</v>
      </c>
      <c r="I16" s="101">
        <f t="shared" si="3"/>
        <v>0</v>
      </c>
      <c r="N16" s="601" t="s">
        <v>22</v>
      </c>
      <c r="O16" s="601"/>
      <c r="P16" s="642">
        <f t="shared" si="0"/>
        <v>0</v>
      </c>
      <c r="Q16" s="642"/>
      <c r="R16" s="647">
        <v>1</v>
      </c>
      <c r="S16" s="647"/>
      <c r="T16" s="95">
        <f t="shared" si="4"/>
        <v>0</v>
      </c>
      <c r="U16" s="473">
        <f t="shared" si="5"/>
        <v>0</v>
      </c>
    </row>
    <row r="17" spans="1:21" x14ac:dyDescent="0.25">
      <c r="A17" s="578" t="s">
        <v>23</v>
      </c>
      <c r="B17" s="578"/>
      <c r="C17" s="143">
        <v>0</v>
      </c>
      <c r="D17" s="143">
        <v>0</v>
      </c>
      <c r="E17" s="116">
        <f t="shared" si="1"/>
        <v>0</v>
      </c>
      <c r="F17" s="663">
        <f>'1461'!F17:G17</f>
        <v>1</v>
      </c>
      <c r="G17" s="663"/>
      <c r="H17" s="80">
        <f t="shared" si="2"/>
        <v>0</v>
      </c>
      <c r="I17" s="101">
        <f t="shared" si="3"/>
        <v>0</v>
      </c>
      <c r="J17" s="65" t="str">
        <f>IF(ROUND(E17,2)=ROUND(SUM(E60:E62),2)," ","CHECK 4-8 LINES BELOW")</f>
        <v xml:space="preserve"> </v>
      </c>
      <c r="N17" s="601" t="s">
        <v>23</v>
      </c>
      <c r="O17" s="601"/>
      <c r="P17" s="642">
        <f t="shared" si="0"/>
        <v>0</v>
      </c>
      <c r="Q17" s="642"/>
      <c r="R17" s="647">
        <v>1</v>
      </c>
      <c r="S17" s="647"/>
      <c r="T17" s="95">
        <f t="shared" si="4"/>
        <v>0</v>
      </c>
      <c r="U17" s="473">
        <f t="shared" si="5"/>
        <v>0</v>
      </c>
    </row>
    <row r="18" spans="1:21" x14ac:dyDescent="0.25">
      <c r="A18" s="578" t="s">
        <v>24</v>
      </c>
      <c r="B18" s="578"/>
      <c r="C18" s="143">
        <v>0</v>
      </c>
      <c r="D18" s="143">
        <v>0</v>
      </c>
      <c r="E18" s="116">
        <f t="shared" si="1"/>
        <v>0</v>
      </c>
      <c r="F18" s="663">
        <f>'1461'!F18:G18</f>
        <v>0.97799999999999998</v>
      </c>
      <c r="G18" s="663"/>
      <c r="H18" s="80">
        <f t="shared" si="2"/>
        <v>0</v>
      </c>
      <c r="I18" s="101">
        <f t="shared" si="3"/>
        <v>0</v>
      </c>
      <c r="N18" s="601" t="s">
        <v>24</v>
      </c>
      <c r="O18" s="601"/>
      <c r="P18" s="642">
        <f t="shared" si="0"/>
        <v>0</v>
      </c>
      <c r="Q18" s="642"/>
      <c r="R18" s="647">
        <v>1</v>
      </c>
      <c r="S18" s="647"/>
      <c r="T18" s="95">
        <f t="shared" si="4"/>
        <v>0</v>
      </c>
      <c r="U18" s="473">
        <f t="shared" si="5"/>
        <v>0</v>
      </c>
    </row>
    <row r="19" spans="1:21" x14ac:dyDescent="0.25">
      <c r="A19" s="578" t="s">
        <v>25</v>
      </c>
      <c r="B19" s="578"/>
      <c r="C19" s="143">
        <v>36.5</v>
      </c>
      <c r="D19" s="143">
        <v>35.97</v>
      </c>
      <c r="E19" s="116">
        <f t="shared" si="1"/>
        <v>72.47</v>
      </c>
      <c r="F19" s="663">
        <f>'1461'!F19:G19</f>
        <v>0.97799999999999998</v>
      </c>
      <c r="G19" s="663"/>
      <c r="H19" s="80">
        <f t="shared" si="2"/>
        <v>70.875699999999995</v>
      </c>
      <c r="I19" s="101">
        <f t="shared" si="3"/>
        <v>393252.69</v>
      </c>
      <c r="J19" s="65" t="str">
        <f>IF(ROUND(E19,2)=ROUND(SUM(E63:E65),2)," ","CHECK 4-8 LINES BELOW")</f>
        <v xml:space="preserve"> </v>
      </c>
      <c r="N19" s="601" t="s">
        <v>25</v>
      </c>
      <c r="O19" s="601"/>
      <c r="P19" s="642">
        <f t="shared" si="0"/>
        <v>72.47</v>
      </c>
      <c r="Q19" s="642"/>
      <c r="R19" s="647">
        <v>1</v>
      </c>
      <c r="S19" s="647"/>
      <c r="T19" s="95">
        <f t="shared" si="4"/>
        <v>72.47</v>
      </c>
      <c r="U19" s="472">
        <f t="shared" si="5"/>
        <v>402098.63</v>
      </c>
    </row>
    <row r="20" spans="1:21" x14ac:dyDescent="0.25">
      <c r="A20" s="578" t="s">
        <v>79</v>
      </c>
      <c r="B20" s="578"/>
      <c r="C20" s="143">
        <v>0</v>
      </c>
      <c r="D20" s="143">
        <v>0</v>
      </c>
      <c r="E20" s="116">
        <f t="shared" si="1"/>
        <v>0</v>
      </c>
      <c r="F20" s="663">
        <f>'1461'!F20:G20</f>
        <v>3.6970000000000001</v>
      </c>
      <c r="G20" s="663"/>
      <c r="H20" s="80">
        <f t="shared" si="2"/>
        <v>0</v>
      </c>
      <c r="I20" s="101">
        <f t="shared" si="3"/>
        <v>0</v>
      </c>
      <c r="N20" s="601" t="s">
        <v>79</v>
      </c>
      <c r="O20" s="601"/>
      <c r="P20" s="642">
        <f t="shared" si="0"/>
        <v>0</v>
      </c>
      <c r="Q20" s="642"/>
      <c r="R20" s="647">
        <v>1</v>
      </c>
      <c r="S20" s="647"/>
      <c r="T20" s="95">
        <f t="shared" si="4"/>
        <v>0</v>
      </c>
      <c r="U20" s="473">
        <f t="shared" si="5"/>
        <v>0</v>
      </c>
    </row>
    <row r="21" spans="1:21" x14ac:dyDescent="0.25">
      <c r="A21" s="578" t="s">
        <v>80</v>
      </c>
      <c r="B21" s="578"/>
      <c r="C21" s="143">
        <v>0</v>
      </c>
      <c r="D21" s="143">
        <v>0</v>
      </c>
      <c r="E21" s="116">
        <f t="shared" si="1"/>
        <v>0</v>
      </c>
      <c r="F21" s="663">
        <f>'1461'!F21:G21</f>
        <v>3.6970000000000001</v>
      </c>
      <c r="G21" s="663"/>
      <c r="H21" s="80">
        <f t="shared" si="2"/>
        <v>0</v>
      </c>
      <c r="I21" s="101">
        <f t="shared" si="3"/>
        <v>0</v>
      </c>
      <c r="N21" s="601" t="s">
        <v>80</v>
      </c>
      <c r="O21" s="601"/>
      <c r="P21" s="642">
        <f t="shared" si="0"/>
        <v>0</v>
      </c>
      <c r="Q21" s="642"/>
      <c r="R21" s="647">
        <v>1</v>
      </c>
      <c r="S21" s="647"/>
      <c r="T21" s="95">
        <f t="shared" si="4"/>
        <v>0</v>
      </c>
      <c r="U21" s="473">
        <f t="shared" si="5"/>
        <v>0</v>
      </c>
    </row>
    <row r="22" spans="1:21" x14ac:dyDescent="0.25">
      <c r="A22" s="578" t="s">
        <v>81</v>
      </c>
      <c r="B22" s="578"/>
      <c r="C22" s="143">
        <v>0</v>
      </c>
      <c r="D22" s="143">
        <v>0</v>
      </c>
      <c r="E22" s="116">
        <f t="shared" si="1"/>
        <v>0</v>
      </c>
      <c r="F22" s="663">
        <f>'1461'!F22:G22</f>
        <v>3.6970000000000001</v>
      </c>
      <c r="G22" s="663"/>
      <c r="H22" s="80">
        <f t="shared" si="2"/>
        <v>0</v>
      </c>
      <c r="I22" s="101">
        <f t="shared" si="3"/>
        <v>0</v>
      </c>
      <c r="N22" s="601" t="s">
        <v>81</v>
      </c>
      <c r="O22" s="601"/>
      <c r="P22" s="642">
        <f t="shared" si="0"/>
        <v>0</v>
      </c>
      <c r="Q22" s="642"/>
      <c r="R22" s="647">
        <v>1</v>
      </c>
      <c r="S22" s="647"/>
      <c r="T22" s="95">
        <f t="shared" si="4"/>
        <v>0</v>
      </c>
      <c r="U22" s="473">
        <f t="shared" si="5"/>
        <v>0</v>
      </c>
    </row>
    <row r="23" spans="1:21" x14ac:dyDescent="0.25">
      <c r="A23" s="578" t="s">
        <v>82</v>
      </c>
      <c r="B23" s="578"/>
      <c r="C23" s="143">
        <v>0</v>
      </c>
      <c r="D23" s="143">
        <v>0</v>
      </c>
      <c r="E23" s="116">
        <f t="shared" si="1"/>
        <v>0</v>
      </c>
      <c r="F23" s="663">
        <f>'1461'!F23:G23</f>
        <v>5.992</v>
      </c>
      <c r="G23" s="663"/>
      <c r="H23" s="80">
        <f t="shared" si="2"/>
        <v>0</v>
      </c>
      <c r="I23" s="101">
        <f t="shared" si="3"/>
        <v>0</v>
      </c>
      <c r="N23" s="601" t="s">
        <v>82</v>
      </c>
      <c r="O23" s="601"/>
      <c r="P23" s="642">
        <f t="shared" si="0"/>
        <v>0</v>
      </c>
      <c r="Q23" s="642"/>
      <c r="R23" s="647">
        <v>1</v>
      </c>
      <c r="S23" s="647"/>
      <c r="T23" s="95">
        <f t="shared" si="4"/>
        <v>0</v>
      </c>
      <c r="U23" s="473">
        <f t="shared" si="5"/>
        <v>0</v>
      </c>
    </row>
    <row r="24" spans="1:21" x14ac:dyDescent="0.25">
      <c r="A24" s="578" t="s">
        <v>83</v>
      </c>
      <c r="B24" s="578"/>
      <c r="C24" s="143">
        <v>0</v>
      </c>
      <c r="D24" s="143">
        <v>0</v>
      </c>
      <c r="E24" s="116">
        <f t="shared" si="1"/>
        <v>0</v>
      </c>
      <c r="F24" s="663">
        <f>'1461'!F24:G24</f>
        <v>5.992</v>
      </c>
      <c r="G24" s="663"/>
      <c r="H24" s="80">
        <f t="shared" si="2"/>
        <v>0</v>
      </c>
      <c r="I24" s="101">
        <f t="shared" si="3"/>
        <v>0</v>
      </c>
      <c r="N24" s="601" t="s">
        <v>83</v>
      </c>
      <c r="O24" s="601"/>
      <c r="P24" s="642">
        <f t="shared" si="0"/>
        <v>0</v>
      </c>
      <c r="Q24" s="642"/>
      <c r="R24" s="647">
        <v>1</v>
      </c>
      <c r="S24" s="647"/>
      <c r="T24" s="95">
        <f t="shared" si="4"/>
        <v>0</v>
      </c>
      <c r="U24" s="473">
        <f t="shared" si="5"/>
        <v>0</v>
      </c>
    </row>
    <row r="25" spans="1:21" x14ac:dyDescent="0.25">
      <c r="A25" s="578" t="s">
        <v>84</v>
      </c>
      <c r="B25" s="578"/>
      <c r="C25" s="143">
        <v>0</v>
      </c>
      <c r="D25" s="143">
        <v>0</v>
      </c>
      <c r="E25" s="116">
        <f t="shared" si="1"/>
        <v>0</v>
      </c>
      <c r="F25" s="663">
        <f>'1461'!F25:G25</f>
        <v>5.992</v>
      </c>
      <c r="G25" s="663"/>
      <c r="H25" s="80">
        <f t="shared" si="2"/>
        <v>0</v>
      </c>
      <c r="I25" s="101">
        <f t="shared" si="3"/>
        <v>0</v>
      </c>
      <c r="N25" s="601" t="s">
        <v>84</v>
      </c>
      <c r="O25" s="601"/>
      <c r="P25" s="642">
        <f t="shared" si="0"/>
        <v>0</v>
      </c>
      <c r="Q25" s="642"/>
      <c r="R25" s="647">
        <v>1</v>
      </c>
      <c r="S25" s="647"/>
      <c r="T25" s="95">
        <f t="shared" si="4"/>
        <v>0</v>
      </c>
      <c r="U25" s="473">
        <f t="shared" si="5"/>
        <v>0</v>
      </c>
    </row>
    <row r="26" spans="1:21" x14ac:dyDescent="0.25">
      <c r="A26" s="578" t="s">
        <v>85</v>
      </c>
      <c r="B26" s="578"/>
      <c r="C26" s="143">
        <v>0</v>
      </c>
      <c r="D26" s="143">
        <v>0</v>
      </c>
      <c r="E26" s="116">
        <f t="shared" si="1"/>
        <v>0</v>
      </c>
      <c r="F26" s="663">
        <f>'1461'!F26:G26</f>
        <v>1.1919999999999999</v>
      </c>
      <c r="G26" s="663"/>
      <c r="H26" s="80">
        <f t="shared" si="2"/>
        <v>0</v>
      </c>
      <c r="I26" s="101">
        <f t="shared" si="3"/>
        <v>0</v>
      </c>
      <c r="N26" s="601" t="s">
        <v>85</v>
      </c>
      <c r="O26" s="601"/>
      <c r="P26" s="642">
        <f t="shared" si="0"/>
        <v>0</v>
      </c>
      <c r="Q26" s="642"/>
      <c r="R26" s="647">
        <v>1</v>
      </c>
      <c r="S26" s="647"/>
      <c r="T26" s="95">
        <f t="shared" si="4"/>
        <v>0</v>
      </c>
      <c r="U26" s="473">
        <f t="shared" si="5"/>
        <v>0</v>
      </c>
    </row>
    <row r="27" spans="1:21" x14ac:dyDescent="0.25">
      <c r="A27" s="578" t="s">
        <v>86</v>
      </c>
      <c r="B27" s="578"/>
      <c r="C27" s="143">
        <v>0</v>
      </c>
      <c r="D27" s="143">
        <v>0</v>
      </c>
      <c r="E27" s="116">
        <f t="shared" si="1"/>
        <v>0</v>
      </c>
      <c r="F27" s="663">
        <f>'1461'!F27:G27</f>
        <v>1.1919999999999999</v>
      </c>
      <c r="G27" s="663"/>
      <c r="H27" s="80">
        <f t="shared" si="2"/>
        <v>0</v>
      </c>
      <c r="I27" s="101">
        <f t="shared" si="3"/>
        <v>0</v>
      </c>
      <c r="N27" s="601" t="s">
        <v>86</v>
      </c>
      <c r="O27" s="601"/>
      <c r="P27" s="642">
        <f t="shared" si="0"/>
        <v>0</v>
      </c>
      <c r="Q27" s="642"/>
      <c r="R27" s="647">
        <v>1</v>
      </c>
      <c r="S27" s="647"/>
      <c r="T27" s="95">
        <f t="shared" si="4"/>
        <v>0</v>
      </c>
      <c r="U27" s="473">
        <f t="shared" si="5"/>
        <v>0</v>
      </c>
    </row>
    <row r="28" spans="1:21" x14ac:dyDescent="0.25">
      <c r="A28" s="578" t="s">
        <v>87</v>
      </c>
      <c r="B28" s="578"/>
      <c r="C28" s="143">
        <v>0</v>
      </c>
      <c r="D28" s="143">
        <v>0</v>
      </c>
      <c r="E28" s="116">
        <f t="shared" si="1"/>
        <v>0</v>
      </c>
      <c r="F28" s="663">
        <f>'1461'!F28:G28</f>
        <v>1.1919999999999999</v>
      </c>
      <c r="G28" s="663"/>
      <c r="H28" s="80">
        <f t="shared" si="2"/>
        <v>0</v>
      </c>
      <c r="I28" s="101">
        <f t="shared" si="3"/>
        <v>0</v>
      </c>
      <c r="N28" s="601" t="s">
        <v>87</v>
      </c>
      <c r="O28" s="601"/>
      <c r="P28" s="642">
        <f t="shared" si="0"/>
        <v>0</v>
      </c>
      <c r="Q28" s="642"/>
      <c r="R28" s="647">
        <v>1</v>
      </c>
      <c r="S28" s="647"/>
      <c r="T28" s="95">
        <f t="shared" si="4"/>
        <v>0</v>
      </c>
      <c r="U28" s="473">
        <f t="shared" si="5"/>
        <v>0</v>
      </c>
    </row>
    <row r="29" spans="1:21" x14ac:dyDescent="0.25">
      <c r="A29" s="578" t="s">
        <v>88</v>
      </c>
      <c r="B29" s="578"/>
      <c r="C29" s="110">
        <v>0</v>
      </c>
      <c r="D29" s="110">
        <v>0</v>
      </c>
      <c r="E29" s="154">
        <f t="shared" si="1"/>
        <v>0</v>
      </c>
      <c r="F29" s="663">
        <f>'1461'!F29:G29</f>
        <v>1.079</v>
      </c>
      <c r="G29" s="663"/>
      <c r="H29" s="93">
        <f t="shared" si="2"/>
        <v>0</v>
      </c>
      <c r="I29" s="94">
        <f t="shared" si="3"/>
        <v>0</v>
      </c>
      <c r="N29" s="616" t="s">
        <v>88</v>
      </c>
      <c r="O29" s="616"/>
      <c r="P29" s="642">
        <f t="shared" si="0"/>
        <v>0</v>
      </c>
      <c r="Q29" s="642"/>
      <c r="R29" s="643">
        <v>1</v>
      </c>
      <c r="S29" s="643"/>
      <c r="T29" s="95">
        <f t="shared" si="4"/>
        <v>0</v>
      </c>
      <c r="U29" s="473">
        <f t="shared" si="5"/>
        <v>0</v>
      </c>
    </row>
    <row r="30" spans="1:21" x14ac:dyDescent="0.25">
      <c r="A30" s="590" t="s">
        <v>5</v>
      </c>
      <c r="B30" s="590"/>
      <c r="C30" s="94">
        <f>SUM(C14:C29)</f>
        <v>36.5</v>
      </c>
      <c r="D30" s="94">
        <f>SUM(D14:D29)</f>
        <v>35.97</v>
      </c>
      <c r="E30" s="94">
        <f>SUM(E14:E29)</f>
        <v>72.47</v>
      </c>
      <c r="F30" s="582"/>
      <c r="G30" s="582"/>
      <c r="H30" s="99">
        <f>SUM(H14:H29)</f>
        <v>70.875699999999995</v>
      </c>
      <c r="I30" s="94">
        <f>SUM(I14:I29)</f>
        <v>393252.69</v>
      </c>
      <c r="N30" s="644" t="s">
        <v>5</v>
      </c>
      <c r="O30" s="644"/>
      <c r="P30" s="645">
        <f>SUM(P14:P29)</f>
        <v>72.47</v>
      </c>
      <c r="Q30" s="645"/>
      <c r="R30" s="617"/>
      <c r="S30" s="617"/>
      <c r="T30" s="100">
        <f>SUM(T14:T29)</f>
        <v>72.47</v>
      </c>
      <c r="U30" s="473">
        <f>SUM(U14:U29)</f>
        <v>402098.63</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0" t="s">
        <v>233</v>
      </c>
      <c r="G34" s="670"/>
      <c r="H34" s="670"/>
      <c r="I34" s="101"/>
      <c r="N34" s="28"/>
      <c r="O34" s="28"/>
      <c r="P34" s="29"/>
      <c r="Q34" s="29"/>
      <c r="R34" s="30"/>
      <c r="S34" s="30"/>
      <c r="T34" s="102"/>
      <c r="U34" s="103"/>
    </row>
    <row r="35" spans="1:21" hidden="1" x14ac:dyDescent="0.25">
      <c r="A35" s="3"/>
      <c r="B35" s="69"/>
      <c r="C35" s="69"/>
      <c r="D35" s="69"/>
      <c r="E35" s="69"/>
      <c r="F35" s="670"/>
      <c r="G35" s="670"/>
      <c r="H35" s="670"/>
      <c r="I35" s="24" t="s">
        <v>61</v>
      </c>
      <c r="N35" s="627" t="s">
        <v>26</v>
      </c>
      <c r="O35" s="627"/>
      <c r="P35" s="627"/>
      <c r="Q35" s="627"/>
      <c r="R35" s="627"/>
      <c r="S35" s="627"/>
      <c r="T35" s="627"/>
      <c r="U35" s="25" t="str">
        <f>I35</f>
        <v>2015-16</v>
      </c>
    </row>
    <row r="36" spans="1:21" hidden="1" x14ac:dyDescent="0.25">
      <c r="A36" s="26"/>
      <c r="B36" s="26"/>
      <c r="C36" s="88" t="s">
        <v>93</v>
      </c>
      <c r="D36" s="88" t="s">
        <v>94</v>
      </c>
      <c r="E36" s="89" t="s">
        <v>8</v>
      </c>
      <c r="F36" s="670"/>
      <c r="G36" s="670"/>
      <c r="H36" s="670"/>
      <c r="I36" s="24" t="s">
        <v>27</v>
      </c>
      <c r="N36" s="28"/>
      <c r="O36" s="28"/>
      <c r="P36" s="29"/>
      <c r="Q36" s="29"/>
      <c r="R36" s="30"/>
      <c r="S36" s="30"/>
      <c r="T36" s="102"/>
      <c r="U36" s="25" t="s">
        <v>27</v>
      </c>
    </row>
    <row r="37" spans="1:21" ht="26.25" hidden="1" x14ac:dyDescent="0.25">
      <c r="A37" s="572" t="s">
        <v>50</v>
      </c>
      <c r="B37" s="572"/>
      <c r="C37" s="90" t="s">
        <v>2</v>
      </c>
      <c r="D37" s="90" t="s">
        <v>2</v>
      </c>
      <c r="E37" s="90" t="s">
        <v>2</v>
      </c>
      <c r="F37" s="671"/>
      <c r="G37" s="671"/>
      <c r="H37" s="671"/>
      <c r="I37" s="31" t="s">
        <v>395</v>
      </c>
      <c r="N37" s="639" t="s">
        <v>50</v>
      </c>
      <c r="O37" s="639"/>
      <c r="P37" s="640" t="s">
        <v>19</v>
      </c>
      <c r="Q37" s="640"/>
      <c r="R37" s="640"/>
      <c r="S37" s="640"/>
      <c r="T37" s="640"/>
      <c r="U37" s="19" t="str">
        <f>I37</f>
        <v>(WFTE x BSA x CWF x SDF)</v>
      </c>
    </row>
    <row r="38" spans="1:21" hidden="1" x14ac:dyDescent="0.25">
      <c r="A38" s="576" t="s">
        <v>45</v>
      </c>
      <c r="B38" s="576"/>
      <c r="C38" s="147">
        <v>0</v>
      </c>
      <c r="D38" s="147">
        <v>0</v>
      </c>
      <c r="E38" s="187">
        <f t="shared" ref="E38:E43" si="6">IF(D$44=0,C38*2,C38+D38)</f>
        <v>0</v>
      </c>
      <c r="F38" s="148"/>
      <c r="G38" s="148"/>
      <c r="H38" s="148"/>
      <c r="I38" s="111">
        <f>ROUND(ROUND(ROUND(E38*$C$8,4)*($H$8),2)*(MAX($H$9,1)),2)</f>
        <v>0</v>
      </c>
      <c r="N38" s="641" t="s">
        <v>45</v>
      </c>
      <c r="O38" s="641"/>
      <c r="P38" s="608">
        <f t="shared" ref="P38:P43" si="7">IF($H$133=1,E38,0)</f>
        <v>0</v>
      </c>
      <c r="Q38" s="608"/>
      <c r="R38" s="608"/>
      <c r="S38" s="608"/>
      <c r="T38" s="608"/>
      <c r="U38" s="98">
        <f>ROUND(ROUND(ROUND(P38*$C$8,4)*($H$8),2)*(MAX($H$9,1)),2)</f>
        <v>0</v>
      </c>
    </row>
    <row r="39" spans="1:21" hidden="1" x14ac:dyDescent="0.25">
      <c r="A39" s="578" t="s">
        <v>46</v>
      </c>
      <c r="B39" s="578"/>
      <c r="C39" s="150">
        <v>0</v>
      </c>
      <c r="D39" s="150">
        <v>0</v>
      </c>
      <c r="E39" s="116">
        <f t="shared" si="6"/>
        <v>0</v>
      </c>
      <c r="F39" s="151"/>
      <c r="G39" s="151"/>
      <c r="H39" s="151"/>
      <c r="I39" s="101">
        <f t="shared" ref="I39:I43" si="8">ROUND(ROUND(ROUND(E39*$C$8,4)*($H$8),2)*(MAX($H$9,1)),2)</f>
        <v>0</v>
      </c>
      <c r="N39" s="601" t="s">
        <v>46</v>
      </c>
      <c r="O39" s="601"/>
      <c r="P39" s="608">
        <f t="shared" si="7"/>
        <v>0</v>
      </c>
      <c r="Q39" s="608"/>
      <c r="R39" s="608"/>
      <c r="S39" s="608"/>
      <c r="T39" s="608"/>
      <c r="U39" s="98">
        <f t="shared" ref="U39:U43" si="9">ROUND(ROUND(ROUND(P39*$C$8,4)*($H$8),2)*(MAX($H$9,1)),2)</f>
        <v>0</v>
      </c>
    </row>
    <row r="40" spans="1:21" hidden="1" x14ac:dyDescent="0.25">
      <c r="A40" s="583" t="s">
        <v>47</v>
      </c>
      <c r="B40" s="583"/>
      <c r="C40" s="150">
        <v>0</v>
      </c>
      <c r="D40" s="150">
        <v>0</v>
      </c>
      <c r="E40" s="116">
        <f t="shared" si="6"/>
        <v>0</v>
      </c>
      <c r="F40" s="151"/>
      <c r="G40" s="151"/>
      <c r="H40" s="151"/>
      <c r="I40" s="101">
        <f t="shared" si="8"/>
        <v>0</v>
      </c>
      <c r="N40" s="646" t="s">
        <v>47</v>
      </c>
      <c r="O40" s="646"/>
      <c r="P40" s="608">
        <f t="shared" si="7"/>
        <v>0</v>
      </c>
      <c r="Q40" s="608"/>
      <c r="R40" s="608"/>
      <c r="S40" s="608"/>
      <c r="T40" s="608"/>
      <c r="U40" s="98">
        <f t="shared" si="9"/>
        <v>0</v>
      </c>
    </row>
    <row r="41" spans="1:21" hidden="1" x14ac:dyDescent="0.25">
      <c r="A41" s="578" t="s">
        <v>48</v>
      </c>
      <c r="B41" s="578"/>
      <c r="C41" s="150">
        <v>0</v>
      </c>
      <c r="D41" s="150">
        <v>0</v>
      </c>
      <c r="E41" s="116">
        <f t="shared" si="6"/>
        <v>0</v>
      </c>
      <c r="F41" s="151"/>
      <c r="G41" s="151"/>
      <c r="H41" s="151"/>
      <c r="I41" s="101">
        <f t="shared" si="8"/>
        <v>0</v>
      </c>
      <c r="N41" s="601" t="s">
        <v>48</v>
      </c>
      <c r="O41" s="601"/>
      <c r="P41" s="608">
        <f t="shared" si="7"/>
        <v>0</v>
      </c>
      <c r="Q41" s="608"/>
      <c r="R41" s="608"/>
      <c r="S41" s="608"/>
      <c r="T41" s="608"/>
      <c r="U41" s="98">
        <f t="shared" si="9"/>
        <v>0</v>
      </c>
    </row>
    <row r="42" spans="1:21" hidden="1" x14ac:dyDescent="0.25">
      <c r="A42" s="578" t="s">
        <v>49</v>
      </c>
      <c r="B42" s="578"/>
      <c r="C42" s="150">
        <v>0</v>
      </c>
      <c r="D42" s="150">
        <v>0</v>
      </c>
      <c r="E42" s="116">
        <f t="shared" si="6"/>
        <v>0</v>
      </c>
      <c r="F42" s="151"/>
      <c r="G42" s="151"/>
      <c r="H42" s="151"/>
      <c r="I42" s="101">
        <f t="shared" si="8"/>
        <v>0</v>
      </c>
      <c r="N42" s="601" t="s">
        <v>49</v>
      </c>
      <c r="O42" s="601"/>
      <c r="P42" s="608">
        <f t="shared" si="7"/>
        <v>0</v>
      </c>
      <c r="Q42" s="608"/>
      <c r="R42" s="608"/>
      <c r="S42" s="608"/>
      <c r="T42" s="608"/>
      <c r="U42" s="98">
        <f t="shared" si="9"/>
        <v>0</v>
      </c>
    </row>
    <row r="43" spans="1:21" hidden="1" x14ac:dyDescent="0.25">
      <c r="A43" s="578" t="s">
        <v>41</v>
      </c>
      <c r="B43" s="578"/>
      <c r="C43" s="149">
        <v>0</v>
      </c>
      <c r="D43" s="149">
        <v>0</v>
      </c>
      <c r="E43" s="154">
        <f t="shared" si="6"/>
        <v>0</v>
      </c>
      <c r="F43" s="151"/>
      <c r="G43" s="151"/>
      <c r="H43" s="151"/>
      <c r="I43" s="94">
        <f t="shared" si="8"/>
        <v>0</v>
      </c>
      <c r="N43" s="616" t="s">
        <v>41</v>
      </c>
      <c r="O43" s="616"/>
      <c r="P43" s="608">
        <f t="shared" si="7"/>
        <v>0</v>
      </c>
      <c r="Q43" s="608"/>
      <c r="R43" s="608"/>
      <c r="S43" s="608"/>
      <c r="T43" s="60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3" t="s">
        <v>43</v>
      </c>
      <c r="O44" s="603"/>
      <c r="P44" s="603"/>
      <c r="Q44" s="603"/>
      <c r="R44" s="33">
        <f>SUM(P38:R43)</f>
        <v>0</v>
      </c>
      <c r="S44" s="617" t="s">
        <v>51</v>
      </c>
      <c r="T44" s="617"/>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70.875699999999995</v>
      </c>
      <c r="F46" s="34"/>
      <c r="G46" s="106"/>
      <c r="H46" s="107" t="s">
        <v>98</v>
      </c>
      <c r="I46" s="94">
        <f>SUM(I44,I30)</f>
        <v>393252.69</v>
      </c>
      <c r="N46" s="603" t="s">
        <v>44</v>
      </c>
      <c r="O46" s="603"/>
      <c r="P46" s="603"/>
      <c r="Q46" s="603"/>
      <c r="R46" s="35">
        <f>R44+T30</f>
        <v>72.47</v>
      </c>
      <c r="S46" s="617" t="s">
        <v>42</v>
      </c>
      <c r="T46" s="617"/>
      <c r="U46" s="108">
        <f>SUM(U44,U30)</f>
        <v>402098.63</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396</v>
      </c>
      <c r="B48" s="26"/>
      <c r="C48" s="26"/>
      <c r="D48" s="26"/>
      <c r="E48" s="26"/>
      <c r="F48" s="34"/>
      <c r="G48" s="27"/>
      <c r="H48" s="27"/>
      <c r="I48" s="101"/>
      <c r="N48" s="383" t="s">
        <v>396</v>
      </c>
      <c r="O48" s="28"/>
      <c r="P48" s="28"/>
      <c r="Q48" s="28"/>
      <c r="R48" s="35"/>
      <c r="S48" s="30"/>
      <c r="T48" s="30"/>
      <c r="U48" s="402"/>
    </row>
    <row r="49" spans="1:22" s="391" customFormat="1" ht="9" customHeight="1" x14ac:dyDescent="0.2">
      <c r="A49" s="481" t="s">
        <v>397</v>
      </c>
      <c r="F49" s="392"/>
      <c r="G49" s="393"/>
      <c r="H49" s="393"/>
      <c r="I49" s="394"/>
      <c r="N49" s="403" t="s">
        <v>397</v>
      </c>
      <c r="O49" s="395"/>
      <c r="P49" s="395"/>
      <c r="Q49" s="395"/>
      <c r="R49" s="396"/>
      <c r="S49" s="397"/>
      <c r="T49" s="397"/>
      <c r="U49" s="404"/>
    </row>
    <row r="50" spans="1:22" s="391" customFormat="1" ht="11.25" customHeight="1" x14ac:dyDescent="0.2">
      <c r="A50" s="483" t="s">
        <v>398</v>
      </c>
      <c r="F50" s="392"/>
      <c r="G50" s="393"/>
      <c r="H50" s="393"/>
      <c r="I50" s="394"/>
      <c r="N50" s="405" t="s">
        <v>398</v>
      </c>
      <c r="O50" s="395"/>
      <c r="P50" s="395"/>
      <c r="Q50" s="395"/>
      <c r="R50" s="396"/>
      <c r="S50" s="397"/>
      <c r="T50" s="397"/>
      <c r="U50" s="404"/>
    </row>
    <row r="51" spans="1:22" x14ac:dyDescent="0.25">
      <c r="A51" s="389"/>
      <c r="B51" s="399" t="s">
        <v>399</v>
      </c>
      <c r="C51" s="26"/>
      <c r="D51" s="26"/>
      <c r="E51" s="43" t="s">
        <v>400</v>
      </c>
      <c r="F51" s="400">
        <f>I46</f>
        <v>393252.69</v>
      </c>
      <c r="G51" s="109" t="s">
        <v>6</v>
      </c>
      <c r="H51" s="401">
        <v>4.5199999999999997E-2</v>
      </c>
      <c r="I51" s="101">
        <f>ROUND(F51*H51,2)</f>
        <v>17775.02</v>
      </c>
      <c r="N51" s="406"/>
      <c r="O51" s="407" t="s">
        <v>399</v>
      </c>
      <c r="P51" s="28"/>
      <c r="Q51" s="44" t="s">
        <v>400</v>
      </c>
      <c r="R51" s="408">
        <f>U30</f>
        <v>402098.63</v>
      </c>
      <c r="S51" s="409" t="s">
        <v>6</v>
      </c>
      <c r="T51" s="410">
        <v>4.5199999999999997E-2</v>
      </c>
      <c r="U51" s="402">
        <f>ROUND(R51*T51,2)</f>
        <v>18174.86</v>
      </c>
    </row>
    <row r="52" spans="1:22" x14ac:dyDescent="0.25">
      <c r="A52" s="26"/>
      <c r="B52" s="81" t="s">
        <v>401</v>
      </c>
      <c r="C52" s="26"/>
      <c r="D52" s="26"/>
      <c r="E52" s="43" t="s">
        <v>400</v>
      </c>
      <c r="F52" s="400">
        <f>I46</f>
        <v>393252.69</v>
      </c>
      <c r="G52" s="109" t="s">
        <v>6</v>
      </c>
      <c r="H52" s="401">
        <v>1.41E-2</v>
      </c>
      <c r="I52" s="101">
        <f>ROUND(F52*H52,2)</f>
        <v>5544.86</v>
      </c>
      <c r="N52" s="28"/>
      <c r="O52" s="383" t="s">
        <v>401</v>
      </c>
      <c r="P52" s="28"/>
      <c r="Q52" s="44" t="s">
        <v>400</v>
      </c>
      <c r="R52" s="408">
        <f>U30</f>
        <v>402098.63</v>
      </c>
      <c r="S52" s="409" t="s">
        <v>6</v>
      </c>
      <c r="T52" s="410">
        <v>1.41E-2</v>
      </c>
      <c r="U52" s="411">
        <f>ROUND(R52*T52,2)</f>
        <v>5669.59</v>
      </c>
    </row>
    <row r="53" spans="1:22" x14ac:dyDescent="0.25">
      <c r="A53" s="26"/>
      <c r="B53" s="81" t="s">
        <v>402</v>
      </c>
      <c r="C53" s="26"/>
      <c r="D53" s="26"/>
      <c r="E53" s="43"/>
      <c r="F53" s="400"/>
      <c r="G53" s="109"/>
      <c r="H53" s="401"/>
      <c r="I53" s="97">
        <f>SUM(I51:I52)</f>
        <v>23319.88</v>
      </c>
      <c r="N53" s="28"/>
      <c r="O53" s="383" t="s">
        <v>402</v>
      </c>
      <c r="P53" s="28"/>
      <c r="Q53" s="44"/>
      <c r="R53" s="408"/>
      <c r="S53" s="409"/>
      <c r="T53" s="410"/>
      <c r="U53" s="402">
        <f>SUM(U51:U52)</f>
        <v>23844.45</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440</v>
      </c>
      <c r="G55" s="109" t="s">
        <v>441</v>
      </c>
      <c r="H55" s="454" t="s">
        <v>442</v>
      </c>
      <c r="I55" s="101"/>
      <c r="N55" s="448"/>
      <c r="O55" s="448"/>
      <c r="P55" s="464"/>
      <c r="Q55" s="465"/>
      <c r="R55" s="466"/>
      <c r="S55" s="468" t="s">
        <v>441</v>
      </c>
      <c r="T55" s="469" t="s">
        <v>442</v>
      </c>
      <c r="U55" s="467"/>
      <c r="V55" s="424"/>
    </row>
    <row r="56" spans="1:22" x14ac:dyDescent="0.25">
      <c r="A56" s="36" t="s">
        <v>443</v>
      </c>
      <c r="B56" s="36"/>
      <c r="C56" s="324" t="str">
        <f>'1461'!C56</f>
        <v>FTE</v>
      </c>
      <c r="D56" s="324" t="str">
        <f>'1461'!D56</f>
        <v>FTE</v>
      </c>
      <c r="E56" s="90" t="s">
        <v>2</v>
      </c>
      <c r="F56" s="439" t="s">
        <v>444</v>
      </c>
      <c r="G56" s="441" t="s">
        <v>444</v>
      </c>
      <c r="H56" s="455" t="s">
        <v>445</v>
      </c>
      <c r="I56" s="36"/>
      <c r="N56" s="459" t="s">
        <v>443</v>
      </c>
      <c r="O56" s="459"/>
      <c r="P56" s="620" t="s">
        <v>2</v>
      </c>
      <c r="Q56" s="620"/>
      <c r="R56" s="459" t="s">
        <v>449</v>
      </c>
      <c r="S56" s="450" t="s">
        <v>444</v>
      </c>
      <c r="T56" s="470" t="s">
        <v>445</v>
      </c>
      <c r="U56" s="459"/>
      <c r="V56" s="458"/>
    </row>
    <row r="57" spans="1:22" x14ac:dyDescent="0.25">
      <c r="A57" s="588" t="s">
        <v>447</v>
      </c>
      <c r="B57" s="588"/>
      <c r="C57" s="143">
        <v>0</v>
      </c>
      <c r="D57" s="143">
        <v>0</v>
      </c>
      <c r="E57" s="116">
        <f t="shared" ref="E57:E65" si="10">IF(D$66=0,C57*2,C57+D57)</f>
        <v>0</v>
      </c>
      <c r="F57" s="443" t="s">
        <v>439</v>
      </c>
      <c r="G57" s="443">
        <v>251</v>
      </c>
      <c r="H57" s="457">
        <f>'1461'!H57</f>
        <v>1047</v>
      </c>
      <c r="I57" s="101">
        <f>ROUND(E57*H57,2)</f>
        <v>0</v>
      </c>
      <c r="N57" s="618" t="s">
        <v>447</v>
      </c>
      <c r="O57" s="618"/>
      <c r="P57" s="621"/>
      <c r="Q57" s="621"/>
      <c r="R57" s="449" t="s">
        <v>439</v>
      </c>
      <c r="S57" s="449">
        <v>251</v>
      </c>
      <c r="T57" s="460">
        <f>H57</f>
        <v>1047</v>
      </c>
      <c r="U57" s="474">
        <f>ROUND(P57*T57,2)</f>
        <v>0</v>
      </c>
      <c r="V57" s="424"/>
    </row>
    <row r="58" spans="1:22" x14ac:dyDescent="0.25">
      <c r="A58" s="589"/>
      <c r="B58" s="589"/>
      <c r="C58" s="143">
        <v>0</v>
      </c>
      <c r="D58" s="143">
        <v>0</v>
      </c>
      <c r="E58" s="116">
        <f t="shared" si="10"/>
        <v>0</v>
      </c>
      <c r="F58" s="443" t="s">
        <v>439</v>
      </c>
      <c r="G58" s="443">
        <v>252</v>
      </c>
      <c r="H58" s="457">
        <f>'1461'!H58</f>
        <v>3380</v>
      </c>
      <c r="I58" s="101">
        <f t="shared" ref="I58:I65" si="11">ROUND(E58*H58,2)</f>
        <v>0</v>
      </c>
      <c r="N58" s="619"/>
      <c r="O58" s="619"/>
      <c r="P58" s="622"/>
      <c r="Q58" s="622"/>
      <c r="R58" s="449" t="s">
        <v>439</v>
      </c>
      <c r="S58" s="449">
        <v>252</v>
      </c>
      <c r="T58" s="460">
        <f t="shared" ref="T58:T65" si="12">H58</f>
        <v>3380</v>
      </c>
      <c r="U58" s="474">
        <f t="shared" ref="U58:U65" si="13">ROUND(P58*T58,2)</f>
        <v>0</v>
      </c>
      <c r="V58" s="424"/>
    </row>
    <row r="59" spans="1:22" x14ac:dyDescent="0.25">
      <c r="A59" s="589"/>
      <c r="B59" s="589"/>
      <c r="C59" s="143">
        <v>0</v>
      </c>
      <c r="D59" s="143">
        <v>0</v>
      </c>
      <c r="E59" s="116">
        <f t="shared" si="10"/>
        <v>0</v>
      </c>
      <c r="F59" s="443" t="s">
        <v>439</v>
      </c>
      <c r="G59" s="443">
        <v>253</v>
      </c>
      <c r="H59" s="457">
        <f>'1461'!H59</f>
        <v>6896</v>
      </c>
      <c r="I59" s="101">
        <f t="shared" si="11"/>
        <v>0</v>
      </c>
      <c r="N59" s="619"/>
      <c r="O59" s="619"/>
      <c r="P59" s="622"/>
      <c r="Q59" s="622"/>
      <c r="R59" s="449" t="s">
        <v>439</v>
      </c>
      <c r="S59" s="449">
        <v>253</v>
      </c>
      <c r="T59" s="460">
        <f t="shared" si="12"/>
        <v>6896</v>
      </c>
      <c r="U59" s="474">
        <f t="shared" si="13"/>
        <v>0</v>
      </c>
      <c r="V59" s="424"/>
    </row>
    <row r="60" spans="1:22" x14ac:dyDescent="0.25">
      <c r="A60" s="589"/>
      <c r="B60" s="589"/>
      <c r="C60" s="143">
        <v>0</v>
      </c>
      <c r="D60" s="143">
        <v>0</v>
      </c>
      <c r="E60" s="116">
        <f t="shared" si="10"/>
        <v>0</v>
      </c>
      <c r="F60" s="444" t="s">
        <v>13</v>
      </c>
      <c r="G60" s="443">
        <v>251</v>
      </c>
      <c r="H60" s="457">
        <f>'1461'!H60</f>
        <v>1173</v>
      </c>
      <c r="I60" s="101">
        <f t="shared" si="11"/>
        <v>0</v>
      </c>
      <c r="N60" s="619"/>
      <c r="O60" s="619"/>
      <c r="P60" s="622"/>
      <c r="Q60" s="622"/>
      <c r="R60" s="40" t="s">
        <v>13</v>
      </c>
      <c r="S60" s="449">
        <v>251</v>
      </c>
      <c r="T60" s="460">
        <f t="shared" si="12"/>
        <v>1173</v>
      </c>
      <c r="U60" s="474">
        <f t="shared" si="13"/>
        <v>0</v>
      </c>
      <c r="V60" s="424"/>
    </row>
    <row r="61" spans="1:22" x14ac:dyDescent="0.25">
      <c r="A61" s="589"/>
      <c r="B61" s="589"/>
      <c r="C61" s="143">
        <v>0</v>
      </c>
      <c r="D61" s="143">
        <v>0</v>
      </c>
      <c r="E61" s="116">
        <f t="shared" si="10"/>
        <v>0</v>
      </c>
      <c r="F61" s="444" t="s">
        <v>13</v>
      </c>
      <c r="G61" s="443">
        <v>252</v>
      </c>
      <c r="H61" s="457">
        <f>'1461'!H61</f>
        <v>3506</v>
      </c>
      <c r="I61" s="101">
        <f t="shared" si="11"/>
        <v>0</v>
      </c>
      <c r="N61" s="619"/>
      <c r="O61" s="619"/>
      <c r="P61" s="622"/>
      <c r="Q61" s="622"/>
      <c r="R61" s="40" t="s">
        <v>13</v>
      </c>
      <c r="S61" s="449">
        <v>252</v>
      </c>
      <c r="T61" s="460">
        <f t="shared" si="12"/>
        <v>3506</v>
      </c>
      <c r="U61" s="474">
        <f t="shared" si="13"/>
        <v>0</v>
      </c>
      <c r="V61" s="424"/>
    </row>
    <row r="62" spans="1:22" x14ac:dyDescent="0.25">
      <c r="A62" s="589"/>
      <c r="B62" s="589"/>
      <c r="C62" s="143">
        <v>0</v>
      </c>
      <c r="D62" s="143">
        <v>0</v>
      </c>
      <c r="E62" s="116">
        <f t="shared" si="10"/>
        <v>0</v>
      </c>
      <c r="F62" s="444" t="s">
        <v>13</v>
      </c>
      <c r="G62" s="443">
        <v>253</v>
      </c>
      <c r="H62" s="457">
        <f>'1461'!H62</f>
        <v>7023</v>
      </c>
      <c r="I62" s="101">
        <f t="shared" si="11"/>
        <v>0</v>
      </c>
      <c r="N62" s="619"/>
      <c r="O62" s="619"/>
      <c r="P62" s="622"/>
      <c r="Q62" s="622"/>
      <c r="R62" s="40" t="s">
        <v>13</v>
      </c>
      <c r="S62" s="449">
        <v>253</v>
      </c>
      <c r="T62" s="460">
        <f t="shared" si="12"/>
        <v>7023</v>
      </c>
      <c r="U62" s="474">
        <f t="shared" si="13"/>
        <v>0</v>
      </c>
      <c r="V62" s="424"/>
    </row>
    <row r="63" spans="1:22" x14ac:dyDescent="0.25">
      <c r="A63" s="589"/>
      <c r="B63" s="589"/>
      <c r="C63" s="143">
        <v>1</v>
      </c>
      <c r="D63" s="143">
        <v>0</v>
      </c>
      <c r="E63" s="116">
        <f t="shared" si="10"/>
        <v>1</v>
      </c>
      <c r="F63" s="444" t="s">
        <v>14</v>
      </c>
      <c r="G63" s="443">
        <v>251</v>
      </c>
      <c r="H63" s="457">
        <f>'1461'!H63</f>
        <v>835</v>
      </c>
      <c r="I63" s="101">
        <f t="shared" si="11"/>
        <v>835</v>
      </c>
      <c r="N63" s="619"/>
      <c r="O63" s="619"/>
      <c r="P63" s="622"/>
      <c r="Q63" s="622"/>
      <c r="R63" s="40" t="s">
        <v>14</v>
      </c>
      <c r="S63" s="449">
        <v>251</v>
      </c>
      <c r="T63" s="460">
        <f t="shared" si="12"/>
        <v>835</v>
      </c>
      <c r="U63" s="474">
        <f t="shared" si="13"/>
        <v>0</v>
      </c>
      <c r="V63" s="424"/>
    </row>
    <row r="64" spans="1:22" x14ac:dyDescent="0.25">
      <c r="A64" s="589"/>
      <c r="B64" s="589"/>
      <c r="C64" s="143">
        <v>3</v>
      </c>
      <c r="D64" s="143">
        <v>4.42</v>
      </c>
      <c r="E64" s="116">
        <f t="shared" si="10"/>
        <v>7.42</v>
      </c>
      <c r="F64" s="444" t="s">
        <v>14</v>
      </c>
      <c r="G64" s="443">
        <v>252</v>
      </c>
      <c r="H64" s="457">
        <f>'1461'!H64</f>
        <v>3168</v>
      </c>
      <c r="I64" s="101">
        <f t="shared" si="11"/>
        <v>23506.560000000001</v>
      </c>
      <c r="N64" s="619"/>
      <c r="O64" s="619"/>
      <c r="P64" s="622"/>
      <c r="Q64" s="622"/>
      <c r="R64" s="40" t="s">
        <v>14</v>
      </c>
      <c r="S64" s="449">
        <v>252</v>
      </c>
      <c r="T64" s="460">
        <f t="shared" si="12"/>
        <v>3168</v>
      </c>
      <c r="U64" s="474">
        <f t="shared" si="13"/>
        <v>0</v>
      </c>
      <c r="V64" s="424"/>
    </row>
    <row r="65" spans="1:22" ht="16.5" thickBot="1" x14ac:dyDescent="0.3">
      <c r="A65" s="589"/>
      <c r="B65" s="589"/>
      <c r="C65" s="143">
        <v>32.5</v>
      </c>
      <c r="D65" s="143">
        <v>31.55</v>
      </c>
      <c r="E65" s="116">
        <f t="shared" si="10"/>
        <v>64.05</v>
      </c>
      <c r="F65" s="444" t="s">
        <v>14</v>
      </c>
      <c r="G65" s="443">
        <v>253</v>
      </c>
      <c r="H65" s="457">
        <f>'1461'!H65</f>
        <v>6685</v>
      </c>
      <c r="I65" s="101">
        <f t="shared" si="11"/>
        <v>428174.25</v>
      </c>
      <c r="N65" s="619"/>
      <c r="O65" s="619"/>
      <c r="P65" s="623"/>
      <c r="Q65" s="623"/>
      <c r="R65" s="40" t="s">
        <v>14</v>
      </c>
      <c r="S65" s="449">
        <v>253</v>
      </c>
      <c r="T65" s="460">
        <f t="shared" si="12"/>
        <v>6685</v>
      </c>
      <c r="U65" s="475">
        <f t="shared" si="13"/>
        <v>0</v>
      </c>
      <c r="V65" s="424"/>
    </row>
    <row r="66" spans="1:22" ht="16.5" thickBot="1" x14ac:dyDescent="0.3">
      <c r="A66" s="440"/>
      <c r="C66" s="97">
        <f>SUM(C57:C65)</f>
        <v>36.5</v>
      </c>
      <c r="D66" s="97">
        <f>SUM(D57:D65)</f>
        <v>35.97</v>
      </c>
      <c r="E66" s="97">
        <f>SUM(E57:E65)</f>
        <v>72.47</v>
      </c>
      <c r="F66" s="590" t="s">
        <v>448</v>
      </c>
      <c r="G66" s="590"/>
      <c r="H66" s="590"/>
      <c r="I66" s="97">
        <f>SUM(I57:I65)</f>
        <v>452515.81</v>
      </c>
      <c r="N66" s="446"/>
      <c r="O66" s="51"/>
      <c r="P66" s="602">
        <f>SUM(P57:P65)</f>
        <v>0</v>
      </c>
      <c r="Q66" s="602"/>
      <c r="R66" s="603" t="s">
        <v>448</v>
      </c>
      <c r="S66" s="603"/>
      <c r="T66" s="603"/>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450</v>
      </c>
      <c r="N68" s="453" t="s">
        <v>458</v>
      </c>
      <c r="O68" s="51"/>
      <c r="P68" s="51"/>
      <c r="Q68" s="51"/>
      <c r="R68" s="51"/>
      <c r="S68" s="51"/>
      <c r="T68" s="51"/>
      <c r="U68" s="51"/>
    </row>
    <row r="69" spans="1:22" x14ac:dyDescent="0.25">
      <c r="A69" s="584" t="s">
        <v>403</v>
      </c>
      <c r="B69" s="578"/>
      <c r="C69" s="112">
        <f>E30</f>
        <v>72.47</v>
      </c>
      <c r="D69" s="565" t="s">
        <v>414</v>
      </c>
      <c r="E69" s="565"/>
      <c r="F69" s="565"/>
      <c r="G69" s="565"/>
      <c r="H69" s="300">
        <f>'1461'!H69</f>
        <v>210228.91</v>
      </c>
      <c r="I69" s="113"/>
      <c r="N69" s="600" t="s">
        <v>407</v>
      </c>
      <c r="O69" s="601"/>
      <c r="P69" s="41">
        <f>P30</f>
        <v>72.47</v>
      </c>
      <c r="Q69" s="606" t="s">
        <v>409</v>
      </c>
      <c r="R69" s="607"/>
      <c r="S69" s="607"/>
      <c r="T69" s="604">
        <f>H69</f>
        <v>210228.91</v>
      </c>
      <c r="U69" s="604"/>
    </row>
    <row r="70" spans="1:22" x14ac:dyDescent="0.25">
      <c r="B70" s="69"/>
      <c r="G70" s="42" t="s">
        <v>12</v>
      </c>
      <c r="H70" s="114">
        <f>ROUND(C69/H69,6)</f>
        <v>3.4499999999999998E-4</v>
      </c>
      <c r="I70" s="115"/>
      <c r="N70" s="601"/>
      <c r="O70" s="601"/>
      <c r="P70" s="601"/>
      <c r="Q70" s="601"/>
      <c r="R70" s="601"/>
      <c r="S70" s="601"/>
      <c r="T70" s="605">
        <f>ROUND(P69/T69,6)</f>
        <v>3.4499999999999998E-4</v>
      </c>
      <c r="U70" s="605"/>
    </row>
    <row r="71" spans="1:22" x14ac:dyDescent="0.25">
      <c r="A71" s="442" t="s">
        <v>451</v>
      </c>
      <c r="N71" s="453" t="s">
        <v>459</v>
      </c>
      <c r="O71" s="51"/>
      <c r="P71" s="51"/>
      <c r="Q71" s="51"/>
      <c r="R71" s="51"/>
      <c r="S71" s="51"/>
      <c r="T71" s="51"/>
      <c r="U71" s="51"/>
    </row>
    <row r="72" spans="1:22" x14ac:dyDescent="0.25">
      <c r="A72" s="584" t="s">
        <v>404</v>
      </c>
      <c r="B72" s="578"/>
      <c r="C72" s="112">
        <f>H30</f>
        <v>70.875699999999995</v>
      </c>
      <c r="D72" s="565" t="s">
        <v>415</v>
      </c>
      <c r="E72" s="565"/>
      <c r="F72" s="565"/>
      <c r="G72" s="565"/>
      <c r="H72" s="301">
        <f>'1461'!H72</f>
        <v>234891.44</v>
      </c>
      <c r="I72" s="116"/>
      <c r="N72" s="600" t="s">
        <v>408</v>
      </c>
      <c r="O72" s="601"/>
      <c r="P72" s="41">
        <f>T30</f>
        <v>72.47</v>
      </c>
      <c r="Q72" s="606" t="s">
        <v>410</v>
      </c>
      <c r="R72" s="607"/>
      <c r="S72" s="607"/>
      <c r="T72" s="604">
        <f>H72</f>
        <v>234891.44</v>
      </c>
      <c r="U72" s="604"/>
    </row>
    <row r="73" spans="1:22" x14ac:dyDescent="0.25">
      <c r="G73" s="42" t="s">
        <v>12</v>
      </c>
      <c r="H73" s="114">
        <f>ROUND(C72/H72,6)</f>
        <v>3.0200000000000002E-4</v>
      </c>
      <c r="I73" s="114"/>
      <c r="N73" s="601"/>
      <c r="O73" s="601"/>
      <c r="P73" s="601"/>
      <c r="Q73" s="601"/>
      <c r="R73" s="601"/>
      <c r="S73" s="601"/>
      <c r="T73" s="605">
        <f>ROUND(P72/T72,6)</f>
        <v>3.0899999999999998E-4</v>
      </c>
      <c r="U73" s="605"/>
    </row>
    <row r="74" spans="1:22" x14ac:dyDescent="0.25">
      <c r="A74" s="417" t="s">
        <v>452</v>
      </c>
      <c r="B74" s="414"/>
      <c r="C74" s="414"/>
      <c r="D74" s="414"/>
      <c r="E74" s="414"/>
      <c r="F74" s="414"/>
      <c r="G74" s="414"/>
      <c r="H74" s="414"/>
      <c r="I74" s="414"/>
      <c r="N74" s="416" t="s">
        <v>460</v>
      </c>
      <c r="O74" s="415"/>
      <c r="P74" s="415"/>
      <c r="Q74" s="415"/>
      <c r="R74" s="415"/>
      <c r="S74" s="415"/>
      <c r="T74" s="415"/>
      <c r="U74" s="415"/>
      <c r="V74" s="414"/>
    </row>
    <row r="75" spans="1:22" x14ac:dyDescent="0.25">
      <c r="A75" s="584" t="s">
        <v>405</v>
      </c>
      <c r="B75" s="578"/>
      <c r="C75" s="112">
        <f>E30</f>
        <v>72.47</v>
      </c>
      <c r="D75" s="557" t="s">
        <v>416</v>
      </c>
      <c r="E75" s="557"/>
      <c r="F75" s="557"/>
      <c r="G75" s="557"/>
      <c r="H75" s="300">
        <f>'1461'!H75</f>
        <v>187665.41</v>
      </c>
      <c r="I75" s="113"/>
      <c r="N75" s="600" t="s">
        <v>406</v>
      </c>
      <c r="O75" s="601"/>
      <c r="P75" s="41">
        <f>P30</f>
        <v>72.47</v>
      </c>
      <c r="Q75" s="636" t="s">
        <v>411</v>
      </c>
      <c r="R75" s="637"/>
      <c r="S75" s="637"/>
      <c r="T75" s="604">
        <f>H75</f>
        <v>187665.41</v>
      </c>
      <c r="U75" s="604"/>
    </row>
    <row r="76" spans="1:22" x14ac:dyDescent="0.25">
      <c r="B76" s="69"/>
      <c r="G76" s="42" t="s">
        <v>12</v>
      </c>
      <c r="H76" s="114">
        <f>ROUND(C75/H75,6)</f>
        <v>3.86E-4</v>
      </c>
      <c r="I76" s="115"/>
      <c r="N76" s="601"/>
      <c r="O76" s="601"/>
      <c r="P76" s="601"/>
      <c r="Q76" s="601"/>
      <c r="R76" s="601"/>
      <c r="S76" s="601"/>
      <c r="T76" s="605">
        <f>ROUND(P75/T75,6)</f>
        <v>3.86E-4</v>
      </c>
      <c r="U76" s="605"/>
    </row>
    <row r="77" spans="1:22" x14ac:dyDescent="0.25">
      <c r="A77" s="417" t="s">
        <v>453</v>
      </c>
      <c r="B77" s="414"/>
      <c r="C77" s="414"/>
      <c r="D77" s="414"/>
      <c r="E77" s="414"/>
      <c r="F77" s="414"/>
      <c r="G77" s="414"/>
      <c r="H77" s="414"/>
      <c r="I77" s="414"/>
      <c r="N77" s="416" t="s">
        <v>461</v>
      </c>
      <c r="O77" s="415"/>
      <c r="P77" s="415"/>
      <c r="Q77" s="415"/>
      <c r="R77" s="415"/>
      <c r="S77" s="415"/>
      <c r="T77" s="415"/>
      <c r="U77" s="415"/>
      <c r="V77" s="414"/>
    </row>
    <row r="78" spans="1:22" x14ac:dyDescent="0.25">
      <c r="A78" s="584" t="s">
        <v>405</v>
      </c>
      <c r="B78" s="578"/>
      <c r="C78" s="112">
        <f>E30</f>
        <v>72.47</v>
      </c>
      <c r="D78" s="585" t="s">
        <v>417</v>
      </c>
      <c r="E78" s="585"/>
      <c r="F78" s="585"/>
      <c r="G78" s="585"/>
      <c r="H78" s="300">
        <f>'1461'!H78</f>
        <v>209892.26</v>
      </c>
      <c r="I78" s="113"/>
      <c r="N78" s="600" t="s">
        <v>406</v>
      </c>
      <c r="O78" s="601"/>
      <c r="P78" s="41">
        <f>P30</f>
        <v>72.47</v>
      </c>
      <c r="Q78" s="634" t="s">
        <v>412</v>
      </c>
      <c r="R78" s="635"/>
      <c r="S78" s="635"/>
      <c r="T78" s="604">
        <f>H78</f>
        <v>209892.26</v>
      </c>
      <c r="U78" s="604"/>
    </row>
    <row r="79" spans="1:22" x14ac:dyDescent="0.25">
      <c r="B79" s="69"/>
      <c r="G79" s="42" t="s">
        <v>12</v>
      </c>
      <c r="H79" s="114">
        <f>ROUND(C78/H78,6)</f>
        <v>3.4499999999999998E-4</v>
      </c>
      <c r="I79" s="115"/>
      <c r="N79" s="601"/>
      <c r="O79" s="601"/>
      <c r="P79" s="601"/>
      <c r="Q79" s="601"/>
      <c r="R79" s="601"/>
      <c r="S79" s="601"/>
      <c r="T79" s="605">
        <f>ROUND(P78/T78,6)</f>
        <v>3.4499999999999998E-4</v>
      </c>
      <c r="U79" s="605"/>
    </row>
    <row r="80" spans="1:22" x14ac:dyDescent="0.25">
      <c r="A80" s="417" t="s">
        <v>454</v>
      </c>
      <c r="B80" s="414"/>
      <c r="C80" s="414"/>
      <c r="D80" s="414"/>
      <c r="E80" s="414"/>
      <c r="F80" s="414"/>
      <c r="G80" s="414"/>
      <c r="H80" s="414"/>
      <c r="I80" s="414"/>
      <c r="N80" s="416" t="s">
        <v>462</v>
      </c>
      <c r="O80" s="415"/>
      <c r="P80" s="415"/>
      <c r="Q80" s="415"/>
      <c r="R80" s="415"/>
      <c r="S80" s="415"/>
      <c r="T80" s="415"/>
      <c r="U80" s="415"/>
      <c r="V80" s="414"/>
    </row>
    <row r="81" spans="1:21" x14ac:dyDescent="0.25">
      <c r="A81" s="584" t="s">
        <v>413</v>
      </c>
      <c r="B81" s="578"/>
      <c r="C81" s="112">
        <f>E30</f>
        <v>72.47</v>
      </c>
      <c r="D81" s="557" t="s">
        <v>418</v>
      </c>
      <c r="E81" s="557"/>
      <c r="F81" s="557"/>
      <c r="G81" s="557"/>
      <c r="H81" s="300">
        <f>'1461'!H81</f>
        <v>187328.76</v>
      </c>
      <c r="I81" s="113"/>
      <c r="N81" s="600" t="s">
        <v>419</v>
      </c>
      <c r="O81" s="601"/>
      <c r="P81" s="41">
        <f>P30</f>
        <v>72.47</v>
      </c>
      <c r="Q81" s="636" t="s">
        <v>420</v>
      </c>
      <c r="R81" s="637"/>
      <c r="S81" s="637"/>
      <c r="T81" s="604">
        <f>H81</f>
        <v>187328.76</v>
      </c>
      <c r="U81" s="604"/>
    </row>
    <row r="82" spans="1:21" x14ac:dyDescent="0.25">
      <c r="B82" s="69"/>
      <c r="G82" s="42" t="s">
        <v>12</v>
      </c>
      <c r="H82" s="114">
        <f>ROUND(C81/H81,6)</f>
        <v>3.8699999999999997E-4</v>
      </c>
      <c r="I82" s="115"/>
      <c r="N82" s="601"/>
      <c r="O82" s="601"/>
      <c r="P82" s="601"/>
      <c r="Q82" s="601"/>
      <c r="R82" s="601"/>
      <c r="S82" s="601"/>
      <c r="T82" s="605">
        <f>ROUND(P81/T81,6)</f>
        <v>3.8699999999999997E-4</v>
      </c>
      <c r="U82" s="605"/>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455</v>
      </c>
      <c r="D85" s="69"/>
      <c r="E85" s="43" t="s">
        <v>299</v>
      </c>
      <c r="F85" s="302">
        <f>'1461'!F85</f>
        <v>46163704</v>
      </c>
      <c r="G85" s="37" t="s">
        <v>6</v>
      </c>
      <c r="H85" s="422">
        <f>H79</f>
        <v>3.4499999999999998E-4</v>
      </c>
      <c r="I85" s="101">
        <f>ROUND(F85*H85,2)</f>
        <v>15926.48</v>
      </c>
      <c r="N85" s="453" t="s">
        <v>455</v>
      </c>
      <c r="O85" s="51"/>
      <c r="P85" s="51"/>
      <c r="Q85" s="44"/>
      <c r="R85" s="419">
        <f>F85</f>
        <v>46163704</v>
      </c>
      <c r="S85" s="38" t="s">
        <v>6</v>
      </c>
      <c r="T85" s="421">
        <f>T79</f>
        <v>3.4499999999999998E-4</v>
      </c>
      <c r="U85" s="473">
        <f>ROUND(R85*T85,2)</f>
        <v>15926.48</v>
      </c>
    </row>
    <row r="86" spans="1:21" x14ac:dyDescent="0.25">
      <c r="A86" s="399"/>
      <c r="D86" s="69"/>
      <c r="E86" s="43"/>
      <c r="F86" s="117"/>
      <c r="G86" s="37"/>
      <c r="H86" s="422"/>
      <c r="I86" s="101"/>
      <c r="N86" s="51"/>
      <c r="O86" s="51"/>
      <c r="P86" s="51"/>
      <c r="Q86" s="44"/>
      <c r="R86" s="420"/>
      <c r="S86" s="38"/>
      <c r="T86" s="421"/>
      <c r="U86" s="477"/>
    </row>
    <row r="87" spans="1:21" x14ac:dyDescent="0.25">
      <c r="A87" s="587" t="s">
        <v>71</v>
      </c>
      <c r="B87" s="578"/>
      <c r="C87" s="578"/>
      <c r="D87" s="69"/>
      <c r="E87" s="43"/>
      <c r="F87" s="117"/>
      <c r="G87" s="37"/>
      <c r="H87" s="422"/>
      <c r="I87" s="101"/>
      <c r="N87" s="600" t="s">
        <v>463</v>
      </c>
      <c r="O87" s="601"/>
      <c r="P87" s="601"/>
      <c r="Q87" s="51"/>
      <c r="R87" s="420"/>
      <c r="S87" s="51"/>
      <c r="T87" s="38"/>
      <c r="U87" s="478"/>
    </row>
    <row r="88" spans="1:21" x14ac:dyDescent="0.25">
      <c r="A88" s="587" t="s">
        <v>99</v>
      </c>
      <c r="B88" s="578"/>
      <c r="C88" s="578"/>
      <c r="D88" s="69"/>
      <c r="E88" s="43" t="s">
        <v>3</v>
      </c>
      <c r="F88" s="302">
        <f>'1461'!F88</f>
        <v>0</v>
      </c>
      <c r="G88" s="37" t="s">
        <v>6</v>
      </c>
      <c r="H88" s="422">
        <f>H70</f>
        <v>3.4499999999999998E-4</v>
      </c>
      <c r="I88" s="101">
        <f>ROUND(F88*H88,2)</f>
        <v>0</v>
      </c>
      <c r="N88" s="638" t="s">
        <v>99</v>
      </c>
      <c r="O88" s="601"/>
      <c r="P88" s="601"/>
      <c r="Q88" s="44"/>
      <c r="R88" s="419">
        <f>F88</f>
        <v>0</v>
      </c>
      <c r="S88" s="38" t="s">
        <v>6</v>
      </c>
      <c r="T88" s="421">
        <f>T70</f>
        <v>3.4499999999999998E-4</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456</v>
      </c>
      <c r="D90" s="69"/>
      <c r="E90" s="43" t="s">
        <v>421</v>
      </c>
      <c r="F90" s="302">
        <f>'1461'!F90</f>
        <v>19042026</v>
      </c>
      <c r="G90" s="37" t="s">
        <v>6</v>
      </c>
      <c r="H90" s="422">
        <f>H82</f>
        <v>3.8699999999999997E-4</v>
      </c>
      <c r="I90" s="101">
        <f>ROUND(F90*H90,2)</f>
        <v>7369.26</v>
      </c>
      <c r="N90" s="453" t="s">
        <v>456</v>
      </c>
      <c r="O90" s="51"/>
      <c r="P90" s="51"/>
      <c r="Q90" s="44"/>
      <c r="R90" s="419">
        <f>F90</f>
        <v>19042026</v>
      </c>
      <c r="S90" s="38" t="s">
        <v>6</v>
      </c>
      <c r="T90" s="421">
        <f>T82</f>
        <v>3.8699999999999997E-4</v>
      </c>
      <c r="U90" s="473">
        <f>ROUND(R90*T90,2)</f>
        <v>7369.26</v>
      </c>
    </row>
    <row r="91" spans="1:21" x14ac:dyDescent="0.25">
      <c r="A91" s="399"/>
      <c r="D91" s="69"/>
      <c r="E91" s="43"/>
      <c r="F91" s="117"/>
      <c r="G91" s="37"/>
      <c r="H91" s="422"/>
      <c r="I91" s="101"/>
      <c r="N91" s="407"/>
      <c r="O91" s="51"/>
      <c r="P91" s="51"/>
      <c r="Q91" s="44"/>
      <c r="R91" s="419"/>
      <c r="S91" s="38"/>
      <c r="T91" s="421"/>
      <c r="U91" s="473"/>
    </row>
    <row r="92" spans="1:21" x14ac:dyDescent="0.25">
      <c r="A92" s="451" t="s">
        <v>457</v>
      </c>
      <c r="D92" s="69"/>
      <c r="E92" s="43" t="s">
        <v>3</v>
      </c>
      <c r="F92" s="302">
        <f>'1461'!F92</f>
        <v>11441151</v>
      </c>
      <c r="G92" s="37" t="s">
        <v>6</v>
      </c>
      <c r="H92" s="422">
        <f>H76</f>
        <v>3.86E-4</v>
      </c>
      <c r="I92" s="101">
        <f t="shared" ref="I92:I96" si="14">ROUND(F92*H92,2)</f>
        <v>4416.28</v>
      </c>
      <c r="N92" s="453" t="s">
        <v>457</v>
      </c>
      <c r="O92" s="51"/>
      <c r="P92" s="51"/>
      <c r="Q92" s="44"/>
      <c r="R92" s="419">
        <f t="shared" ref="R92:R96" si="15">F92</f>
        <v>11441151</v>
      </c>
      <c r="S92" s="38" t="s">
        <v>6</v>
      </c>
      <c r="T92" s="421">
        <f>T76</f>
        <v>3.86E-4</v>
      </c>
      <c r="U92" s="473">
        <f>ROUND(R92*T92,2)</f>
        <v>4416.28</v>
      </c>
    </row>
    <row r="93" spans="1:21" x14ac:dyDescent="0.25">
      <c r="A93" s="81"/>
      <c r="D93" s="69"/>
      <c r="E93" s="43"/>
      <c r="F93" s="117"/>
      <c r="G93" s="37"/>
      <c r="H93" s="422"/>
      <c r="I93" s="101"/>
      <c r="N93" s="383"/>
      <c r="O93" s="51"/>
      <c r="P93" s="51"/>
      <c r="Q93" s="44"/>
      <c r="R93" s="420"/>
      <c r="S93" s="38"/>
      <c r="T93" s="421"/>
      <c r="U93" s="477"/>
    </row>
    <row r="94" spans="1:21" x14ac:dyDescent="0.25">
      <c r="A94" s="584" t="s">
        <v>422</v>
      </c>
      <c r="B94" s="578"/>
      <c r="C94" s="578"/>
      <c r="D94" s="69"/>
      <c r="E94" s="43" t="s">
        <v>4</v>
      </c>
      <c r="F94" s="302">
        <f>'1461'!F94</f>
        <v>247265670</v>
      </c>
      <c r="G94" s="37" t="s">
        <v>6</v>
      </c>
      <c r="H94" s="422">
        <f>H73</f>
        <v>3.0200000000000002E-4</v>
      </c>
      <c r="I94" s="101">
        <f t="shared" si="14"/>
        <v>74674.23</v>
      </c>
      <c r="N94" s="601" t="s">
        <v>422</v>
      </c>
      <c r="O94" s="601"/>
      <c r="P94" s="601"/>
      <c r="Q94" s="44"/>
      <c r="R94" s="419">
        <f t="shared" si="15"/>
        <v>247265670</v>
      </c>
      <c r="S94" s="38" t="s">
        <v>6</v>
      </c>
      <c r="T94" s="421">
        <f>T73</f>
        <v>3.0899999999999998E-4</v>
      </c>
      <c r="U94" s="473">
        <f>ROUND(R94*T94,2)</f>
        <v>76405.09</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4" t="s">
        <v>423</v>
      </c>
      <c r="B96" s="578"/>
      <c r="C96" s="578"/>
      <c r="D96" s="69"/>
      <c r="E96" s="43" t="s">
        <v>4</v>
      </c>
      <c r="F96" s="302">
        <f>'1461'!F96</f>
        <v>0</v>
      </c>
      <c r="G96" s="37" t="s">
        <v>6</v>
      </c>
      <c r="H96" s="422">
        <f>H73</f>
        <v>3.0200000000000002E-4</v>
      </c>
      <c r="I96" s="101">
        <f t="shared" si="14"/>
        <v>0</v>
      </c>
      <c r="N96" s="600" t="s">
        <v>423</v>
      </c>
      <c r="O96" s="601"/>
      <c r="P96" s="601"/>
      <c r="Q96" s="44"/>
      <c r="R96" s="419">
        <f t="shared" si="15"/>
        <v>0</v>
      </c>
      <c r="S96" s="38" t="s">
        <v>6</v>
      </c>
      <c r="T96" s="421">
        <f>T73</f>
        <v>3.0899999999999998E-4</v>
      </c>
      <c r="U96" s="473">
        <f>ROUND(R96*T96,2)</f>
        <v>0</v>
      </c>
    </row>
    <row r="97" spans="1:21" x14ac:dyDescent="0.25">
      <c r="A97" s="530"/>
      <c r="B97" s="529"/>
      <c r="C97" s="529"/>
      <c r="D97" s="529"/>
      <c r="E97" s="527"/>
      <c r="F97" s="117"/>
      <c r="G97" s="528"/>
      <c r="H97" s="422"/>
      <c r="I97" s="101"/>
      <c r="N97" s="533"/>
      <c r="O97" s="532"/>
      <c r="P97" s="532"/>
      <c r="Q97" s="44"/>
      <c r="R97" s="535"/>
      <c r="S97" s="534"/>
      <c r="T97" s="421"/>
      <c r="U97" s="477"/>
    </row>
    <row r="98" spans="1:21" x14ac:dyDescent="0.25">
      <c r="A98" s="530" t="s">
        <v>497</v>
      </c>
      <c r="B98" s="529"/>
      <c r="C98" s="529"/>
      <c r="D98" s="529"/>
      <c r="E98" s="527" t="s">
        <v>3</v>
      </c>
      <c r="F98" s="290">
        <v>0</v>
      </c>
      <c r="G98" s="528" t="s">
        <v>6</v>
      </c>
      <c r="H98" s="422">
        <f>H70</f>
        <v>3.4499999999999998E-4</v>
      </c>
      <c r="I98" s="101">
        <f t="shared" ref="I98" si="16">ROUND(F98*H98,2)</f>
        <v>0</v>
      </c>
      <c r="N98" s="533" t="s">
        <v>497</v>
      </c>
      <c r="O98" s="533"/>
      <c r="P98" s="533"/>
      <c r="Q98" s="44"/>
      <c r="R98" s="536">
        <f>F98</f>
        <v>0</v>
      </c>
      <c r="S98" s="534" t="s">
        <v>6</v>
      </c>
      <c r="T98" s="421">
        <f>T70</f>
        <v>3.4499999999999998E-4</v>
      </c>
      <c r="U98" s="473">
        <f>ROUND(R98*T98,2)</f>
        <v>0</v>
      </c>
    </row>
    <row r="99" spans="1:21" x14ac:dyDescent="0.25">
      <c r="A99" s="530"/>
      <c r="B99" s="529"/>
      <c r="C99" s="529"/>
      <c r="D99" s="529"/>
      <c r="E99" s="527"/>
      <c r="F99" s="276"/>
      <c r="G99" s="528"/>
      <c r="H99" s="422"/>
      <c r="I99" s="101"/>
      <c r="N99" s="533"/>
      <c r="O99" s="533"/>
      <c r="P99" s="533"/>
      <c r="Q99" s="44"/>
      <c r="R99" s="535"/>
      <c r="S99" s="534"/>
      <c r="T99" s="421"/>
      <c r="U99" s="477"/>
    </row>
    <row r="100" spans="1:21" x14ac:dyDescent="0.25">
      <c r="A100" s="530"/>
      <c r="B100" s="529"/>
      <c r="C100" s="529"/>
      <c r="D100" s="529"/>
      <c r="E100" s="527"/>
      <c r="F100" s="276"/>
      <c r="G100" s="528"/>
      <c r="H100" s="422"/>
      <c r="I100" s="101"/>
      <c r="N100" s="533"/>
      <c r="O100" s="533"/>
      <c r="P100" s="533"/>
      <c r="Q100" s="44"/>
      <c r="R100" s="420"/>
      <c r="S100" s="534"/>
      <c r="T100" s="421"/>
      <c r="U100" s="103"/>
    </row>
    <row r="101" spans="1:21" x14ac:dyDescent="0.25">
      <c r="A101" s="399" t="s">
        <v>498</v>
      </c>
      <c r="N101" s="407" t="s">
        <v>498</v>
      </c>
      <c r="O101" s="51"/>
      <c r="P101" s="51"/>
      <c r="Q101" s="51"/>
      <c r="R101" s="51"/>
      <c r="S101" s="51"/>
      <c r="T101" s="51"/>
      <c r="U101" s="51"/>
    </row>
    <row r="102" spans="1:21" x14ac:dyDescent="0.25">
      <c r="B102" s="69"/>
      <c r="C102" s="563" t="s">
        <v>60</v>
      </c>
      <c r="D102" s="563"/>
      <c r="E102" s="69"/>
      <c r="F102" s="39" t="s">
        <v>28</v>
      </c>
      <c r="G102" s="69"/>
      <c r="H102" s="69"/>
      <c r="I102" s="69"/>
      <c r="N102" s="45"/>
      <c r="O102" s="45"/>
      <c r="P102" s="45"/>
      <c r="Q102" s="45"/>
      <c r="R102" s="45"/>
      <c r="S102" s="45"/>
      <c r="T102" s="45"/>
      <c r="U102" s="45"/>
    </row>
    <row r="103" spans="1:21" x14ac:dyDescent="0.25">
      <c r="A103" s="3"/>
      <c r="B103" s="118"/>
      <c r="C103" s="564" t="s">
        <v>101</v>
      </c>
      <c r="D103" s="564"/>
      <c r="E103" s="423" t="s">
        <v>426</v>
      </c>
      <c r="F103" s="120" t="s">
        <v>106</v>
      </c>
      <c r="G103" s="121"/>
      <c r="H103" s="121"/>
      <c r="I103" s="121"/>
      <c r="N103" s="631" t="s">
        <v>35</v>
      </c>
      <c r="O103" s="631"/>
      <c r="P103" s="672" t="s">
        <v>428</v>
      </c>
      <c r="Q103" s="633"/>
      <c r="R103" s="604" t="s">
        <v>31</v>
      </c>
      <c r="S103" s="604"/>
      <c r="T103" s="604"/>
      <c r="U103" s="604"/>
    </row>
    <row r="104" spans="1:21" x14ac:dyDescent="0.25">
      <c r="A104" s="26"/>
      <c r="B104" s="52" t="s">
        <v>105</v>
      </c>
      <c r="C104" s="596">
        <f>H14+H15+H20+H23+H26</f>
        <v>0</v>
      </c>
      <c r="D104" s="596"/>
      <c r="E104" s="46">
        <f>H8</f>
        <v>1.0407999999999999</v>
      </c>
      <c r="F104" s="303">
        <f>'1461'!F104</f>
        <v>950.92</v>
      </c>
      <c r="G104" s="39" t="s">
        <v>12</v>
      </c>
      <c r="H104" s="101">
        <f>ROUND(C104*E104*F104,2)</f>
        <v>0</v>
      </c>
      <c r="I104" s="104"/>
      <c r="N104" s="28" t="s">
        <v>17</v>
      </c>
      <c r="O104" s="47">
        <f>T14+T15+T20+T23+T26</f>
        <v>0</v>
      </c>
      <c r="P104" s="611">
        <f>T8</f>
        <v>1.0407999999999999</v>
      </c>
      <c r="Q104" s="611"/>
      <c r="R104" s="48">
        <f>F104</f>
        <v>950.92</v>
      </c>
      <c r="S104" s="40" t="s">
        <v>12</v>
      </c>
      <c r="T104" s="479">
        <f>ROUND(O104*P104*R104,2)</f>
        <v>0</v>
      </c>
      <c r="U104" s="102"/>
    </row>
    <row r="105" spans="1:21" x14ac:dyDescent="0.25">
      <c r="A105" s="49"/>
      <c r="B105" s="49" t="s">
        <v>104</v>
      </c>
      <c r="C105" s="596">
        <f>H16+H17+H21+H24+H27</f>
        <v>0</v>
      </c>
      <c r="D105" s="596"/>
      <c r="E105" s="46">
        <f>H8</f>
        <v>1.0407999999999999</v>
      </c>
      <c r="F105" s="303">
        <f>'1461'!F105</f>
        <v>907.92</v>
      </c>
      <c r="G105" s="39" t="s">
        <v>12</v>
      </c>
      <c r="H105" s="101">
        <f>ROUND(C105*E105*F105,2)</f>
        <v>0</v>
      </c>
      <c r="N105" s="50" t="s">
        <v>13</v>
      </c>
      <c r="O105" s="47">
        <f>T16+T17+T21+T24+T27</f>
        <v>0</v>
      </c>
      <c r="P105" s="611">
        <f>T8</f>
        <v>1.0407999999999999</v>
      </c>
      <c r="Q105" s="611"/>
      <c r="R105" s="48">
        <f>F105</f>
        <v>907.92</v>
      </c>
      <c r="S105" s="40" t="s">
        <v>12</v>
      </c>
      <c r="T105" s="479">
        <f>ROUND(O105*P105*R105,2)</f>
        <v>0</v>
      </c>
      <c r="U105" s="51"/>
    </row>
    <row r="106" spans="1:21" ht="16.5" thickBot="1" x14ac:dyDescent="0.3">
      <c r="A106" s="52"/>
      <c r="B106" s="52" t="s">
        <v>103</v>
      </c>
      <c r="C106" s="596">
        <f>H18+H19+H22+H25+H28+H29</f>
        <v>70.875699999999995</v>
      </c>
      <c r="D106" s="596"/>
      <c r="E106" s="46">
        <f>H8</f>
        <v>1.0407999999999999</v>
      </c>
      <c r="F106" s="303">
        <f>'1461'!F106</f>
        <v>910.12</v>
      </c>
      <c r="G106" s="39" t="s">
        <v>12</v>
      </c>
      <c r="H106" s="94">
        <f>ROUND(C106*E106*F106,2)</f>
        <v>67137.210000000006</v>
      </c>
      <c r="N106" s="53" t="s">
        <v>14</v>
      </c>
      <c r="O106" s="54">
        <f>T18+T19+T22+T25+T28+T29</f>
        <v>72.47</v>
      </c>
      <c r="P106" s="611">
        <f>T8</f>
        <v>1.0407999999999999</v>
      </c>
      <c r="Q106" s="611"/>
      <c r="R106" s="48">
        <f>F106</f>
        <v>910.12</v>
      </c>
      <c r="S106" s="40" t="s">
        <v>12</v>
      </c>
      <c r="T106" s="479">
        <f>ROUND(O106*P106*R106,2)</f>
        <v>68647.42</v>
      </c>
      <c r="U106" s="51"/>
    </row>
    <row r="107" spans="1:21" ht="16.5" thickBot="1" x14ac:dyDescent="0.3">
      <c r="A107" s="55"/>
      <c r="B107" s="122" t="s">
        <v>102</v>
      </c>
      <c r="C107" s="586">
        <f>SUM(C104:C106)</f>
        <v>70.875699999999995</v>
      </c>
      <c r="D107" s="586"/>
      <c r="E107" s="123"/>
      <c r="F107" s="123"/>
      <c r="G107" s="123"/>
      <c r="H107" s="124" t="s">
        <v>100</v>
      </c>
      <c r="I107" s="101">
        <f>IF(A1=75,0,H106+H105+H104)</f>
        <v>67137.210000000006</v>
      </c>
      <c r="N107" s="56" t="s">
        <v>89</v>
      </c>
      <c r="O107" s="57">
        <f>SUM(O104:O106)</f>
        <v>72.47</v>
      </c>
      <c r="P107" s="612" t="s">
        <v>16</v>
      </c>
      <c r="Q107" s="613"/>
      <c r="R107" s="613"/>
      <c r="S107" s="613"/>
      <c r="T107" s="613"/>
      <c r="U107" s="473">
        <f>IF(N1=75,0,T106+T105+T104)</f>
        <v>68647.42</v>
      </c>
    </row>
    <row r="108" spans="1:21" ht="16.5" thickTop="1" x14ac:dyDescent="0.25">
      <c r="A108" s="555" t="s">
        <v>65</v>
      </c>
      <c r="B108" s="555"/>
      <c r="C108" s="555"/>
      <c r="D108" s="555"/>
      <c r="E108" s="555"/>
      <c r="F108" s="555"/>
      <c r="G108" s="555"/>
      <c r="H108" s="555"/>
      <c r="I108" s="555"/>
      <c r="N108" s="614" t="s">
        <v>65</v>
      </c>
      <c r="O108" s="614"/>
      <c r="P108" s="614"/>
      <c r="Q108" s="614"/>
      <c r="R108" s="614"/>
      <c r="S108" s="614"/>
      <c r="T108" s="614"/>
      <c r="U108" s="614"/>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0" t="s">
        <v>499</v>
      </c>
      <c r="C110" s="43"/>
      <c r="D110" s="69"/>
      <c r="E110" s="43" t="s">
        <v>32</v>
      </c>
      <c r="F110" s="556"/>
      <c r="G110" s="556"/>
      <c r="H110" s="556"/>
      <c r="I110" s="556"/>
      <c r="N110" s="600" t="s">
        <v>499</v>
      </c>
      <c r="O110" s="601"/>
      <c r="P110" s="601"/>
      <c r="Q110" s="615"/>
      <c r="R110" s="615"/>
      <c r="S110" s="615"/>
      <c r="T110" s="615"/>
      <c r="U110" s="103"/>
    </row>
    <row r="111" spans="1:21" x14ac:dyDescent="0.25">
      <c r="B111" s="69"/>
      <c r="C111" s="88" t="s">
        <v>494</v>
      </c>
      <c r="D111" s="333" t="s">
        <v>495</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57" t="s">
        <v>381</v>
      </c>
      <c r="B113" s="558"/>
      <c r="C113" s="143">
        <v>70</v>
      </c>
      <c r="D113" s="143">
        <v>69</v>
      </c>
      <c r="E113" s="116">
        <f>(C113+D113)/2</f>
        <v>69.5</v>
      </c>
      <c r="F113" s="126" t="s">
        <v>30</v>
      </c>
      <c r="G113" s="304">
        <f>'1461'!G113</f>
        <v>576</v>
      </c>
      <c r="I113" s="101">
        <f>ROUND(G113*E113,2)</f>
        <v>40032</v>
      </c>
      <c r="N113" s="630" t="s">
        <v>52</v>
      </c>
      <c r="O113" s="630"/>
      <c r="P113" s="610">
        <f>IF(H133=1,E113,0)</f>
        <v>69.5</v>
      </c>
      <c r="Q113" s="610"/>
      <c r="R113" s="610"/>
      <c r="S113" s="83" t="s">
        <v>30</v>
      </c>
      <c r="T113" s="58">
        <f>G113</f>
        <v>576</v>
      </c>
      <c r="U113" s="473">
        <f>ROUND(T113*P113,2)</f>
        <v>40032</v>
      </c>
    </row>
    <row r="114" spans="1:21" x14ac:dyDescent="0.25">
      <c r="A114" s="557" t="s">
        <v>382</v>
      </c>
      <c r="B114" s="558"/>
      <c r="C114" s="143">
        <v>0</v>
      </c>
      <c r="D114" s="143">
        <v>0</v>
      </c>
      <c r="E114" s="116">
        <f>(C114+D114)/2</f>
        <v>0</v>
      </c>
      <c r="F114" s="126" t="s">
        <v>30</v>
      </c>
      <c r="G114" s="304">
        <f>'1461'!G114</f>
        <v>1823</v>
      </c>
      <c r="I114" s="101">
        <f>ROUND(G114*E114,2)</f>
        <v>0</v>
      </c>
      <c r="N114" s="630" t="s">
        <v>64</v>
      </c>
      <c r="O114" s="630"/>
      <c r="P114" s="608"/>
      <c r="Q114" s="608"/>
      <c r="R114" s="608"/>
      <c r="S114" s="83" t="s">
        <v>30</v>
      </c>
      <c r="T114" s="58">
        <f>G114</f>
        <v>1823</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4" t="s">
        <v>430</v>
      </c>
      <c r="B117" s="578"/>
      <c r="C117" s="578"/>
      <c r="D117" s="69"/>
      <c r="E117" s="39" t="s">
        <v>300</v>
      </c>
      <c r="F117" s="563"/>
      <c r="G117" s="563"/>
      <c r="H117" s="563"/>
      <c r="I117" s="563"/>
      <c r="N117" s="600" t="s">
        <v>431</v>
      </c>
      <c r="O117" s="601"/>
      <c r="P117" s="601"/>
      <c r="Q117" s="601"/>
      <c r="R117" s="601"/>
      <c r="S117" s="601"/>
      <c r="T117" s="601"/>
      <c r="U117" s="601"/>
    </row>
    <row r="118" spans="1:21" hidden="1" x14ac:dyDescent="0.25">
      <c r="B118" s="69"/>
      <c r="C118" s="564" t="s">
        <v>66</v>
      </c>
      <c r="D118" s="564"/>
      <c r="E118" s="564"/>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5" t="s">
        <v>109</v>
      </c>
      <c r="G119" s="563"/>
      <c r="H119" s="37" t="s">
        <v>29</v>
      </c>
      <c r="I119" s="37"/>
      <c r="N119" s="45"/>
      <c r="O119" s="45"/>
      <c r="P119" s="45"/>
      <c r="Q119" s="45"/>
      <c r="R119" s="45"/>
      <c r="S119" s="45"/>
      <c r="T119" s="45"/>
      <c r="U119" s="45"/>
    </row>
    <row r="120" spans="1:21" hidden="1" x14ac:dyDescent="0.25">
      <c r="A120" s="564" t="s">
        <v>69</v>
      </c>
      <c r="B120" s="564"/>
      <c r="C120" s="90" t="s">
        <v>2</v>
      </c>
      <c r="D120" s="90" t="s">
        <v>2</v>
      </c>
      <c r="E120" s="59" t="s">
        <v>2</v>
      </c>
      <c r="F120" s="564" t="s">
        <v>28</v>
      </c>
      <c r="G120" s="564"/>
      <c r="H120" s="59" t="s">
        <v>28</v>
      </c>
      <c r="I120" s="59" t="s">
        <v>8</v>
      </c>
      <c r="N120" s="609" t="s">
        <v>53</v>
      </c>
      <c r="O120" s="609"/>
      <c r="P120" s="610" t="s">
        <v>66</v>
      </c>
      <c r="Q120" s="610"/>
      <c r="R120" s="609" t="s">
        <v>54</v>
      </c>
      <c r="S120" s="609"/>
      <c r="T120" s="60" t="s">
        <v>55</v>
      </c>
      <c r="U120" s="60" t="s">
        <v>8</v>
      </c>
    </row>
    <row r="121" spans="1:21" hidden="1" x14ac:dyDescent="0.25">
      <c r="A121" s="561" t="s">
        <v>56</v>
      </c>
      <c r="B121" s="561"/>
      <c r="C121" s="141">
        <v>0</v>
      </c>
      <c r="D121" s="141">
        <v>0</v>
      </c>
      <c r="E121" s="187">
        <f>IF(D30=0,C121*2,C121+D121)</f>
        <v>0</v>
      </c>
      <c r="F121" s="562">
        <v>0</v>
      </c>
      <c r="G121" s="562"/>
      <c r="H121" s="224">
        <f>IF(C121=0,0,125)</f>
        <v>0</v>
      </c>
      <c r="I121" s="101">
        <f>ROUND((H121+F121)*E121,2)</f>
        <v>0</v>
      </c>
      <c r="N121" s="601" t="s">
        <v>56</v>
      </c>
      <c r="O121" s="601"/>
      <c r="P121" s="608">
        <f>IF(H$133=1,C121,0)</f>
        <v>0</v>
      </c>
      <c r="Q121" s="608"/>
      <c r="R121" s="628">
        <f>F121</f>
        <v>0</v>
      </c>
      <c r="S121" s="628"/>
      <c r="T121" s="62">
        <f>H121</f>
        <v>0</v>
      </c>
      <c r="U121" s="96">
        <f>ROUND((T121+R121)*P121,0)</f>
        <v>0</v>
      </c>
    </row>
    <row r="122" spans="1:21" hidden="1" x14ac:dyDescent="0.25">
      <c r="A122" s="581" t="s">
        <v>57</v>
      </c>
      <c r="B122" s="581"/>
      <c r="C122" s="143">
        <v>0</v>
      </c>
      <c r="D122" s="143">
        <v>0</v>
      </c>
      <c r="E122" s="116">
        <f>IF(D31=0,C122*2,C122+D122)</f>
        <v>0</v>
      </c>
      <c r="F122" s="598">
        <f>ROUND(F121/2,2)</f>
        <v>0</v>
      </c>
      <c r="G122" s="598"/>
      <c r="H122" s="224">
        <f>IF(C122=0,0,62.5)</f>
        <v>0</v>
      </c>
      <c r="I122" s="101">
        <f>ROUND((H122+F122)*E122,2)</f>
        <v>0</v>
      </c>
      <c r="N122" s="601" t="s">
        <v>57</v>
      </c>
      <c r="O122" s="601"/>
      <c r="P122" s="608">
        <f>IF(H$133=1,C122,0)</f>
        <v>0</v>
      </c>
      <c r="Q122" s="608"/>
      <c r="R122" s="629">
        <f>ROUND(R121/2,2)</f>
        <v>0</v>
      </c>
      <c r="S122" s="629"/>
      <c r="T122" s="62">
        <f>H122</f>
        <v>0</v>
      </c>
      <c r="U122" s="96">
        <f>ROUND((T122+R122)*P122,0)</f>
        <v>0</v>
      </c>
    </row>
    <row r="123" spans="1:21" ht="16.5" hidden="1" thickBot="1" x14ac:dyDescent="0.3">
      <c r="A123" s="581" t="s">
        <v>58</v>
      </c>
      <c r="B123" s="581"/>
      <c r="C123" s="143">
        <v>0</v>
      </c>
      <c r="D123" s="143">
        <v>0</v>
      </c>
      <c r="E123" s="116">
        <f>IF(D32=0,C123*2,C123+D123)</f>
        <v>0</v>
      </c>
      <c r="F123" s="599"/>
      <c r="G123" s="599"/>
      <c r="H123" s="225">
        <f>IF(H121&gt;0,436,0)</f>
        <v>0</v>
      </c>
      <c r="I123" s="101">
        <f>ROUND(H123*E123,2)</f>
        <v>0</v>
      </c>
      <c r="N123" s="616" t="s">
        <v>58</v>
      </c>
      <c r="O123" s="616"/>
      <c r="P123" s="608">
        <f>IF(H$133=1,C123,0)</f>
        <v>0</v>
      </c>
      <c r="Q123" s="608"/>
      <c r="R123" s="609"/>
      <c r="S123" s="609"/>
      <c r="T123" s="64">
        <f>H123</f>
        <v>0</v>
      </c>
      <c r="U123" s="103">
        <f>ROUND(T123*P123,0)</f>
        <v>0</v>
      </c>
    </row>
    <row r="124" spans="1:21" ht="16.5" hidden="1" thickBot="1" x14ac:dyDescent="0.3">
      <c r="A124" s="563" t="s">
        <v>8</v>
      </c>
      <c r="B124" s="563"/>
      <c r="C124" s="65"/>
      <c r="D124" s="65"/>
      <c r="E124" s="65"/>
      <c r="F124" s="65"/>
      <c r="G124" s="65"/>
      <c r="H124" s="65"/>
      <c r="I124" s="97">
        <f>SUM(I121:I123)</f>
        <v>0</v>
      </c>
      <c r="N124" s="627" t="s">
        <v>8</v>
      </c>
      <c r="O124" s="627"/>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4" t="s">
        <v>432</v>
      </c>
      <c r="B126" s="578"/>
      <c r="C126" s="578"/>
      <c r="D126" s="69"/>
      <c r="E126" s="68" t="s">
        <v>34</v>
      </c>
      <c r="F126" s="597"/>
      <c r="G126" s="597"/>
      <c r="H126" s="597"/>
      <c r="I126" s="154">
        <v>0</v>
      </c>
      <c r="N126" s="600" t="s">
        <v>432</v>
      </c>
      <c r="O126" s="601"/>
      <c r="P126" s="601"/>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90" t="s">
        <v>8</v>
      </c>
      <c r="B128" s="590"/>
      <c r="C128" s="590"/>
      <c r="D128" s="590"/>
      <c r="E128" s="590"/>
      <c r="F128" s="590"/>
      <c r="G128" s="590"/>
      <c r="H128" s="590"/>
      <c r="I128" s="94">
        <f>SUM(I46,I66,I85,I88,I90,I92,I94,I96,I107,I113,I114,I124,I126)</f>
        <v>1055323.96</v>
      </c>
      <c r="N128" s="453"/>
      <c r="O128" s="452"/>
      <c r="P128" s="452"/>
      <c r="Q128" s="306"/>
      <c r="R128" s="306"/>
      <c r="S128" s="306"/>
      <c r="T128" s="306"/>
      <c r="U128" s="480">
        <f>SUM(U30,U85,U88,U90,U92,U94,U96,U107,U113,U114,U124,U126)</f>
        <v>614895.16</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434</v>
      </c>
      <c r="B130" s="26"/>
      <c r="C130" s="26"/>
      <c r="D130" s="26"/>
      <c r="E130" s="26"/>
      <c r="F130" s="26"/>
      <c r="G130" s="26"/>
      <c r="H130" s="26"/>
      <c r="I130" s="101">
        <f>I128-I53</f>
        <v>1032004.08</v>
      </c>
      <c r="N130" s="601" t="s">
        <v>434</v>
      </c>
      <c r="O130" s="601"/>
      <c r="P130" s="601"/>
      <c r="Q130" s="601"/>
      <c r="R130" s="601"/>
      <c r="S130" s="601"/>
      <c r="T130" s="601"/>
      <c r="U130" s="132">
        <f>U128-U53</f>
        <v>591050.71000000008</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4" t="s">
        <v>502</v>
      </c>
      <c r="B132" s="578"/>
      <c r="C132" s="578"/>
      <c r="D132" s="578"/>
      <c r="E132" s="578"/>
      <c r="F132" s="578"/>
      <c r="G132" s="578"/>
      <c r="H132" s="81" t="s">
        <v>333</v>
      </c>
      <c r="I132" s="134"/>
      <c r="N132" s="600" t="s">
        <v>502</v>
      </c>
      <c r="O132" s="601"/>
      <c r="P132" s="601"/>
      <c r="Q132" s="601"/>
      <c r="R132" s="601"/>
      <c r="S132" s="601"/>
      <c r="T132" s="601"/>
      <c r="U132" s="138"/>
    </row>
    <row r="133" spans="1:21" x14ac:dyDescent="0.25">
      <c r="A133" s="578" t="s">
        <v>70</v>
      </c>
      <c r="B133" s="578"/>
      <c r="C133" s="578"/>
      <c r="D133" s="578"/>
      <c r="E133" s="578"/>
      <c r="F133" s="578"/>
      <c r="G133" s="578"/>
      <c r="H133" s="70">
        <f>IF(E30=0,"",IF((E15+E17+SUM(E19:E25))/E30&gt;0.75,1,""))</f>
        <v>1</v>
      </c>
      <c r="I133" s="116">
        <f>U130</f>
        <v>591050.71000000008</v>
      </c>
      <c r="N133" s="601" t="s">
        <v>70</v>
      </c>
      <c r="O133" s="601"/>
      <c r="P133" s="601"/>
      <c r="Q133" s="601"/>
      <c r="R133" s="601"/>
      <c r="S133" s="601"/>
      <c r="T133" s="601"/>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591050.71000000008</v>
      </c>
      <c r="I135" s="94">
        <f>ROUND(IF(E30=0,0,IF(E30&gt;250,-(((250/E30)*H135)*IF(G135="H",0.02,0.05)),IF(G135="H",-0.02*H135,-0.05*H135))),2)</f>
        <v>-29552.54</v>
      </c>
      <c r="N135" s="626"/>
      <c r="O135" s="626"/>
      <c r="P135" s="626"/>
      <c r="Q135" s="626"/>
      <c r="R135" s="626"/>
      <c r="S135" s="626"/>
      <c r="T135" s="626"/>
      <c r="U135" s="626"/>
    </row>
    <row r="136" spans="1:21" x14ac:dyDescent="0.25">
      <c r="B136" s="69"/>
      <c r="C136" s="69"/>
      <c r="D136" s="69"/>
      <c r="E136" s="69"/>
      <c r="F136" s="69"/>
      <c r="G136" s="69"/>
      <c r="H136" s="65"/>
      <c r="I136" s="101"/>
      <c r="N136" s="624" t="s">
        <v>7</v>
      </c>
      <c r="O136" s="624"/>
      <c r="P136" s="624"/>
      <c r="Q136" s="624"/>
      <c r="R136" s="624"/>
      <c r="S136" s="624"/>
      <c r="T136" s="624"/>
      <c r="U136" s="624"/>
    </row>
    <row r="137" spans="1:21" x14ac:dyDescent="0.25">
      <c r="A137" s="309" t="s">
        <v>74</v>
      </c>
      <c r="B137" s="310"/>
      <c r="C137" s="310"/>
      <c r="D137" s="310"/>
      <c r="E137" s="310"/>
      <c r="F137" s="310"/>
      <c r="G137" s="310"/>
      <c r="H137" s="311"/>
      <c r="I137" s="312">
        <f>I128+I135</f>
        <v>1025771.4199999999</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Payments'!Q77</f>
        <v>0</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1025771.4199999999</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85480.95</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372</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373</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374</v>
      </c>
      <c r="B155" s="252"/>
      <c r="C155" s="252"/>
      <c r="D155" s="252"/>
      <c r="E155" s="252"/>
      <c r="F155" s="252"/>
      <c r="G155" s="252"/>
      <c r="H155" s="252"/>
      <c r="I155" s="252"/>
      <c r="N155" s="625"/>
      <c r="O155" s="625"/>
      <c r="P155" s="625"/>
      <c r="Q155" s="625"/>
      <c r="R155" s="625"/>
      <c r="S155" s="625"/>
      <c r="T155" s="625"/>
      <c r="U155" s="625"/>
    </row>
    <row r="156" spans="1:21" s="76" customFormat="1" x14ac:dyDescent="0.2">
      <c r="A156" s="320" t="s">
        <v>375</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376</v>
      </c>
      <c r="B157" s="252"/>
      <c r="C157" s="252"/>
      <c r="D157" s="252"/>
      <c r="E157" s="252"/>
      <c r="F157" s="252"/>
      <c r="G157" s="252"/>
      <c r="H157" s="252"/>
      <c r="I157" s="252"/>
      <c r="N157" s="78"/>
      <c r="O157" s="79"/>
      <c r="P157" s="79"/>
      <c r="Q157" s="79"/>
      <c r="R157" s="79"/>
      <c r="S157" s="79"/>
      <c r="T157" s="79"/>
      <c r="U157" s="79"/>
    </row>
    <row r="158" spans="1:21" s="76" customFormat="1" x14ac:dyDescent="0.2">
      <c r="A158" s="320" t="s">
        <v>377</v>
      </c>
      <c r="B158" s="252"/>
      <c r="C158" s="252"/>
      <c r="D158" s="252"/>
      <c r="E158" s="252"/>
      <c r="F158" s="252"/>
      <c r="G158" s="252"/>
      <c r="H158" s="252"/>
      <c r="I158" s="252"/>
      <c r="N158" s="78"/>
    </row>
    <row r="159" spans="1:21" s="76" customFormat="1" x14ac:dyDescent="0.2">
      <c r="A159" s="320" t="s">
        <v>379</v>
      </c>
      <c r="B159" s="252"/>
      <c r="C159" s="252"/>
      <c r="D159" s="252"/>
      <c r="E159" s="252"/>
      <c r="F159" s="252"/>
      <c r="G159" s="252"/>
      <c r="H159" s="252"/>
      <c r="I159" s="252"/>
      <c r="N159" s="78"/>
    </row>
    <row r="160" spans="1:21" s="76" customFormat="1" x14ac:dyDescent="0.2">
      <c r="A160" s="385" t="s">
        <v>378</v>
      </c>
      <c r="B160" s="252"/>
      <c r="C160" s="252"/>
      <c r="D160" s="252"/>
      <c r="E160" s="252"/>
      <c r="F160" s="252"/>
      <c r="G160" s="252"/>
      <c r="H160" s="252"/>
      <c r="I160" s="252"/>
      <c r="N160" s="78"/>
    </row>
    <row r="161" spans="1:14" s="76" customFormat="1" x14ac:dyDescent="0.2">
      <c r="A161" s="320" t="s">
        <v>380</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383</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385</v>
      </c>
      <c r="B165" s="293"/>
      <c r="C165" s="293"/>
      <c r="D165" s="293"/>
      <c r="E165" s="293"/>
      <c r="F165" s="293"/>
      <c r="G165" s="293"/>
      <c r="H165" s="293"/>
      <c r="I165" s="293"/>
      <c r="N165" s="78"/>
    </row>
    <row r="166" spans="1:14" s="76" customFormat="1" ht="15.75" customHeight="1" x14ac:dyDescent="0.2">
      <c r="A166" s="351" t="s">
        <v>384</v>
      </c>
      <c r="B166" s="293"/>
      <c r="C166" s="293"/>
      <c r="D166" s="293"/>
      <c r="E166" s="293"/>
      <c r="F166" s="293"/>
      <c r="G166" s="293"/>
      <c r="H166" s="293"/>
      <c r="I166" s="293"/>
      <c r="N166" s="78"/>
    </row>
    <row r="167" spans="1:14" s="76" customFormat="1" ht="15.75" customHeight="1" x14ac:dyDescent="0.2">
      <c r="A167" s="320" t="s">
        <v>386</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388</v>
      </c>
      <c r="B169" s="343"/>
      <c r="C169" s="343"/>
      <c r="D169" s="343"/>
      <c r="E169" s="343"/>
      <c r="F169" s="343"/>
      <c r="G169" s="343"/>
      <c r="H169" s="343"/>
      <c r="I169" s="343"/>
      <c r="N169" s="78"/>
    </row>
    <row r="170" spans="1:14" s="76" customFormat="1" ht="15.75" customHeight="1" x14ac:dyDescent="0.2">
      <c r="A170" s="351" t="s">
        <v>387</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389</v>
      </c>
      <c r="B175" s="293"/>
      <c r="C175" s="293"/>
      <c r="D175" s="293"/>
      <c r="E175" s="293"/>
      <c r="F175" s="293"/>
      <c r="G175" s="293"/>
      <c r="H175" s="293"/>
      <c r="I175" s="293"/>
      <c r="J175" s="3"/>
      <c r="K175" s="3"/>
      <c r="L175" s="3"/>
      <c r="M175" s="3"/>
      <c r="N175" s="78"/>
    </row>
    <row r="176" spans="1:14" s="76" customFormat="1" ht="15.75" customHeight="1" x14ac:dyDescent="0.2">
      <c r="A176" s="361" t="s">
        <v>390</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6" t="s">
        <v>15</v>
      </c>
      <c r="C1" s="567"/>
      <c r="D1" s="567"/>
      <c r="E1" s="567"/>
      <c r="F1" s="567"/>
      <c r="G1" s="567"/>
      <c r="H1" s="567"/>
      <c r="I1" s="567"/>
      <c r="J1" s="135"/>
      <c r="K1" s="135"/>
      <c r="L1" s="135"/>
      <c r="N1" s="82">
        <f>A1</f>
        <v>0</v>
      </c>
      <c r="O1" s="658" t="s">
        <v>15</v>
      </c>
      <c r="P1" s="659"/>
      <c r="Q1" s="659"/>
      <c r="R1" s="659"/>
      <c r="S1" s="659"/>
      <c r="T1" s="659"/>
      <c r="U1" s="659"/>
    </row>
    <row r="2" spans="1:21" ht="21" x14ac:dyDescent="0.35">
      <c r="A2" s="1" t="s">
        <v>116</v>
      </c>
      <c r="B2" s="2"/>
      <c r="C2" s="2"/>
      <c r="D2" s="2"/>
      <c r="E2" s="2"/>
      <c r="F2" s="2"/>
      <c r="G2" s="2"/>
      <c r="H2" s="2"/>
      <c r="I2" s="2"/>
      <c r="N2" s="660" t="s">
        <v>18</v>
      </c>
      <c r="O2" s="660"/>
      <c r="P2" s="660"/>
      <c r="Q2" s="660"/>
      <c r="R2" s="660"/>
      <c r="S2" s="660"/>
      <c r="T2" s="660"/>
      <c r="U2" s="660"/>
    </row>
    <row r="3" spans="1:21" x14ac:dyDescent="0.25">
      <c r="A3" s="81" t="str">
        <f>'1461'!A3</f>
        <v>Based on the FLDOE 2024-25 Conference Calculation</v>
      </c>
      <c r="N3" s="627" t="str">
        <f>A3</f>
        <v>Based on the FLDOE 2024-25 Conference Calculation</v>
      </c>
      <c r="O3" s="627"/>
      <c r="P3" s="627"/>
      <c r="Q3" s="627"/>
      <c r="R3" s="627"/>
      <c r="S3" s="627"/>
      <c r="T3" s="627"/>
      <c r="U3" s="627"/>
    </row>
    <row r="4" spans="1:21" x14ac:dyDescent="0.25">
      <c r="A4" s="568" t="s">
        <v>0</v>
      </c>
      <c r="B4" s="568"/>
      <c r="C4" s="569" t="s">
        <v>9</v>
      </c>
      <c r="D4" s="569"/>
      <c r="E4" s="569"/>
      <c r="F4" s="4" t="str">
        <f>'1461'!F4</f>
        <v>July 2024</v>
      </c>
      <c r="G4" s="4"/>
      <c r="H4" s="4"/>
      <c r="I4" s="4"/>
      <c r="N4" s="661" t="s">
        <v>0</v>
      </c>
      <c r="O4" s="661"/>
      <c r="P4" s="662" t="str">
        <f>C4</f>
        <v>Palm Beach</v>
      </c>
      <c r="Q4" s="662"/>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70" t="s">
        <v>433</v>
      </c>
      <c r="B7" s="664"/>
      <c r="C7" s="664"/>
      <c r="D7" s="664"/>
      <c r="E7" s="664"/>
      <c r="F7" s="664"/>
      <c r="G7" s="664"/>
      <c r="H7" s="664"/>
      <c r="I7" s="664"/>
      <c r="N7" s="661" t="str">
        <f>A7</f>
        <v>1A.   2023-24 FEFP State and Local Funding</v>
      </c>
      <c r="O7" s="661"/>
      <c r="P7" s="661"/>
      <c r="Q7" s="661"/>
      <c r="R7" s="661"/>
      <c r="S7" s="661"/>
      <c r="T7" s="661"/>
      <c r="U7" s="661"/>
    </row>
    <row r="8" spans="1:21" x14ac:dyDescent="0.25">
      <c r="A8" s="84"/>
      <c r="B8" s="85" t="s">
        <v>92</v>
      </c>
      <c r="C8" s="299">
        <f>'1461'!C8</f>
        <v>5330.98</v>
      </c>
      <c r="D8" s="86"/>
      <c r="E8" s="87"/>
      <c r="F8" s="84"/>
      <c r="G8" s="85" t="s">
        <v>393</v>
      </c>
      <c r="H8" s="287">
        <f>'1461'!H8</f>
        <v>1.0407999999999999</v>
      </c>
      <c r="I8" s="75"/>
      <c r="N8" s="665" t="s">
        <v>10</v>
      </c>
      <c r="O8" s="665"/>
      <c r="P8" s="666">
        <f>C8</f>
        <v>5330.98</v>
      </c>
      <c r="Q8" s="666"/>
      <c r="R8" s="648" t="s">
        <v>394</v>
      </c>
      <c r="S8" s="649"/>
      <c r="T8" s="650">
        <f>H8</f>
        <v>1.0407999999999999</v>
      </c>
      <c r="U8" s="650"/>
    </row>
    <row r="9" spans="1:21" x14ac:dyDescent="0.25">
      <c r="A9" s="84"/>
      <c r="B9" s="85"/>
      <c r="C9" s="222"/>
      <c r="D9" s="86"/>
      <c r="E9" s="87"/>
      <c r="F9" s="84"/>
      <c r="G9" s="85" t="s">
        <v>391</v>
      </c>
      <c r="H9" s="287">
        <f>'1461'!H9</f>
        <v>1</v>
      </c>
      <c r="I9" s="75"/>
      <c r="N9" s="12"/>
      <c r="O9" s="12"/>
      <c r="P9" s="13"/>
      <c r="Q9" s="13"/>
      <c r="R9" s="387" t="s">
        <v>392</v>
      </c>
      <c r="S9" s="384"/>
      <c r="T9" s="650">
        <f>H9</f>
        <v>1</v>
      </c>
      <c r="U9" s="650"/>
    </row>
    <row r="10" spans="1:21" x14ac:dyDescent="0.25">
      <c r="A10" s="7"/>
      <c r="B10" s="42" t="s">
        <v>310</v>
      </c>
      <c r="C10" s="334" t="str">
        <f>'1461'!C10</f>
        <v xml:space="preserve"> </v>
      </c>
      <c r="D10" s="334" t="str">
        <f>'1461'!D10</f>
        <v xml:space="preserve"> </v>
      </c>
      <c r="E10" s="8"/>
      <c r="F10" s="9"/>
      <c r="G10" s="9"/>
      <c r="H10" s="10"/>
      <c r="I10" s="305" t="str">
        <f>'1461'!I10</f>
        <v>2024-25</v>
      </c>
      <c r="N10" s="12"/>
      <c r="O10" s="12"/>
      <c r="P10" s="13"/>
      <c r="Q10" s="13"/>
      <c r="R10" s="14"/>
      <c r="S10" s="14"/>
      <c r="T10" s="15"/>
      <c r="U10" s="366" t="str">
        <f>I10</f>
        <v>2024-25</v>
      </c>
    </row>
    <row r="11" spans="1:21" x14ac:dyDescent="0.25">
      <c r="A11" s="7"/>
      <c r="B11" s="7"/>
      <c r="C11" s="88" t="str">
        <f>'1461'!C11</f>
        <v>Oct 2023</v>
      </c>
      <c r="D11" s="333" t="str">
        <f>'1461'!D11</f>
        <v>Feb 2024</v>
      </c>
      <c r="E11" s="89" t="s">
        <v>8</v>
      </c>
      <c r="F11" s="571" t="s">
        <v>1</v>
      </c>
      <c r="G11" s="571"/>
      <c r="H11" s="10" t="s">
        <v>60</v>
      </c>
      <c r="I11" s="11" t="s">
        <v>27</v>
      </c>
      <c r="N11" s="12"/>
      <c r="O11" s="12"/>
      <c r="P11" s="13"/>
      <c r="Q11" s="13"/>
      <c r="R11" s="651" t="s">
        <v>1</v>
      </c>
      <c r="S11" s="651"/>
      <c r="T11" s="15" t="s">
        <v>60</v>
      </c>
      <c r="U11" s="16" t="s">
        <v>27</v>
      </c>
    </row>
    <row r="12" spans="1:21" ht="15.75" customHeight="1" x14ac:dyDescent="0.25">
      <c r="A12" s="572" t="s">
        <v>1</v>
      </c>
      <c r="B12" s="572"/>
      <c r="C12" s="324" t="str">
        <f>'1461'!C12</f>
        <v>FTE</v>
      </c>
      <c r="D12" s="324" t="str">
        <f>'1461'!D12</f>
        <v>FTE</v>
      </c>
      <c r="E12" s="324" t="s">
        <v>2</v>
      </c>
      <c r="F12" s="573" t="s">
        <v>63</v>
      </c>
      <c r="G12" s="573"/>
      <c r="H12" s="17" t="s">
        <v>59</v>
      </c>
      <c r="I12" s="388" t="s">
        <v>395</v>
      </c>
      <c r="N12" s="639" t="s">
        <v>1</v>
      </c>
      <c r="O12" s="639"/>
      <c r="P12" s="652" t="s">
        <v>19</v>
      </c>
      <c r="Q12" s="652"/>
      <c r="R12" s="653" t="s">
        <v>63</v>
      </c>
      <c r="S12" s="653"/>
      <c r="T12" s="18" t="s">
        <v>59</v>
      </c>
      <c r="U12" s="19" t="str">
        <f>I12</f>
        <v>(WFTE x BSA x CWF x SDF)</v>
      </c>
    </row>
    <row r="13" spans="1:21" x14ac:dyDescent="0.25">
      <c r="A13" s="574" t="s">
        <v>36</v>
      </c>
      <c r="B13" s="574"/>
      <c r="C13" s="91"/>
      <c r="D13" s="91"/>
      <c r="E13" s="92" t="s">
        <v>37</v>
      </c>
      <c r="F13" s="575" t="s">
        <v>38</v>
      </c>
      <c r="G13" s="575"/>
      <c r="H13" s="20" t="s">
        <v>39</v>
      </c>
      <c r="I13" s="21" t="s">
        <v>40</v>
      </c>
      <c r="N13" s="654" t="s">
        <v>36</v>
      </c>
      <c r="O13" s="654"/>
      <c r="P13" s="655" t="s">
        <v>37</v>
      </c>
      <c r="Q13" s="655"/>
      <c r="R13" s="656" t="s">
        <v>38</v>
      </c>
      <c r="S13" s="656"/>
      <c r="T13" s="22" t="s">
        <v>39</v>
      </c>
      <c r="U13" s="23" t="s">
        <v>40</v>
      </c>
    </row>
    <row r="14" spans="1:21" x14ac:dyDescent="0.25">
      <c r="A14" s="576" t="s">
        <v>20</v>
      </c>
      <c r="B14" s="576"/>
      <c r="C14" s="143">
        <v>179.36</v>
      </c>
      <c r="D14" s="141">
        <v>179.66</v>
      </c>
      <c r="E14" s="187">
        <f>IF(D$30=0,C14*2,C14+D14)</f>
        <v>359.02</v>
      </c>
      <c r="F14" s="667">
        <f>'1461'!F14:G14</f>
        <v>1.1180000000000001</v>
      </c>
      <c r="G14" s="667"/>
      <c r="H14" s="145">
        <f>ROUND(E14*F14,4)</f>
        <v>401.38440000000003</v>
      </c>
      <c r="I14" s="111">
        <f>ROUND(ROUND(ROUND(H14*$C$8,4)*($H$8),2)*(MAX($H$9,1)),2)</f>
        <v>2227074.91</v>
      </c>
      <c r="N14" s="641" t="s">
        <v>20</v>
      </c>
      <c r="O14" s="641"/>
      <c r="P14" s="642">
        <f t="shared" ref="P14:P29" si="0">IF($H$133=1,E14,0)</f>
        <v>0</v>
      </c>
      <c r="Q14" s="642"/>
      <c r="R14" s="657">
        <v>1</v>
      </c>
      <c r="S14" s="657"/>
      <c r="T14" s="95">
        <f>ROUND(P14*R14,4)</f>
        <v>0</v>
      </c>
      <c r="U14" s="473">
        <f>ROUND(ROUND(ROUND(T14*$C$8,4)*($H$8),2)*(MAX($H$9,1)),2)</f>
        <v>0</v>
      </c>
    </row>
    <row r="15" spans="1:21" x14ac:dyDescent="0.25">
      <c r="A15" s="578" t="s">
        <v>21</v>
      </c>
      <c r="B15" s="578"/>
      <c r="C15" s="143">
        <v>37.5</v>
      </c>
      <c r="D15" s="143">
        <v>40.49</v>
      </c>
      <c r="E15" s="116">
        <f t="shared" ref="E15:E29" si="1">IF(D$30=0,C15*2,C15+D15)</f>
        <v>77.990000000000009</v>
      </c>
      <c r="F15" s="663">
        <f>'1461'!F15:G15</f>
        <v>1.1180000000000001</v>
      </c>
      <c r="G15" s="663"/>
      <c r="H15" s="80">
        <f t="shared" ref="H15:H29" si="2">ROUND(E15*F15,4)</f>
        <v>87.192800000000005</v>
      </c>
      <c r="I15" s="101">
        <f t="shared" ref="I15:I29" si="3">ROUND(ROUND(ROUND(H15*$C$8,4)*($H$8),2)*(MAX($H$9,1)),2)</f>
        <v>483787.85</v>
      </c>
      <c r="J15" s="65" t="str">
        <f>IF(ROUND(E15,2)=ROUND(SUM(E57:E59),2)," ","CHECK PK-3 LINES BELOW")</f>
        <v xml:space="preserve"> </v>
      </c>
      <c r="N15" s="601" t="s">
        <v>21</v>
      </c>
      <c r="O15" s="601"/>
      <c r="P15" s="642">
        <f t="shared" si="0"/>
        <v>0</v>
      </c>
      <c r="Q15" s="642"/>
      <c r="R15" s="647">
        <v>1</v>
      </c>
      <c r="S15" s="647"/>
      <c r="T15" s="95">
        <f t="shared" ref="T15:T29" si="4">ROUND(P15*R15,4)</f>
        <v>0</v>
      </c>
      <c r="U15" s="473">
        <f t="shared" ref="U15:U29" si="5">ROUND(ROUND(ROUND(T15*$C$8,4)*($H$8),2)*(MAX($H$9,1)),2)</f>
        <v>0</v>
      </c>
    </row>
    <row r="16" spans="1:21" x14ac:dyDescent="0.25">
      <c r="A16" s="578" t="s">
        <v>22</v>
      </c>
      <c r="B16" s="578"/>
      <c r="C16" s="143">
        <v>225.72</v>
      </c>
      <c r="D16" s="143">
        <v>224.88</v>
      </c>
      <c r="E16" s="116">
        <f t="shared" si="1"/>
        <v>450.6</v>
      </c>
      <c r="F16" s="663">
        <f>'1461'!F16:G16</f>
        <v>1</v>
      </c>
      <c r="G16" s="663"/>
      <c r="H16" s="80">
        <f t="shared" si="2"/>
        <v>450.6</v>
      </c>
      <c r="I16" s="101">
        <f t="shared" si="3"/>
        <v>2500146.88</v>
      </c>
      <c r="N16" s="601" t="s">
        <v>22</v>
      </c>
      <c r="O16" s="601"/>
      <c r="P16" s="642">
        <f t="shared" si="0"/>
        <v>0</v>
      </c>
      <c r="Q16" s="642"/>
      <c r="R16" s="647">
        <v>1</v>
      </c>
      <c r="S16" s="647"/>
      <c r="T16" s="95">
        <f t="shared" si="4"/>
        <v>0</v>
      </c>
      <c r="U16" s="473">
        <f t="shared" si="5"/>
        <v>0</v>
      </c>
    </row>
    <row r="17" spans="1:21" x14ac:dyDescent="0.25">
      <c r="A17" s="578" t="s">
        <v>23</v>
      </c>
      <c r="B17" s="578"/>
      <c r="C17" s="143">
        <v>57.5</v>
      </c>
      <c r="D17" s="143">
        <v>57.71</v>
      </c>
      <c r="E17" s="116">
        <f t="shared" si="1"/>
        <v>115.21000000000001</v>
      </c>
      <c r="F17" s="663">
        <f>'1461'!F17:G17</f>
        <v>1</v>
      </c>
      <c r="G17" s="663"/>
      <c r="H17" s="80">
        <f t="shared" si="2"/>
        <v>115.21</v>
      </c>
      <c r="I17" s="101">
        <f t="shared" si="3"/>
        <v>639240.84</v>
      </c>
      <c r="J17" s="65" t="str">
        <f>IF(ROUND(E17,2)=ROUND(SUM(E60:E62),2)," ","CHECK 4-8 LINES BELOW")</f>
        <v xml:space="preserve"> </v>
      </c>
      <c r="N17" s="601" t="s">
        <v>23</v>
      </c>
      <c r="O17" s="601"/>
      <c r="P17" s="642">
        <f t="shared" si="0"/>
        <v>0</v>
      </c>
      <c r="Q17" s="642"/>
      <c r="R17" s="647">
        <v>1</v>
      </c>
      <c r="S17" s="647"/>
      <c r="T17" s="95">
        <f t="shared" si="4"/>
        <v>0</v>
      </c>
      <c r="U17" s="473">
        <f t="shared" si="5"/>
        <v>0</v>
      </c>
    </row>
    <row r="18" spans="1:21" x14ac:dyDescent="0.25">
      <c r="A18" s="578" t="s">
        <v>24</v>
      </c>
      <c r="B18" s="578"/>
      <c r="C18" s="143">
        <v>0</v>
      </c>
      <c r="D18" s="143">
        <v>0</v>
      </c>
      <c r="E18" s="116">
        <f t="shared" si="1"/>
        <v>0</v>
      </c>
      <c r="F18" s="663">
        <f>'1461'!F18:G18</f>
        <v>0.97799999999999998</v>
      </c>
      <c r="G18" s="663"/>
      <c r="H18" s="80">
        <f t="shared" si="2"/>
        <v>0</v>
      </c>
      <c r="I18" s="101">
        <f t="shared" si="3"/>
        <v>0</v>
      </c>
      <c r="N18" s="601" t="s">
        <v>24</v>
      </c>
      <c r="O18" s="601"/>
      <c r="P18" s="642">
        <f t="shared" si="0"/>
        <v>0</v>
      </c>
      <c r="Q18" s="642"/>
      <c r="R18" s="647">
        <v>1</v>
      </c>
      <c r="S18" s="647"/>
      <c r="T18" s="95">
        <f t="shared" si="4"/>
        <v>0</v>
      </c>
      <c r="U18" s="473">
        <f t="shared" si="5"/>
        <v>0</v>
      </c>
    </row>
    <row r="19" spans="1:21" x14ac:dyDescent="0.25">
      <c r="A19" s="578" t="s">
        <v>25</v>
      </c>
      <c r="B19" s="578"/>
      <c r="C19" s="143">
        <v>0</v>
      </c>
      <c r="D19" s="143">
        <v>0</v>
      </c>
      <c r="E19" s="116">
        <f t="shared" si="1"/>
        <v>0</v>
      </c>
      <c r="F19" s="663">
        <f>'1461'!F19:G19</f>
        <v>0.97799999999999998</v>
      </c>
      <c r="G19" s="663"/>
      <c r="H19" s="80">
        <f t="shared" si="2"/>
        <v>0</v>
      </c>
      <c r="I19" s="101">
        <f t="shared" si="3"/>
        <v>0</v>
      </c>
      <c r="J19" s="65" t="str">
        <f>IF(ROUND(E19,2)=ROUND(SUM(E63:E65),2)," ","CHECK 4-8 LINES BELOW")</f>
        <v xml:space="preserve"> </v>
      </c>
      <c r="N19" s="601" t="s">
        <v>25</v>
      </c>
      <c r="O19" s="601"/>
      <c r="P19" s="642">
        <f t="shared" si="0"/>
        <v>0</v>
      </c>
      <c r="Q19" s="642"/>
      <c r="R19" s="647">
        <v>1</v>
      </c>
      <c r="S19" s="647"/>
      <c r="T19" s="95">
        <f t="shared" si="4"/>
        <v>0</v>
      </c>
      <c r="U19" s="472">
        <f t="shared" si="5"/>
        <v>0</v>
      </c>
    </row>
    <row r="20" spans="1:21" x14ac:dyDescent="0.25">
      <c r="A20" s="578" t="s">
        <v>79</v>
      </c>
      <c r="B20" s="578"/>
      <c r="C20" s="143">
        <v>0</v>
      </c>
      <c r="D20" s="143">
        <v>0</v>
      </c>
      <c r="E20" s="116">
        <f t="shared" si="1"/>
        <v>0</v>
      </c>
      <c r="F20" s="663">
        <f>'1461'!F20:G20</f>
        <v>3.6970000000000001</v>
      </c>
      <c r="G20" s="663"/>
      <c r="H20" s="80">
        <f t="shared" si="2"/>
        <v>0</v>
      </c>
      <c r="I20" s="101">
        <f t="shared" si="3"/>
        <v>0</v>
      </c>
      <c r="N20" s="601" t="s">
        <v>79</v>
      </c>
      <c r="O20" s="601"/>
      <c r="P20" s="642">
        <f t="shared" si="0"/>
        <v>0</v>
      </c>
      <c r="Q20" s="642"/>
      <c r="R20" s="647">
        <v>1</v>
      </c>
      <c r="S20" s="647"/>
      <c r="T20" s="95">
        <f t="shared" si="4"/>
        <v>0</v>
      </c>
      <c r="U20" s="473">
        <f t="shared" si="5"/>
        <v>0</v>
      </c>
    </row>
    <row r="21" spans="1:21" x14ac:dyDescent="0.25">
      <c r="A21" s="578" t="s">
        <v>80</v>
      </c>
      <c r="B21" s="578"/>
      <c r="C21" s="143">
        <v>0</v>
      </c>
      <c r="D21" s="143">
        <v>0</v>
      </c>
      <c r="E21" s="116">
        <f t="shared" si="1"/>
        <v>0</v>
      </c>
      <c r="F21" s="663">
        <f>'1461'!F21:G21</f>
        <v>3.6970000000000001</v>
      </c>
      <c r="G21" s="663"/>
      <c r="H21" s="80">
        <f t="shared" si="2"/>
        <v>0</v>
      </c>
      <c r="I21" s="101">
        <f t="shared" si="3"/>
        <v>0</v>
      </c>
      <c r="N21" s="601" t="s">
        <v>80</v>
      </c>
      <c r="O21" s="601"/>
      <c r="P21" s="642">
        <f t="shared" si="0"/>
        <v>0</v>
      </c>
      <c r="Q21" s="642"/>
      <c r="R21" s="647">
        <v>1</v>
      </c>
      <c r="S21" s="647"/>
      <c r="T21" s="95">
        <f t="shared" si="4"/>
        <v>0</v>
      </c>
      <c r="U21" s="473">
        <f t="shared" si="5"/>
        <v>0</v>
      </c>
    </row>
    <row r="22" spans="1:21" x14ac:dyDescent="0.25">
      <c r="A22" s="578" t="s">
        <v>81</v>
      </c>
      <c r="B22" s="578"/>
      <c r="C22" s="143">
        <v>0</v>
      </c>
      <c r="D22" s="143">
        <v>0</v>
      </c>
      <c r="E22" s="116">
        <f t="shared" si="1"/>
        <v>0</v>
      </c>
      <c r="F22" s="663">
        <f>'1461'!F22:G22</f>
        <v>3.6970000000000001</v>
      </c>
      <c r="G22" s="663"/>
      <c r="H22" s="80">
        <f t="shared" si="2"/>
        <v>0</v>
      </c>
      <c r="I22" s="101">
        <f t="shared" si="3"/>
        <v>0</v>
      </c>
      <c r="N22" s="601" t="s">
        <v>81</v>
      </c>
      <c r="O22" s="601"/>
      <c r="P22" s="642">
        <f t="shared" si="0"/>
        <v>0</v>
      </c>
      <c r="Q22" s="642"/>
      <c r="R22" s="647">
        <v>1</v>
      </c>
      <c r="S22" s="647"/>
      <c r="T22" s="95">
        <f t="shared" si="4"/>
        <v>0</v>
      </c>
      <c r="U22" s="473">
        <f t="shared" si="5"/>
        <v>0</v>
      </c>
    </row>
    <row r="23" spans="1:21" x14ac:dyDescent="0.25">
      <c r="A23" s="578" t="s">
        <v>82</v>
      </c>
      <c r="B23" s="578"/>
      <c r="C23" s="143">
        <v>0</v>
      </c>
      <c r="D23" s="143">
        <v>0</v>
      </c>
      <c r="E23" s="116">
        <f t="shared" si="1"/>
        <v>0</v>
      </c>
      <c r="F23" s="663">
        <f>'1461'!F23:G23</f>
        <v>5.992</v>
      </c>
      <c r="G23" s="663"/>
      <c r="H23" s="80">
        <f t="shared" si="2"/>
        <v>0</v>
      </c>
      <c r="I23" s="101">
        <f t="shared" si="3"/>
        <v>0</v>
      </c>
      <c r="N23" s="601" t="s">
        <v>82</v>
      </c>
      <c r="O23" s="601"/>
      <c r="P23" s="642">
        <f t="shared" si="0"/>
        <v>0</v>
      </c>
      <c r="Q23" s="642"/>
      <c r="R23" s="647">
        <v>1</v>
      </c>
      <c r="S23" s="647"/>
      <c r="T23" s="95">
        <f t="shared" si="4"/>
        <v>0</v>
      </c>
      <c r="U23" s="473">
        <f t="shared" si="5"/>
        <v>0</v>
      </c>
    </row>
    <row r="24" spans="1:21" x14ac:dyDescent="0.25">
      <c r="A24" s="578" t="s">
        <v>83</v>
      </c>
      <c r="B24" s="578"/>
      <c r="C24" s="143">
        <v>0</v>
      </c>
      <c r="D24" s="143">
        <v>0</v>
      </c>
      <c r="E24" s="116">
        <f t="shared" si="1"/>
        <v>0</v>
      </c>
      <c r="F24" s="663">
        <f>'1461'!F24:G24</f>
        <v>5.992</v>
      </c>
      <c r="G24" s="663"/>
      <c r="H24" s="80">
        <f t="shared" si="2"/>
        <v>0</v>
      </c>
      <c r="I24" s="101">
        <f t="shared" si="3"/>
        <v>0</v>
      </c>
      <c r="N24" s="601" t="s">
        <v>83</v>
      </c>
      <c r="O24" s="601"/>
      <c r="P24" s="642">
        <f t="shared" si="0"/>
        <v>0</v>
      </c>
      <c r="Q24" s="642"/>
      <c r="R24" s="647">
        <v>1</v>
      </c>
      <c r="S24" s="647"/>
      <c r="T24" s="95">
        <f t="shared" si="4"/>
        <v>0</v>
      </c>
      <c r="U24" s="473">
        <f t="shared" si="5"/>
        <v>0</v>
      </c>
    </row>
    <row r="25" spans="1:21" x14ac:dyDescent="0.25">
      <c r="A25" s="578" t="s">
        <v>84</v>
      </c>
      <c r="B25" s="578"/>
      <c r="C25" s="143">
        <v>0</v>
      </c>
      <c r="D25" s="143">
        <v>0</v>
      </c>
      <c r="E25" s="116">
        <f t="shared" si="1"/>
        <v>0</v>
      </c>
      <c r="F25" s="663">
        <f>'1461'!F25:G25</f>
        <v>5.992</v>
      </c>
      <c r="G25" s="663"/>
      <c r="H25" s="80">
        <f t="shared" si="2"/>
        <v>0</v>
      </c>
      <c r="I25" s="101">
        <f t="shared" si="3"/>
        <v>0</v>
      </c>
      <c r="N25" s="601" t="s">
        <v>84</v>
      </c>
      <c r="O25" s="601"/>
      <c r="P25" s="642">
        <f t="shared" si="0"/>
        <v>0</v>
      </c>
      <c r="Q25" s="642"/>
      <c r="R25" s="647">
        <v>1</v>
      </c>
      <c r="S25" s="647"/>
      <c r="T25" s="95">
        <f t="shared" si="4"/>
        <v>0</v>
      </c>
      <c r="U25" s="473">
        <f t="shared" si="5"/>
        <v>0</v>
      </c>
    </row>
    <row r="26" spans="1:21" x14ac:dyDescent="0.25">
      <c r="A26" s="578" t="s">
        <v>85</v>
      </c>
      <c r="B26" s="578"/>
      <c r="C26" s="143">
        <v>17.14</v>
      </c>
      <c r="D26" s="143">
        <v>16.690000000000001</v>
      </c>
      <c r="E26" s="116">
        <f t="shared" si="1"/>
        <v>33.83</v>
      </c>
      <c r="F26" s="663">
        <f>'1461'!F26:G26</f>
        <v>1.1919999999999999</v>
      </c>
      <c r="G26" s="663"/>
      <c r="H26" s="80">
        <f t="shared" si="2"/>
        <v>40.325400000000002</v>
      </c>
      <c r="I26" s="101">
        <f t="shared" si="3"/>
        <v>223744.84</v>
      </c>
      <c r="N26" s="601" t="s">
        <v>85</v>
      </c>
      <c r="O26" s="601"/>
      <c r="P26" s="642">
        <f t="shared" si="0"/>
        <v>0</v>
      </c>
      <c r="Q26" s="642"/>
      <c r="R26" s="647">
        <v>1</v>
      </c>
      <c r="S26" s="647"/>
      <c r="T26" s="95">
        <f t="shared" si="4"/>
        <v>0</v>
      </c>
      <c r="U26" s="473">
        <f t="shared" si="5"/>
        <v>0</v>
      </c>
    </row>
    <row r="27" spans="1:21" x14ac:dyDescent="0.25">
      <c r="A27" s="578" t="s">
        <v>86</v>
      </c>
      <c r="B27" s="578"/>
      <c r="C27" s="143">
        <v>6.17</v>
      </c>
      <c r="D27" s="143">
        <v>4.8600000000000003</v>
      </c>
      <c r="E27" s="116">
        <f t="shared" si="1"/>
        <v>11.030000000000001</v>
      </c>
      <c r="F27" s="663">
        <f>'1461'!F27:G27</f>
        <v>1.1919999999999999</v>
      </c>
      <c r="G27" s="663"/>
      <c r="H27" s="80">
        <f t="shared" si="2"/>
        <v>13.1478</v>
      </c>
      <c r="I27" s="101">
        <f t="shared" si="3"/>
        <v>72950.36</v>
      </c>
      <c r="N27" s="601" t="s">
        <v>86</v>
      </c>
      <c r="O27" s="601"/>
      <c r="P27" s="642">
        <f t="shared" si="0"/>
        <v>0</v>
      </c>
      <c r="Q27" s="642"/>
      <c r="R27" s="647">
        <v>1</v>
      </c>
      <c r="S27" s="647"/>
      <c r="T27" s="95">
        <f t="shared" si="4"/>
        <v>0</v>
      </c>
      <c r="U27" s="473">
        <f t="shared" si="5"/>
        <v>0</v>
      </c>
    </row>
    <row r="28" spans="1:21" x14ac:dyDescent="0.25">
      <c r="A28" s="578" t="s">
        <v>87</v>
      </c>
      <c r="B28" s="578"/>
      <c r="C28" s="143">
        <v>0</v>
      </c>
      <c r="D28" s="143">
        <v>0</v>
      </c>
      <c r="E28" s="116">
        <f t="shared" si="1"/>
        <v>0</v>
      </c>
      <c r="F28" s="663">
        <f>'1461'!F28:G28</f>
        <v>1.1919999999999999</v>
      </c>
      <c r="G28" s="663"/>
      <c r="H28" s="80">
        <f t="shared" si="2"/>
        <v>0</v>
      </c>
      <c r="I28" s="101">
        <f t="shared" si="3"/>
        <v>0</v>
      </c>
      <c r="N28" s="601" t="s">
        <v>87</v>
      </c>
      <c r="O28" s="601"/>
      <c r="P28" s="642">
        <f t="shared" si="0"/>
        <v>0</v>
      </c>
      <c r="Q28" s="642"/>
      <c r="R28" s="647">
        <v>1</v>
      </c>
      <c r="S28" s="647"/>
      <c r="T28" s="95">
        <f t="shared" si="4"/>
        <v>0</v>
      </c>
      <c r="U28" s="473">
        <f t="shared" si="5"/>
        <v>0</v>
      </c>
    </row>
    <row r="29" spans="1:21" x14ac:dyDescent="0.25">
      <c r="A29" s="578" t="s">
        <v>88</v>
      </c>
      <c r="B29" s="578"/>
      <c r="C29" s="110">
        <v>0</v>
      </c>
      <c r="D29" s="110">
        <v>0</v>
      </c>
      <c r="E29" s="154">
        <f t="shared" si="1"/>
        <v>0</v>
      </c>
      <c r="F29" s="663">
        <f>'1461'!F29:G29</f>
        <v>1.079</v>
      </c>
      <c r="G29" s="663"/>
      <c r="H29" s="93">
        <f t="shared" si="2"/>
        <v>0</v>
      </c>
      <c r="I29" s="94">
        <f t="shared" si="3"/>
        <v>0</v>
      </c>
      <c r="N29" s="616" t="s">
        <v>88</v>
      </c>
      <c r="O29" s="616"/>
      <c r="P29" s="642">
        <f t="shared" si="0"/>
        <v>0</v>
      </c>
      <c r="Q29" s="642"/>
      <c r="R29" s="643">
        <v>1</v>
      </c>
      <c r="S29" s="643"/>
      <c r="T29" s="95">
        <f t="shared" si="4"/>
        <v>0</v>
      </c>
      <c r="U29" s="473">
        <f t="shared" si="5"/>
        <v>0</v>
      </c>
    </row>
    <row r="30" spans="1:21" x14ac:dyDescent="0.25">
      <c r="A30" s="590" t="s">
        <v>5</v>
      </c>
      <c r="B30" s="590"/>
      <c r="C30" s="94">
        <f>SUM(C14:C29)</f>
        <v>523.39</v>
      </c>
      <c r="D30" s="94">
        <f>SUM(D14:D29)</f>
        <v>524.29</v>
      </c>
      <c r="E30" s="94">
        <f>SUM(E14:E29)</f>
        <v>1047.68</v>
      </c>
      <c r="F30" s="582"/>
      <c r="G30" s="582"/>
      <c r="H30" s="99">
        <f>SUM(H14:H29)</f>
        <v>1107.8604</v>
      </c>
      <c r="I30" s="94">
        <f>SUM(I14:I29)</f>
        <v>6146945.6800000006</v>
      </c>
      <c r="N30" s="644" t="s">
        <v>5</v>
      </c>
      <c r="O30" s="644"/>
      <c r="P30" s="645">
        <f>SUM(P14:P29)</f>
        <v>0</v>
      </c>
      <c r="Q30" s="645"/>
      <c r="R30" s="617"/>
      <c r="S30" s="617"/>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0" t="s">
        <v>233</v>
      </c>
      <c r="G34" s="670"/>
      <c r="H34" s="670"/>
      <c r="I34" s="101"/>
      <c r="N34" s="28"/>
      <c r="O34" s="28"/>
      <c r="P34" s="29"/>
      <c r="Q34" s="29"/>
      <c r="R34" s="30"/>
      <c r="S34" s="30"/>
      <c r="T34" s="102"/>
      <c r="U34" s="103"/>
    </row>
    <row r="35" spans="1:21" hidden="1" x14ac:dyDescent="0.25">
      <c r="A35" s="3"/>
      <c r="B35" s="69"/>
      <c r="C35" s="69"/>
      <c r="D35" s="69"/>
      <c r="E35" s="69"/>
      <c r="F35" s="670"/>
      <c r="G35" s="670"/>
      <c r="H35" s="670"/>
      <c r="I35" s="24" t="s">
        <v>61</v>
      </c>
      <c r="N35" s="627" t="s">
        <v>26</v>
      </c>
      <c r="O35" s="627"/>
      <c r="P35" s="627"/>
      <c r="Q35" s="627"/>
      <c r="R35" s="627"/>
      <c r="S35" s="627"/>
      <c r="T35" s="627"/>
      <c r="U35" s="25" t="str">
        <f>I35</f>
        <v>2015-16</v>
      </c>
    </row>
    <row r="36" spans="1:21" hidden="1" x14ac:dyDescent="0.25">
      <c r="A36" s="26"/>
      <c r="B36" s="26"/>
      <c r="C36" s="88" t="s">
        <v>93</v>
      </c>
      <c r="D36" s="88" t="s">
        <v>94</v>
      </c>
      <c r="E36" s="89" t="s">
        <v>8</v>
      </c>
      <c r="F36" s="670"/>
      <c r="G36" s="670"/>
      <c r="H36" s="670"/>
      <c r="I36" s="24" t="s">
        <v>27</v>
      </c>
      <c r="N36" s="28"/>
      <c r="O36" s="28"/>
      <c r="P36" s="29"/>
      <c r="Q36" s="29"/>
      <c r="R36" s="30"/>
      <c r="S36" s="30"/>
      <c r="T36" s="102"/>
      <c r="U36" s="25" t="s">
        <v>27</v>
      </c>
    </row>
    <row r="37" spans="1:21" ht="26.25" hidden="1" x14ac:dyDescent="0.25">
      <c r="A37" s="572" t="s">
        <v>50</v>
      </c>
      <c r="B37" s="572"/>
      <c r="C37" s="90" t="s">
        <v>2</v>
      </c>
      <c r="D37" s="90" t="s">
        <v>2</v>
      </c>
      <c r="E37" s="90" t="s">
        <v>2</v>
      </c>
      <c r="F37" s="671"/>
      <c r="G37" s="671"/>
      <c r="H37" s="671"/>
      <c r="I37" s="31" t="s">
        <v>395</v>
      </c>
      <c r="N37" s="639" t="s">
        <v>50</v>
      </c>
      <c r="O37" s="639"/>
      <c r="P37" s="640" t="s">
        <v>19</v>
      </c>
      <c r="Q37" s="640"/>
      <c r="R37" s="640"/>
      <c r="S37" s="640"/>
      <c r="T37" s="640"/>
      <c r="U37" s="19" t="str">
        <f>I37</f>
        <v>(WFTE x BSA x CWF x SDF)</v>
      </c>
    </row>
    <row r="38" spans="1:21" hidden="1" x14ac:dyDescent="0.25">
      <c r="A38" s="576" t="s">
        <v>45</v>
      </c>
      <c r="B38" s="576"/>
      <c r="C38" s="147">
        <v>0</v>
      </c>
      <c r="D38" s="147">
        <v>0</v>
      </c>
      <c r="E38" s="187">
        <f t="shared" ref="E38:E43" si="6">IF(D$44=0,C38*2,C38+D38)</f>
        <v>0</v>
      </c>
      <c r="F38" s="148"/>
      <c r="G38" s="148"/>
      <c r="H38" s="148"/>
      <c r="I38" s="111">
        <f>ROUND(ROUND(ROUND(E38*$C$8,4)*($H$8),2)*(MAX($H$9,1)),2)</f>
        <v>0</v>
      </c>
      <c r="N38" s="641" t="s">
        <v>45</v>
      </c>
      <c r="O38" s="641"/>
      <c r="P38" s="608">
        <f t="shared" ref="P38:P43" si="7">IF($H$133=1,E38,0)</f>
        <v>0</v>
      </c>
      <c r="Q38" s="608"/>
      <c r="R38" s="608"/>
      <c r="S38" s="608"/>
      <c r="T38" s="608"/>
      <c r="U38" s="98">
        <f>ROUND(ROUND(ROUND(P38*$C$8,4)*($H$8),2)*(MAX($H$9,1)),2)</f>
        <v>0</v>
      </c>
    </row>
    <row r="39" spans="1:21" hidden="1" x14ac:dyDescent="0.25">
      <c r="A39" s="578" t="s">
        <v>46</v>
      </c>
      <c r="B39" s="578"/>
      <c r="C39" s="150">
        <v>0</v>
      </c>
      <c r="D39" s="150">
        <v>0</v>
      </c>
      <c r="E39" s="116">
        <f t="shared" si="6"/>
        <v>0</v>
      </c>
      <c r="F39" s="151"/>
      <c r="G39" s="151"/>
      <c r="H39" s="151"/>
      <c r="I39" s="101">
        <f t="shared" ref="I39:I43" si="8">ROUND(ROUND(ROUND(E39*$C$8,4)*($H$8),2)*(MAX($H$9,1)),2)</f>
        <v>0</v>
      </c>
      <c r="N39" s="601" t="s">
        <v>46</v>
      </c>
      <c r="O39" s="601"/>
      <c r="P39" s="608">
        <f t="shared" si="7"/>
        <v>0</v>
      </c>
      <c r="Q39" s="608"/>
      <c r="R39" s="608"/>
      <c r="S39" s="608"/>
      <c r="T39" s="608"/>
      <c r="U39" s="98">
        <f t="shared" ref="U39:U43" si="9">ROUND(ROUND(ROUND(P39*$C$8,4)*($H$8),2)*(MAX($H$9,1)),2)</f>
        <v>0</v>
      </c>
    </row>
    <row r="40" spans="1:21" hidden="1" x14ac:dyDescent="0.25">
      <c r="A40" s="583" t="s">
        <v>47</v>
      </c>
      <c r="B40" s="583"/>
      <c r="C40" s="150">
        <v>0</v>
      </c>
      <c r="D40" s="150">
        <v>0</v>
      </c>
      <c r="E40" s="116">
        <f t="shared" si="6"/>
        <v>0</v>
      </c>
      <c r="F40" s="151"/>
      <c r="G40" s="151"/>
      <c r="H40" s="151"/>
      <c r="I40" s="101">
        <f t="shared" si="8"/>
        <v>0</v>
      </c>
      <c r="N40" s="646" t="s">
        <v>47</v>
      </c>
      <c r="O40" s="646"/>
      <c r="P40" s="608">
        <f t="shared" si="7"/>
        <v>0</v>
      </c>
      <c r="Q40" s="608"/>
      <c r="R40" s="608"/>
      <c r="S40" s="608"/>
      <c r="T40" s="608"/>
      <c r="U40" s="98">
        <f t="shared" si="9"/>
        <v>0</v>
      </c>
    </row>
    <row r="41" spans="1:21" hidden="1" x14ac:dyDescent="0.25">
      <c r="A41" s="578" t="s">
        <v>48</v>
      </c>
      <c r="B41" s="578"/>
      <c r="C41" s="150">
        <v>0</v>
      </c>
      <c r="D41" s="150">
        <v>0</v>
      </c>
      <c r="E41" s="116">
        <f t="shared" si="6"/>
        <v>0</v>
      </c>
      <c r="F41" s="151"/>
      <c r="G41" s="151"/>
      <c r="H41" s="151"/>
      <c r="I41" s="101">
        <f t="shared" si="8"/>
        <v>0</v>
      </c>
      <c r="N41" s="601" t="s">
        <v>48</v>
      </c>
      <c r="O41" s="601"/>
      <c r="P41" s="608">
        <f t="shared" si="7"/>
        <v>0</v>
      </c>
      <c r="Q41" s="608"/>
      <c r="R41" s="608"/>
      <c r="S41" s="608"/>
      <c r="T41" s="608"/>
      <c r="U41" s="98">
        <f t="shared" si="9"/>
        <v>0</v>
      </c>
    </row>
    <row r="42" spans="1:21" hidden="1" x14ac:dyDescent="0.25">
      <c r="A42" s="578" t="s">
        <v>49</v>
      </c>
      <c r="B42" s="578"/>
      <c r="C42" s="150">
        <v>0</v>
      </c>
      <c r="D42" s="150">
        <v>0</v>
      </c>
      <c r="E42" s="116">
        <f t="shared" si="6"/>
        <v>0</v>
      </c>
      <c r="F42" s="151"/>
      <c r="G42" s="151"/>
      <c r="H42" s="151"/>
      <c r="I42" s="101">
        <f t="shared" si="8"/>
        <v>0</v>
      </c>
      <c r="N42" s="601" t="s">
        <v>49</v>
      </c>
      <c r="O42" s="601"/>
      <c r="P42" s="608">
        <f t="shared" si="7"/>
        <v>0</v>
      </c>
      <c r="Q42" s="608"/>
      <c r="R42" s="608"/>
      <c r="S42" s="608"/>
      <c r="T42" s="608"/>
      <c r="U42" s="98">
        <f t="shared" si="9"/>
        <v>0</v>
      </c>
    </row>
    <row r="43" spans="1:21" hidden="1" x14ac:dyDescent="0.25">
      <c r="A43" s="578" t="s">
        <v>41</v>
      </c>
      <c r="B43" s="578"/>
      <c r="C43" s="149">
        <v>0</v>
      </c>
      <c r="D43" s="149">
        <v>0</v>
      </c>
      <c r="E43" s="154">
        <f t="shared" si="6"/>
        <v>0</v>
      </c>
      <c r="F43" s="151"/>
      <c r="G43" s="151"/>
      <c r="H43" s="151"/>
      <c r="I43" s="94">
        <f t="shared" si="8"/>
        <v>0</v>
      </c>
      <c r="N43" s="616" t="s">
        <v>41</v>
      </c>
      <c r="O43" s="616"/>
      <c r="P43" s="608">
        <f t="shared" si="7"/>
        <v>0</v>
      </c>
      <c r="Q43" s="608"/>
      <c r="R43" s="608"/>
      <c r="S43" s="608"/>
      <c r="T43" s="60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3" t="s">
        <v>43</v>
      </c>
      <c r="O44" s="603"/>
      <c r="P44" s="603"/>
      <c r="Q44" s="603"/>
      <c r="R44" s="33">
        <f>SUM(P38:R43)</f>
        <v>0</v>
      </c>
      <c r="S44" s="617" t="s">
        <v>51</v>
      </c>
      <c r="T44" s="617"/>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1107.8604</v>
      </c>
      <c r="F46" s="34"/>
      <c r="G46" s="106"/>
      <c r="H46" s="107" t="s">
        <v>98</v>
      </c>
      <c r="I46" s="94">
        <f>SUM(I44,I30)</f>
        <v>6146945.6800000006</v>
      </c>
      <c r="N46" s="603" t="s">
        <v>44</v>
      </c>
      <c r="O46" s="603"/>
      <c r="P46" s="603"/>
      <c r="Q46" s="603"/>
      <c r="R46" s="35">
        <f>R44+T30</f>
        <v>0</v>
      </c>
      <c r="S46" s="617" t="s">
        <v>42</v>
      </c>
      <c r="T46" s="617"/>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396</v>
      </c>
      <c r="B48" s="26"/>
      <c r="C48" s="26"/>
      <c r="D48" s="26"/>
      <c r="E48" s="26"/>
      <c r="F48" s="34"/>
      <c r="G48" s="27"/>
      <c r="H48" s="27"/>
      <c r="I48" s="101"/>
      <c r="N48" s="383" t="s">
        <v>396</v>
      </c>
      <c r="O48" s="28"/>
      <c r="P48" s="28"/>
      <c r="Q48" s="28"/>
      <c r="R48" s="35"/>
      <c r="S48" s="30"/>
      <c r="T48" s="30"/>
      <c r="U48" s="402"/>
    </row>
    <row r="49" spans="1:22" s="391" customFormat="1" ht="9" customHeight="1" x14ac:dyDescent="0.2">
      <c r="A49" s="481" t="s">
        <v>397</v>
      </c>
      <c r="F49" s="392"/>
      <c r="G49" s="393"/>
      <c r="H49" s="393"/>
      <c r="I49" s="394"/>
      <c r="N49" s="403" t="s">
        <v>397</v>
      </c>
      <c r="O49" s="395"/>
      <c r="P49" s="395"/>
      <c r="Q49" s="395"/>
      <c r="R49" s="396"/>
      <c r="S49" s="397"/>
      <c r="T49" s="397"/>
      <c r="U49" s="404"/>
    </row>
    <row r="50" spans="1:22" s="391" customFormat="1" ht="11.25" customHeight="1" x14ac:dyDescent="0.2">
      <c r="A50" s="483" t="s">
        <v>398</v>
      </c>
      <c r="F50" s="392"/>
      <c r="G50" s="393"/>
      <c r="H50" s="393"/>
      <c r="I50" s="394"/>
      <c r="N50" s="405" t="s">
        <v>398</v>
      </c>
      <c r="O50" s="395"/>
      <c r="P50" s="395"/>
      <c r="Q50" s="395"/>
      <c r="R50" s="396"/>
      <c r="S50" s="397"/>
      <c r="T50" s="397"/>
      <c r="U50" s="404"/>
    </row>
    <row r="51" spans="1:22" x14ac:dyDescent="0.25">
      <c r="A51" s="389"/>
      <c r="B51" s="399" t="s">
        <v>399</v>
      </c>
      <c r="C51" s="26"/>
      <c r="D51" s="26"/>
      <c r="E51" s="43" t="s">
        <v>400</v>
      </c>
      <c r="F51" s="400">
        <f>I46</f>
        <v>6146945.6800000006</v>
      </c>
      <c r="G51" s="109" t="s">
        <v>6</v>
      </c>
      <c r="H51" s="401">
        <v>4.5199999999999997E-2</v>
      </c>
      <c r="I51" s="101">
        <f>ROUND(F51*H51,2)</f>
        <v>277841.94</v>
      </c>
      <c r="N51" s="406"/>
      <c r="O51" s="407" t="s">
        <v>399</v>
      </c>
      <c r="P51" s="28"/>
      <c r="Q51" s="44" t="s">
        <v>400</v>
      </c>
      <c r="R51" s="408">
        <f>U30</f>
        <v>0</v>
      </c>
      <c r="S51" s="409" t="s">
        <v>6</v>
      </c>
      <c r="T51" s="410">
        <v>4.5199999999999997E-2</v>
      </c>
      <c r="U51" s="402">
        <f>ROUND(R51*T51,2)</f>
        <v>0</v>
      </c>
    </row>
    <row r="52" spans="1:22" x14ac:dyDescent="0.25">
      <c r="A52" s="26"/>
      <c r="B52" s="81" t="s">
        <v>401</v>
      </c>
      <c r="C52" s="26"/>
      <c r="D52" s="26"/>
      <c r="E52" s="43" t="s">
        <v>400</v>
      </c>
      <c r="F52" s="400">
        <f>I46</f>
        <v>6146945.6800000006</v>
      </c>
      <c r="G52" s="109" t="s">
        <v>6</v>
      </c>
      <c r="H52" s="401">
        <v>1.41E-2</v>
      </c>
      <c r="I52" s="101">
        <f>ROUND(F52*H52,2)</f>
        <v>86671.93</v>
      </c>
      <c r="N52" s="28"/>
      <c r="O52" s="383" t="s">
        <v>401</v>
      </c>
      <c r="P52" s="28"/>
      <c r="Q52" s="44" t="s">
        <v>400</v>
      </c>
      <c r="R52" s="408">
        <f>U30</f>
        <v>0</v>
      </c>
      <c r="S52" s="409" t="s">
        <v>6</v>
      </c>
      <c r="T52" s="410">
        <v>1.41E-2</v>
      </c>
      <c r="U52" s="411">
        <f>ROUND(R52*T52,2)</f>
        <v>0</v>
      </c>
    </row>
    <row r="53" spans="1:22" x14ac:dyDescent="0.25">
      <c r="A53" s="26"/>
      <c r="B53" s="81" t="s">
        <v>402</v>
      </c>
      <c r="C53" s="26"/>
      <c r="D53" s="26"/>
      <c r="E53" s="43"/>
      <c r="F53" s="400"/>
      <c r="G53" s="109"/>
      <c r="H53" s="401"/>
      <c r="I53" s="97">
        <f>SUM(I51:I52)</f>
        <v>364513.87</v>
      </c>
      <c r="N53" s="28"/>
      <c r="O53" s="383" t="s">
        <v>402</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440</v>
      </c>
      <c r="G55" s="109" t="s">
        <v>441</v>
      </c>
      <c r="H55" s="454" t="s">
        <v>442</v>
      </c>
      <c r="I55" s="101"/>
      <c r="N55" s="448"/>
      <c r="O55" s="448"/>
      <c r="P55" s="464"/>
      <c r="Q55" s="465"/>
      <c r="R55" s="466"/>
      <c r="S55" s="468" t="s">
        <v>441</v>
      </c>
      <c r="T55" s="469" t="s">
        <v>442</v>
      </c>
      <c r="U55" s="467"/>
      <c r="V55" s="424"/>
    </row>
    <row r="56" spans="1:22" x14ac:dyDescent="0.25">
      <c r="A56" s="36" t="s">
        <v>443</v>
      </c>
      <c r="B56" s="36"/>
      <c r="C56" s="324" t="str">
        <f>'1461'!C56</f>
        <v>FTE</v>
      </c>
      <c r="D56" s="324" t="str">
        <f>'1461'!D56</f>
        <v>FTE</v>
      </c>
      <c r="E56" s="90" t="s">
        <v>2</v>
      </c>
      <c r="F56" s="439" t="s">
        <v>444</v>
      </c>
      <c r="G56" s="441" t="s">
        <v>444</v>
      </c>
      <c r="H56" s="455" t="s">
        <v>445</v>
      </c>
      <c r="I56" s="36"/>
      <c r="N56" s="459" t="s">
        <v>443</v>
      </c>
      <c r="O56" s="459"/>
      <c r="P56" s="620" t="s">
        <v>2</v>
      </c>
      <c r="Q56" s="620"/>
      <c r="R56" s="459" t="s">
        <v>449</v>
      </c>
      <c r="S56" s="450" t="s">
        <v>444</v>
      </c>
      <c r="T56" s="470" t="s">
        <v>445</v>
      </c>
      <c r="U56" s="459"/>
      <c r="V56" s="458"/>
    </row>
    <row r="57" spans="1:22" x14ac:dyDescent="0.25">
      <c r="A57" s="588" t="s">
        <v>447</v>
      </c>
      <c r="B57" s="588"/>
      <c r="C57" s="143">
        <v>34</v>
      </c>
      <c r="D57" s="143">
        <v>36.479999999999997</v>
      </c>
      <c r="E57" s="116">
        <f t="shared" ref="E57:E65" si="10">IF(D$66=0,C57*2,C57+D57)</f>
        <v>70.47999999999999</v>
      </c>
      <c r="F57" s="443" t="s">
        <v>439</v>
      </c>
      <c r="G57" s="443">
        <v>251</v>
      </c>
      <c r="H57" s="457">
        <f>'1461'!H57</f>
        <v>1047</v>
      </c>
      <c r="I57" s="101">
        <f>ROUND(E57*H57,2)</f>
        <v>73792.56</v>
      </c>
      <c r="N57" s="618" t="s">
        <v>447</v>
      </c>
      <c r="O57" s="618"/>
      <c r="P57" s="621"/>
      <c r="Q57" s="621"/>
      <c r="R57" s="449" t="s">
        <v>439</v>
      </c>
      <c r="S57" s="449">
        <v>251</v>
      </c>
      <c r="T57" s="460">
        <f>H57</f>
        <v>1047</v>
      </c>
      <c r="U57" s="474">
        <f>ROUND(P57*T57,2)</f>
        <v>0</v>
      </c>
      <c r="V57" s="424"/>
    </row>
    <row r="58" spans="1:22" x14ac:dyDescent="0.25">
      <c r="A58" s="589"/>
      <c r="B58" s="589"/>
      <c r="C58" s="143">
        <v>3.5</v>
      </c>
      <c r="D58" s="143">
        <v>4.01</v>
      </c>
      <c r="E58" s="116">
        <f t="shared" si="10"/>
        <v>7.51</v>
      </c>
      <c r="F58" s="443" t="s">
        <v>439</v>
      </c>
      <c r="G58" s="443">
        <v>252</v>
      </c>
      <c r="H58" s="457">
        <f>'1461'!H58</f>
        <v>3380</v>
      </c>
      <c r="I58" s="101">
        <f t="shared" ref="I58:I65" si="11">ROUND(E58*H58,2)</f>
        <v>25383.8</v>
      </c>
      <c r="N58" s="619"/>
      <c r="O58" s="619"/>
      <c r="P58" s="622"/>
      <c r="Q58" s="622"/>
      <c r="R58" s="449" t="s">
        <v>439</v>
      </c>
      <c r="S58" s="449">
        <v>252</v>
      </c>
      <c r="T58" s="460">
        <f t="shared" ref="T58:T65" si="12">H58</f>
        <v>3380</v>
      </c>
      <c r="U58" s="474">
        <f t="shared" ref="U58:U65" si="13">ROUND(P58*T58,2)</f>
        <v>0</v>
      </c>
      <c r="V58" s="424"/>
    </row>
    <row r="59" spans="1:22" x14ac:dyDescent="0.25">
      <c r="A59" s="589"/>
      <c r="B59" s="589"/>
      <c r="C59" s="143">
        <v>0</v>
      </c>
      <c r="D59" s="143">
        <v>0</v>
      </c>
      <c r="E59" s="116">
        <f t="shared" si="10"/>
        <v>0</v>
      </c>
      <c r="F59" s="443" t="s">
        <v>439</v>
      </c>
      <c r="G59" s="443">
        <v>253</v>
      </c>
      <c r="H59" s="457">
        <f>'1461'!H59</f>
        <v>6896</v>
      </c>
      <c r="I59" s="101">
        <f t="shared" si="11"/>
        <v>0</v>
      </c>
      <c r="N59" s="619"/>
      <c r="O59" s="619"/>
      <c r="P59" s="622"/>
      <c r="Q59" s="622"/>
      <c r="R59" s="449" t="s">
        <v>439</v>
      </c>
      <c r="S59" s="449">
        <v>253</v>
      </c>
      <c r="T59" s="460">
        <f t="shared" si="12"/>
        <v>6896</v>
      </c>
      <c r="U59" s="474">
        <f t="shared" si="13"/>
        <v>0</v>
      </c>
      <c r="V59" s="424"/>
    </row>
    <row r="60" spans="1:22" x14ac:dyDescent="0.25">
      <c r="A60" s="589"/>
      <c r="B60" s="589"/>
      <c r="C60" s="143">
        <v>55.5</v>
      </c>
      <c r="D60" s="143">
        <v>55.6</v>
      </c>
      <c r="E60" s="116">
        <f t="shared" si="10"/>
        <v>111.1</v>
      </c>
      <c r="F60" s="444" t="s">
        <v>13</v>
      </c>
      <c r="G60" s="443">
        <v>251</v>
      </c>
      <c r="H60" s="457">
        <f>'1461'!H60</f>
        <v>1173</v>
      </c>
      <c r="I60" s="101">
        <f t="shared" si="11"/>
        <v>130320.3</v>
      </c>
      <c r="N60" s="619"/>
      <c r="O60" s="619"/>
      <c r="P60" s="622"/>
      <c r="Q60" s="622"/>
      <c r="R60" s="40" t="s">
        <v>13</v>
      </c>
      <c r="S60" s="449">
        <v>251</v>
      </c>
      <c r="T60" s="460">
        <f t="shared" si="12"/>
        <v>1173</v>
      </c>
      <c r="U60" s="474">
        <f t="shared" si="13"/>
        <v>0</v>
      </c>
      <c r="V60" s="424"/>
    </row>
    <row r="61" spans="1:22" x14ac:dyDescent="0.25">
      <c r="A61" s="589"/>
      <c r="B61" s="589"/>
      <c r="C61" s="143">
        <v>2</v>
      </c>
      <c r="D61" s="143">
        <v>2.11</v>
      </c>
      <c r="E61" s="116">
        <f t="shared" si="10"/>
        <v>4.1099999999999994</v>
      </c>
      <c r="F61" s="444" t="s">
        <v>13</v>
      </c>
      <c r="G61" s="443">
        <v>252</v>
      </c>
      <c r="H61" s="457">
        <f>'1461'!H61</f>
        <v>3506</v>
      </c>
      <c r="I61" s="101">
        <f t="shared" si="11"/>
        <v>14409.66</v>
      </c>
      <c r="N61" s="619"/>
      <c r="O61" s="619"/>
      <c r="P61" s="622"/>
      <c r="Q61" s="622"/>
      <c r="R61" s="40" t="s">
        <v>13</v>
      </c>
      <c r="S61" s="449">
        <v>252</v>
      </c>
      <c r="T61" s="460">
        <f t="shared" si="12"/>
        <v>3506</v>
      </c>
      <c r="U61" s="474">
        <f t="shared" si="13"/>
        <v>0</v>
      </c>
      <c r="V61" s="424"/>
    </row>
    <row r="62" spans="1:22" x14ac:dyDescent="0.25">
      <c r="A62" s="589"/>
      <c r="B62" s="589"/>
      <c r="C62" s="143">
        <v>0</v>
      </c>
      <c r="D62" s="143">
        <v>0</v>
      </c>
      <c r="E62" s="116">
        <f t="shared" si="10"/>
        <v>0</v>
      </c>
      <c r="F62" s="444" t="s">
        <v>13</v>
      </c>
      <c r="G62" s="443">
        <v>253</v>
      </c>
      <c r="H62" s="457">
        <f>'1461'!H62</f>
        <v>7023</v>
      </c>
      <c r="I62" s="101">
        <f t="shared" si="11"/>
        <v>0</v>
      </c>
      <c r="N62" s="619"/>
      <c r="O62" s="619"/>
      <c r="P62" s="622"/>
      <c r="Q62" s="622"/>
      <c r="R62" s="40" t="s">
        <v>13</v>
      </c>
      <c r="S62" s="449">
        <v>253</v>
      </c>
      <c r="T62" s="460">
        <f t="shared" si="12"/>
        <v>7023</v>
      </c>
      <c r="U62" s="474">
        <f t="shared" si="13"/>
        <v>0</v>
      </c>
      <c r="V62" s="424"/>
    </row>
    <row r="63" spans="1:22" x14ac:dyDescent="0.25">
      <c r="A63" s="589"/>
      <c r="B63" s="589"/>
      <c r="C63" s="143">
        <v>0</v>
      </c>
      <c r="D63" s="143">
        <v>0</v>
      </c>
      <c r="E63" s="116">
        <f t="shared" si="10"/>
        <v>0</v>
      </c>
      <c r="F63" s="444" t="s">
        <v>14</v>
      </c>
      <c r="G63" s="443">
        <v>251</v>
      </c>
      <c r="H63" s="457">
        <f>'1461'!H63</f>
        <v>835</v>
      </c>
      <c r="I63" s="101">
        <f t="shared" si="11"/>
        <v>0</v>
      </c>
      <c r="N63" s="619"/>
      <c r="O63" s="619"/>
      <c r="P63" s="622"/>
      <c r="Q63" s="622"/>
      <c r="R63" s="40" t="s">
        <v>14</v>
      </c>
      <c r="S63" s="449">
        <v>251</v>
      </c>
      <c r="T63" s="460">
        <f t="shared" si="12"/>
        <v>835</v>
      </c>
      <c r="U63" s="474">
        <f t="shared" si="13"/>
        <v>0</v>
      </c>
      <c r="V63" s="424"/>
    </row>
    <row r="64" spans="1:22" x14ac:dyDescent="0.25">
      <c r="A64" s="589"/>
      <c r="B64" s="589"/>
      <c r="C64" s="143">
        <v>0</v>
      </c>
      <c r="D64" s="143">
        <v>0</v>
      </c>
      <c r="E64" s="116">
        <f t="shared" si="10"/>
        <v>0</v>
      </c>
      <c r="F64" s="444" t="s">
        <v>14</v>
      </c>
      <c r="G64" s="443">
        <v>252</v>
      </c>
      <c r="H64" s="457">
        <f>'1461'!H64</f>
        <v>3168</v>
      </c>
      <c r="I64" s="101">
        <f t="shared" si="11"/>
        <v>0</v>
      </c>
      <c r="N64" s="619"/>
      <c r="O64" s="619"/>
      <c r="P64" s="622"/>
      <c r="Q64" s="622"/>
      <c r="R64" s="40" t="s">
        <v>14</v>
      </c>
      <c r="S64" s="449">
        <v>252</v>
      </c>
      <c r="T64" s="460">
        <f t="shared" si="12"/>
        <v>3168</v>
      </c>
      <c r="U64" s="474">
        <f t="shared" si="13"/>
        <v>0</v>
      </c>
      <c r="V64" s="424"/>
    </row>
    <row r="65" spans="1:22" ht="16.5" thickBot="1" x14ac:dyDescent="0.3">
      <c r="A65" s="589"/>
      <c r="B65" s="589"/>
      <c r="C65" s="143">
        <v>0</v>
      </c>
      <c r="D65" s="143">
        <v>0</v>
      </c>
      <c r="E65" s="116">
        <f t="shared" si="10"/>
        <v>0</v>
      </c>
      <c r="F65" s="444" t="s">
        <v>14</v>
      </c>
      <c r="G65" s="443">
        <v>253</v>
      </c>
      <c r="H65" s="457">
        <f>'1461'!H65</f>
        <v>6685</v>
      </c>
      <c r="I65" s="101">
        <f t="shared" si="11"/>
        <v>0</v>
      </c>
      <c r="N65" s="619"/>
      <c r="O65" s="619"/>
      <c r="P65" s="623"/>
      <c r="Q65" s="623"/>
      <c r="R65" s="40" t="s">
        <v>14</v>
      </c>
      <c r="S65" s="449">
        <v>253</v>
      </c>
      <c r="T65" s="460">
        <f t="shared" si="12"/>
        <v>6685</v>
      </c>
      <c r="U65" s="475">
        <f t="shared" si="13"/>
        <v>0</v>
      </c>
      <c r="V65" s="424"/>
    </row>
    <row r="66" spans="1:22" ht="16.5" thickBot="1" x14ac:dyDescent="0.3">
      <c r="A66" s="440"/>
      <c r="C66" s="97">
        <f>SUM(C57:C65)</f>
        <v>95</v>
      </c>
      <c r="D66" s="97">
        <f>SUM(D57:D65)</f>
        <v>98.2</v>
      </c>
      <c r="E66" s="97">
        <f>SUM(E57:E65)</f>
        <v>193.2</v>
      </c>
      <c r="F66" s="590" t="s">
        <v>448</v>
      </c>
      <c r="G66" s="590"/>
      <c r="H66" s="590"/>
      <c r="I66" s="97">
        <f>SUM(I57:I65)</f>
        <v>243906.32</v>
      </c>
      <c r="N66" s="446"/>
      <c r="O66" s="51"/>
      <c r="P66" s="602">
        <f>SUM(P57:P65)</f>
        <v>0</v>
      </c>
      <c r="Q66" s="602"/>
      <c r="R66" s="603" t="s">
        <v>448</v>
      </c>
      <c r="S66" s="603"/>
      <c r="T66" s="603"/>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450</v>
      </c>
      <c r="N68" s="453" t="s">
        <v>458</v>
      </c>
      <c r="O68" s="51"/>
      <c r="P68" s="51"/>
      <c r="Q68" s="51"/>
      <c r="R68" s="51"/>
      <c r="S68" s="51"/>
      <c r="T68" s="51"/>
      <c r="U68" s="51"/>
    </row>
    <row r="69" spans="1:22" x14ac:dyDescent="0.25">
      <c r="A69" s="584" t="s">
        <v>403</v>
      </c>
      <c r="B69" s="578"/>
      <c r="C69" s="112">
        <f>E30</f>
        <v>1047.68</v>
      </c>
      <c r="D69" s="565" t="s">
        <v>414</v>
      </c>
      <c r="E69" s="565"/>
      <c r="F69" s="565"/>
      <c r="G69" s="565"/>
      <c r="H69" s="300">
        <f>'1461'!H69</f>
        <v>210228.91</v>
      </c>
      <c r="I69" s="113"/>
      <c r="N69" s="600" t="s">
        <v>407</v>
      </c>
      <c r="O69" s="601"/>
      <c r="P69" s="41">
        <f>P30</f>
        <v>0</v>
      </c>
      <c r="Q69" s="606" t="s">
        <v>409</v>
      </c>
      <c r="R69" s="607"/>
      <c r="S69" s="607"/>
      <c r="T69" s="604">
        <f>H69</f>
        <v>210228.91</v>
      </c>
      <c r="U69" s="604"/>
    </row>
    <row r="70" spans="1:22" x14ac:dyDescent="0.25">
      <c r="B70" s="69"/>
      <c r="G70" s="42" t="s">
        <v>12</v>
      </c>
      <c r="H70" s="114">
        <f>ROUND(C69/H69,6)</f>
        <v>4.9839999999999997E-3</v>
      </c>
      <c r="I70" s="115"/>
      <c r="N70" s="601"/>
      <c r="O70" s="601"/>
      <c r="P70" s="601"/>
      <c r="Q70" s="601"/>
      <c r="R70" s="601"/>
      <c r="S70" s="601"/>
      <c r="T70" s="605">
        <f>ROUND(P69/T69,6)</f>
        <v>0</v>
      </c>
      <c r="U70" s="605"/>
    </row>
    <row r="71" spans="1:22" x14ac:dyDescent="0.25">
      <c r="A71" s="442" t="s">
        <v>451</v>
      </c>
      <c r="N71" s="453" t="s">
        <v>459</v>
      </c>
      <c r="O71" s="51"/>
      <c r="P71" s="51"/>
      <c r="Q71" s="51"/>
      <c r="R71" s="51"/>
      <c r="S71" s="51"/>
      <c r="T71" s="51"/>
      <c r="U71" s="51"/>
    </row>
    <row r="72" spans="1:22" x14ac:dyDescent="0.25">
      <c r="A72" s="584" t="s">
        <v>404</v>
      </c>
      <c r="B72" s="578"/>
      <c r="C72" s="112">
        <f>H30</f>
        <v>1107.8604</v>
      </c>
      <c r="D72" s="565" t="s">
        <v>415</v>
      </c>
      <c r="E72" s="565"/>
      <c r="F72" s="565"/>
      <c r="G72" s="565"/>
      <c r="H72" s="301">
        <f>'1461'!H72</f>
        <v>234891.44</v>
      </c>
      <c r="I72" s="116"/>
      <c r="N72" s="600" t="s">
        <v>408</v>
      </c>
      <c r="O72" s="601"/>
      <c r="P72" s="41">
        <f>T30</f>
        <v>0</v>
      </c>
      <c r="Q72" s="606" t="s">
        <v>410</v>
      </c>
      <c r="R72" s="607"/>
      <c r="S72" s="607"/>
      <c r="T72" s="604">
        <f>H72</f>
        <v>234891.44</v>
      </c>
      <c r="U72" s="604"/>
    </row>
    <row r="73" spans="1:22" x14ac:dyDescent="0.25">
      <c r="G73" s="42" t="s">
        <v>12</v>
      </c>
      <c r="H73" s="114">
        <f>ROUND(C72/H72,6)</f>
        <v>4.7159999999999997E-3</v>
      </c>
      <c r="I73" s="114"/>
      <c r="N73" s="601"/>
      <c r="O73" s="601"/>
      <c r="P73" s="601"/>
      <c r="Q73" s="601"/>
      <c r="R73" s="601"/>
      <c r="S73" s="601"/>
      <c r="T73" s="605">
        <f>ROUND(P72/T72,6)</f>
        <v>0</v>
      </c>
      <c r="U73" s="605"/>
    </row>
    <row r="74" spans="1:22" x14ac:dyDescent="0.25">
      <c r="A74" s="417" t="s">
        <v>452</v>
      </c>
      <c r="B74" s="414"/>
      <c r="C74" s="414"/>
      <c r="D74" s="414"/>
      <c r="E74" s="414"/>
      <c r="F74" s="414"/>
      <c r="G74" s="414"/>
      <c r="H74" s="414"/>
      <c r="I74" s="414"/>
      <c r="N74" s="416" t="s">
        <v>460</v>
      </c>
      <c r="O74" s="415"/>
      <c r="P74" s="415"/>
      <c r="Q74" s="415"/>
      <c r="R74" s="415"/>
      <c r="S74" s="415"/>
      <c r="T74" s="415"/>
      <c r="U74" s="415"/>
      <c r="V74" s="414"/>
    </row>
    <row r="75" spans="1:22" x14ac:dyDescent="0.25">
      <c r="A75" s="584" t="s">
        <v>405</v>
      </c>
      <c r="B75" s="578"/>
      <c r="C75" s="112">
        <f>E30</f>
        <v>1047.68</v>
      </c>
      <c r="D75" s="557" t="s">
        <v>416</v>
      </c>
      <c r="E75" s="557"/>
      <c r="F75" s="557"/>
      <c r="G75" s="557"/>
      <c r="H75" s="300">
        <f>'1461'!H75</f>
        <v>187665.41</v>
      </c>
      <c r="I75" s="113"/>
      <c r="N75" s="600" t="s">
        <v>406</v>
      </c>
      <c r="O75" s="601"/>
      <c r="P75" s="41">
        <f>P30</f>
        <v>0</v>
      </c>
      <c r="Q75" s="636" t="s">
        <v>411</v>
      </c>
      <c r="R75" s="637"/>
      <c r="S75" s="637"/>
      <c r="T75" s="604">
        <f>H75</f>
        <v>187665.41</v>
      </c>
      <c r="U75" s="604"/>
    </row>
    <row r="76" spans="1:22" x14ac:dyDescent="0.25">
      <c r="B76" s="69"/>
      <c r="G76" s="42" t="s">
        <v>12</v>
      </c>
      <c r="H76" s="114">
        <f>ROUND(C75/H75,6)</f>
        <v>5.5830000000000003E-3</v>
      </c>
      <c r="I76" s="115"/>
      <c r="N76" s="601"/>
      <c r="O76" s="601"/>
      <c r="P76" s="601"/>
      <c r="Q76" s="601"/>
      <c r="R76" s="601"/>
      <c r="S76" s="601"/>
      <c r="T76" s="605">
        <f>ROUND(P75/T75,6)</f>
        <v>0</v>
      </c>
      <c r="U76" s="605"/>
    </row>
    <row r="77" spans="1:22" x14ac:dyDescent="0.25">
      <c r="A77" s="417" t="s">
        <v>453</v>
      </c>
      <c r="B77" s="414"/>
      <c r="C77" s="414"/>
      <c r="D77" s="414"/>
      <c r="E77" s="414"/>
      <c r="F77" s="414"/>
      <c r="G77" s="414"/>
      <c r="H77" s="414"/>
      <c r="I77" s="414"/>
      <c r="N77" s="416" t="s">
        <v>461</v>
      </c>
      <c r="O77" s="415"/>
      <c r="P77" s="415"/>
      <c r="Q77" s="415"/>
      <c r="R77" s="415"/>
      <c r="S77" s="415"/>
      <c r="T77" s="415"/>
      <c r="U77" s="415"/>
      <c r="V77" s="414"/>
    </row>
    <row r="78" spans="1:22" x14ac:dyDescent="0.25">
      <c r="A78" s="584" t="s">
        <v>405</v>
      </c>
      <c r="B78" s="578"/>
      <c r="C78" s="112">
        <f>E30</f>
        <v>1047.68</v>
      </c>
      <c r="D78" s="585" t="s">
        <v>417</v>
      </c>
      <c r="E78" s="585"/>
      <c r="F78" s="585"/>
      <c r="G78" s="585"/>
      <c r="H78" s="300">
        <f>'1461'!H78</f>
        <v>209892.26</v>
      </c>
      <c r="I78" s="113"/>
      <c r="N78" s="600" t="s">
        <v>406</v>
      </c>
      <c r="O78" s="601"/>
      <c r="P78" s="41">
        <f>P30</f>
        <v>0</v>
      </c>
      <c r="Q78" s="634" t="s">
        <v>412</v>
      </c>
      <c r="R78" s="635"/>
      <c r="S78" s="635"/>
      <c r="T78" s="604">
        <f>H78</f>
        <v>209892.26</v>
      </c>
      <c r="U78" s="604"/>
    </row>
    <row r="79" spans="1:22" x14ac:dyDescent="0.25">
      <c r="B79" s="69"/>
      <c r="G79" s="42" t="s">
        <v>12</v>
      </c>
      <c r="H79" s="114">
        <f>ROUND(C78/H78,6)</f>
        <v>4.9919999999999999E-3</v>
      </c>
      <c r="I79" s="115"/>
      <c r="N79" s="601"/>
      <c r="O79" s="601"/>
      <c r="P79" s="601"/>
      <c r="Q79" s="601"/>
      <c r="R79" s="601"/>
      <c r="S79" s="601"/>
      <c r="T79" s="605">
        <f>ROUND(P78/T78,6)</f>
        <v>0</v>
      </c>
      <c r="U79" s="605"/>
    </row>
    <row r="80" spans="1:22" x14ac:dyDescent="0.25">
      <c r="A80" s="417" t="s">
        <v>454</v>
      </c>
      <c r="B80" s="414"/>
      <c r="C80" s="414"/>
      <c r="D80" s="414"/>
      <c r="E80" s="414"/>
      <c r="F80" s="414"/>
      <c r="G80" s="414"/>
      <c r="H80" s="414"/>
      <c r="I80" s="414"/>
      <c r="N80" s="416" t="s">
        <v>462</v>
      </c>
      <c r="O80" s="415"/>
      <c r="P80" s="415"/>
      <c r="Q80" s="415"/>
      <c r="R80" s="415"/>
      <c r="S80" s="415"/>
      <c r="T80" s="415"/>
      <c r="U80" s="415"/>
      <c r="V80" s="414"/>
    </row>
    <row r="81" spans="1:21" x14ac:dyDescent="0.25">
      <c r="A81" s="584" t="s">
        <v>413</v>
      </c>
      <c r="B81" s="578"/>
      <c r="C81" s="112">
        <f>E30</f>
        <v>1047.68</v>
      </c>
      <c r="D81" s="557" t="s">
        <v>418</v>
      </c>
      <c r="E81" s="557"/>
      <c r="F81" s="557"/>
      <c r="G81" s="557"/>
      <c r="H81" s="300">
        <f>'1461'!H81</f>
        <v>187328.76</v>
      </c>
      <c r="I81" s="113"/>
      <c r="N81" s="600" t="s">
        <v>419</v>
      </c>
      <c r="O81" s="601"/>
      <c r="P81" s="41">
        <f>P30</f>
        <v>0</v>
      </c>
      <c r="Q81" s="636" t="s">
        <v>420</v>
      </c>
      <c r="R81" s="637"/>
      <c r="S81" s="637"/>
      <c r="T81" s="604">
        <f>H81</f>
        <v>187328.76</v>
      </c>
      <c r="U81" s="604"/>
    </row>
    <row r="82" spans="1:21" x14ac:dyDescent="0.25">
      <c r="B82" s="69"/>
      <c r="G82" s="42" t="s">
        <v>12</v>
      </c>
      <c r="H82" s="114">
        <f>ROUND(C81/H81,6)</f>
        <v>5.5929999999999999E-3</v>
      </c>
      <c r="I82" s="115"/>
      <c r="N82" s="601"/>
      <c r="O82" s="601"/>
      <c r="P82" s="601"/>
      <c r="Q82" s="601"/>
      <c r="R82" s="601"/>
      <c r="S82" s="601"/>
      <c r="T82" s="605">
        <f>ROUND(P81/T81,6)</f>
        <v>0</v>
      </c>
      <c r="U82" s="605"/>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455</v>
      </c>
      <c r="D85" s="69"/>
      <c r="E85" s="43" t="s">
        <v>299</v>
      </c>
      <c r="F85" s="302">
        <f>'1461'!F85</f>
        <v>46163704</v>
      </c>
      <c r="G85" s="37" t="s">
        <v>6</v>
      </c>
      <c r="H85" s="422">
        <f>H79</f>
        <v>4.9919999999999999E-3</v>
      </c>
      <c r="I85" s="101">
        <f>ROUND(F85*H85,2)</f>
        <v>230449.21</v>
      </c>
      <c r="N85" s="453" t="s">
        <v>455</v>
      </c>
      <c r="O85" s="51"/>
      <c r="P85" s="51"/>
      <c r="Q85" s="44"/>
      <c r="R85" s="419">
        <f>F85</f>
        <v>46163704</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87" t="s">
        <v>71</v>
      </c>
      <c r="B87" s="578"/>
      <c r="C87" s="578"/>
      <c r="D87" s="69"/>
      <c r="E87" s="43"/>
      <c r="F87" s="117"/>
      <c r="G87" s="37"/>
      <c r="H87" s="422"/>
      <c r="I87" s="101"/>
      <c r="N87" s="600" t="s">
        <v>463</v>
      </c>
      <c r="O87" s="601"/>
      <c r="P87" s="601"/>
      <c r="Q87" s="51"/>
      <c r="R87" s="420"/>
      <c r="S87" s="51"/>
      <c r="T87" s="38"/>
      <c r="U87" s="478"/>
    </row>
    <row r="88" spans="1:21" x14ac:dyDescent="0.25">
      <c r="A88" s="587" t="s">
        <v>99</v>
      </c>
      <c r="B88" s="578"/>
      <c r="C88" s="578"/>
      <c r="D88" s="69"/>
      <c r="E88" s="43" t="s">
        <v>3</v>
      </c>
      <c r="F88" s="302">
        <f>'1461'!F88</f>
        <v>0</v>
      </c>
      <c r="G88" s="37" t="s">
        <v>6</v>
      </c>
      <c r="H88" s="422">
        <f>H70</f>
        <v>4.9839999999999997E-3</v>
      </c>
      <c r="I88" s="101">
        <f>ROUND(F88*H88,2)</f>
        <v>0</v>
      </c>
      <c r="N88" s="638" t="s">
        <v>99</v>
      </c>
      <c r="O88" s="601"/>
      <c r="P88" s="601"/>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456</v>
      </c>
      <c r="D90" s="69"/>
      <c r="E90" s="43" t="s">
        <v>421</v>
      </c>
      <c r="F90" s="302">
        <f>'1461'!F90</f>
        <v>19042026</v>
      </c>
      <c r="G90" s="37" t="s">
        <v>6</v>
      </c>
      <c r="H90" s="422">
        <f>H82</f>
        <v>5.5929999999999999E-3</v>
      </c>
      <c r="I90" s="101">
        <f>ROUND(F90*H90,2)</f>
        <v>106502.05</v>
      </c>
      <c r="N90" s="453" t="s">
        <v>456</v>
      </c>
      <c r="O90" s="51"/>
      <c r="P90" s="51"/>
      <c r="Q90" s="44"/>
      <c r="R90" s="419">
        <f>F90</f>
        <v>19042026</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457</v>
      </c>
      <c r="D92" s="69"/>
      <c r="E92" s="43" t="s">
        <v>3</v>
      </c>
      <c r="F92" s="302">
        <f>'1461'!F92</f>
        <v>11441151</v>
      </c>
      <c r="G92" s="37" t="s">
        <v>6</v>
      </c>
      <c r="H92" s="422">
        <f>H76</f>
        <v>5.5830000000000003E-3</v>
      </c>
      <c r="I92" s="101">
        <f t="shared" ref="I92:I96" si="14">ROUND(F92*H92,2)</f>
        <v>63875.95</v>
      </c>
      <c r="N92" s="453" t="s">
        <v>457</v>
      </c>
      <c r="O92" s="51"/>
      <c r="P92" s="51"/>
      <c r="Q92" s="44"/>
      <c r="R92" s="419">
        <f t="shared" ref="R92:R96" si="15">F92</f>
        <v>11441151</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84" t="s">
        <v>422</v>
      </c>
      <c r="B94" s="578"/>
      <c r="C94" s="578"/>
      <c r="D94" s="69"/>
      <c r="E94" s="43" t="s">
        <v>4</v>
      </c>
      <c r="F94" s="302">
        <f>'1461'!F94</f>
        <v>247265670</v>
      </c>
      <c r="G94" s="37" t="s">
        <v>6</v>
      </c>
      <c r="H94" s="422">
        <f>H73</f>
        <v>4.7159999999999997E-3</v>
      </c>
      <c r="I94" s="101">
        <f t="shared" si="14"/>
        <v>1166104.8999999999</v>
      </c>
      <c r="N94" s="601" t="s">
        <v>422</v>
      </c>
      <c r="O94" s="601"/>
      <c r="P94" s="601"/>
      <c r="Q94" s="44"/>
      <c r="R94" s="419">
        <f t="shared" si="15"/>
        <v>247265670</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4" t="s">
        <v>423</v>
      </c>
      <c r="B96" s="578"/>
      <c r="C96" s="578"/>
      <c r="D96" s="69"/>
      <c r="E96" s="43" t="s">
        <v>4</v>
      </c>
      <c r="F96" s="302">
        <f>'1461'!F96</f>
        <v>0</v>
      </c>
      <c r="G96" s="37" t="s">
        <v>6</v>
      </c>
      <c r="H96" s="422">
        <f>H73</f>
        <v>4.7159999999999997E-3</v>
      </c>
      <c r="I96" s="101">
        <f t="shared" si="14"/>
        <v>0</v>
      </c>
      <c r="N96" s="600" t="s">
        <v>423</v>
      </c>
      <c r="O96" s="601"/>
      <c r="P96" s="601"/>
      <c r="Q96" s="44"/>
      <c r="R96" s="419">
        <f t="shared" si="15"/>
        <v>0</v>
      </c>
      <c r="S96" s="38" t="s">
        <v>6</v>
      </c>
      <c r="T96" s="421">
        <f>T73</f>
        <v>0</v>
      </c>
      <c r="U96" s="473">
        <f>ROUND(R96*T96,2)</f>
        <v>0</v>
      </c>
    </row>
    <row r="97" spans="1:21" x14ac:dyDescent="0.25">
      <c r="A97" s="530"/>
      <c r="B97" s="529"/>
      <c r="C97" s="529"/>
      <c r="D97" s="529"/>
      <c r="E97" s="527"/>
      <c r="F97" s="117"/>
      <c r="G97" s="528"/>
      <c r="H97" s="422"/>
      <c r="I97" s="101"/>
      <c r="N97" s="533"/>
      <c r="O97" s="532"/>
      <c r="P97" s="532"/>
      <c r="Q97" s="44"/>
      <c r="R97" s="535"/>
      <c r="S97" s="534"/>
      <c r="T97" s="421"/>
      <c r="U97" s="477"/>
    </row>
    <row r="98" spans="1:21" x14ac:dyDescent="0.25">
      <c r="A98" s="530" t="s">
        <v>497</v>
      </c>
      <c r="B98" s="529"/>
      <c r="C98" s="529"/>
      <c r="D98" s="529"/>
      <c r="E98" s="527" t="s">
        <v>3</v>
      </c>
      <c r="F98" s="290">
        <v>0</v>
      </c>
      <c r="G98" s="528" t="s">
        <v>6</v>
      </c>
      <c r="H98" s="422">
        <f>H70</f>
        <v>4.9839999999999997E-3</v>
      </c>
      <c r="I98" s="101">
        <f t="shared" ref="I98" si="16">ROUND(F98*H98,2)</f>
        <v>0</v>
      </c>
      <c r="N98" s="533" t="s">
        <v>497</v>
      </c>
      <c r="O98" s="533"/>
      <c r="P98" s="533"/>
      <c r="Q98" s="44"/>
      <c r="R98" s="536">
        <f>F98</f>
        <v>0</v>
      </c>
      <c r="S98" s="534" t="s">
        <v>6</v>
      </c>
      <c r="T98" s="421">
        <f>T70</f>
        <v>0</v>
      </c>
      <c r="U98" s="473">
        <f>ROUND(R98*T98,2)</f>
        <v>0</v>
      </c>
    </row>
    <row r="99" spans="1:21" x14ac:dyDescent="0.25">
      <c r="A99" s="530"/>
      <c r="B99" s="529"/>
      <c r="C99" s="529"/>
      <c r="D99" s="529"/>
      <c r="E99" s="527"/>
      <c r="F99" s="276"/>
      <c r="G99" s="528"/>
      <c r="H99" s="422"/>
      <c r="I99" s="101"/>
      <c r="N99" s="533"/>
      <c r="O99" s="533"/>
      <c r="P99" s="533"/>
      <c r="Q99" s="44"/>
      <c r="R99" s="535"/>
      <c r="S99" s="534"/>
      <c r="T99" s="421"/>
      <c r="U99" s="477"/>
    </row>
    <row r="100" spans="1:21" x14ac:dyDescent="0.25">
      <c r="A100" s="530"/>
      <c r="B100" s="529"/>
      <c r="C100" s="529"/>
      <c r="D100" s="529"/>
      <c r="E100" s="527"/>
      <c r="F100" s="276"/>
      <c r="G100" s="528"/>
      <c r="H100" s="422"/>
      <c r="I100" s="101"/>
      <c r="N100" s="533"/>
      <c r="O100" s="533"/>
      <c r="P100" s="533"/>
      <c r="Q100" s="44"/>
      <c r="R100" s="420"/>
      <c r="S100" s="534"/>
      <c r="T100" s="421"/>
      <c r="U100" s="103"/>
    </row>
    <row r="101" spans="1:21" x14ac:dyDescent="0.25">
      <c r="A101" s="399" t="s">
        <v>498</v>
      </c>
      <c r="N101" s="407" t="s">
        <v>498</v>
      </c>
      <c r="O101" s="51"/>
      <c r="P101" s="51"/>
      <c r="Q101" s="51"/>
      <c r="R101" s="51"/>
      <c r="S101" s="51"/>
      <c r="T101" s="51"/>
      <c r="U101" s="51"/>
    </row>
    <row r="102" spans="1:21" x14ac:dyDescent="0.25">
      <c r="B102" s="69"/>
      <c r="C102" s="563" t="s">
        <v>60</v>
      </c>
      <c r="D102" s="563"/>
      <c r="E102" s="69"/>
      <c r="F102" s="39" t="s">
        <v>28</v>
      </c>
      <c r="G102" s="69"/>
      <c r="H102" s="69"/>
      <c r="I102" s="69"/>
      <c r="N102" s="45"/>
      <c r="O102" s="45"/>
      <c r="P102" s="45"/>
      <c r="Q102" s="45"/>
      <c r="R102" s="45"/>
      <c r="S102" s="45"/>
      <c r="T102" s="45"/>
      <c r="U102" s="45"/>
    </row>
    <row r="103" spans="1:21" x14ac:dyDescent="0.25">
      <c r="A103" s="3"/>
      <c r="B103" s="118"/>
      <c r="C103" s="564" t="s">
        <v>101</v>
      </c>
      <c r="D103" s="564"/>
      <c r="E103" s="423" t="s">
        <v>426</v>
      </c>
      <c r="F103" s="120" t="s">
        <v>106</v>
      </c>
      <c r="G103" s="121"/>
      <c r="H103" s="121"/>
      <c r="I103" s="121"/>
      <c r="N103" s="631" t="s">
        <v>35</v>
      </c>
      <c r="O103" s="631"/>
      <c r="P103" s="672" t="s">
        <v>428</v>
      </c>
      <c r="Q103" s="633"/>
      <c r="R103" s="604" t="s">
        <v>31</v>
      </c>
      <c r="S103" s="604"/>
      <c r="T103" s="604"/>
      <c r="U103" s="604"/>
    </row>
    <row r="104" spans="1:21" x14ac:dyDescent="0.25">
      <c r="A104" s="26"/>
      <c r="B104" s="52" t="s">
        <v>105</v>
      </c>
      <c r="C104" s="596">
        <f>H14+H15+H20+H23+H26</f>
        <v>528.90260000000012</v>
      </c>
      <c r="D104" s="596"/>
      <c r="E104" s="46">
        <f>H8</f>
        <v>1.0407999999999999</v>
      </c>
      <c r="F104" s="303">
        <f>'1461'!F104</f>
        <v>950.92</v>
      </c>
      <c r="G104" s="39" t="s">
        <v>12</v>
      </c>
      <c r="H104" s="101">
        <f>ROUND(C104*E104*F104,2)</f>
        <v>523464.18</v>
      </c>
      <c r="I104" s="104"/>
      <c r="N104" s="28" t="s">
        <v>17</v>
      </c>
      <c r="O104" s="47">
        <f>T14+T15+T20+T23+T26</f>
        <v>0</v>
      </c>
      <c r="P104" s="611">
        <f>T8</f>
        <v>1.0407999999999999</v>
      </c>
      <c r="Q104" s="611"/>
      <c r="R104" s="48">
        <f>F104</f>
        <v>950.92</v>
      </c>
      <c r="S104" s="40" t="s">
        <v>12</v>
      </c>
      <c r="T104" s="479">
        <f>ROUND(O104*P104*R104,2)</f>
        <v>0</v>
      </c>
      <c r="U104" s="102"/>
    </row>
    <row r="105" spans="1:21" x14ac:dyDescent="0.25">
      <c r="A105" s="49"/>
      <c r="B105" s="49" t="s">
        <v>104</v>
      </c>
      <c r="C105" s="596">
        <f>H16+H17+H21+H24+H27</f>
        <v>578.95780000000002</v>
      </c>
      <c r="D105" s="596"/>
      <c r="E105" s="46">
        <f>H8</f>
        <v>1.0407999999999999</v>
      </c>
      <c r="F105" s="303">
        <f>'1461'!F105</f>
        <v>907.92</v>
      </c>
      <c r="G105" s="39" t="s">
        <v>12</v>
      </c>
      <c r="H105" s="101">
        <f>ROUND(C105*E105*F105,2)</f>
        <v>547093.78</v>
      </c>
      <c r="N105" s="50" t="s">
        <v>13</v>
      </c>
      <c r="O105" s="47">
        <f>T16+T17+T21+T24+T27</f>
        <v>0</v>
      </c>
      <c r="P105" s="611">
        <f>T8</f>
        <v>1.0407999999999999</v>
      </c>
      <c r="Q105" s="611"/>
      <c r="R105" s="48">
        <f>F105</f>
        <v>907.92</v>
      </c>
      <c r="S105" s="40" t="s">
        <v>12</v>
      </c>
      <c r="T105" s="479">
        <f>ROUND(O105*P105*R105,2)</f>
        <v>0</v>
      </c>
      <c r="U105" s="51"/>
    </row>
    <row r="106" spans="1:21" ht="16.5" thickBot="1" x14ac:dyDescent="0.3">
      <c r="A106" s="52"/>
      <c r="B106" s="52" t="s">
        <v>103</v>
      </c>
      <c r="C106" s="596">
        <f>H18+H19+H22+H25+H28+H29</f>
        <v>0</v>
      </c>
      <c r="D106" s="596"/>
      <c r="E106" s="46">
        <f>H8</f>
        <v>1.0407999999999999</v>
      </c>
      <c r="F106" s="303">
        <f>'1461'!F106</f>
        <v>910.12</v>
      </c>
      <c r="G106" s="39" t="s">
        <v>12</v>
      </c>
      <c r="H106" s="94">
        <f>ROUND(C106*E106*F106,2)</f>
        <v>0</v>
      </c>
      <c r="N106" s="53" t="s">
        <v>14</v>
      </c>
      <c r="O106" s="54">
        <f>T18+T19+T22+T25+T28+T29</f>
        <v>0</v>
      </c>
      <c r="P106" s="611">
        <f>T8</f>
        <v>1.0407999999999999</v>
      </c>
      <c r="Q106" s="611"/>
      <c r="R106" s="48">
        <f>F106</f>
        <v>910.12</v>
      </c>
      <c r="S106" s="40" t="s">
        <v>12</v>
      </c>
      <c r="T106" s="479">
        <f>ROUND(O106*P106*R106,2)</f>
        <v>0</v>
      </c>
      <c r="U106" s="51"/>
    </row>
    <row r="107" spans="1:21" ht="16.5" thickBot="1" x14ac:dyDescent="0.3">
      <c r="A107" s="55"/>
      <c r="B107" s="122" t="s">
        <v>102</v>
      </c>
      <c r="C107" s="586">
        <f>SUM(C104:C106)</f>
        <v>1107.8604</v>
      </c>
      <c r="D107" s="586"/>
      <c r="E107" s="123"/>
      <c r="F107" s="123"/>
      <c r="G107" s="123"/>
      <c r="H107" s="124" t="s">
        <v>100</v>
      </c>
      <c r="I107" s="101">
        <f>IF(A1=75,0,H106+H105+H104)</f>
        <v>1070557.96</v>
      </c>
      <c r="N107" s="56" t="s">
        <v>89</v>
      </c>
      <c r="O107" s="57">
        <f>SUM(O104:O106)</f>
        <v>0</v>
      </c>
      <c r="P107" s="612" t="s">
        <v>16</v>
      </c>
      <c r="Q107" s="613"/>
      <c r="R107" s="613"/>
      <c r="S107" s="613"/>
      <c r="T107" s="613"/>
      <c r="U107" s="473">
        <f>IF(N1=75,0,T106+T105+T104)</f>
        <v>0</v>
      </c>
    </row>
    <row r="108" spans="1:21" ht="16.5" thickTop="1" x14ac:dyDescent="0.25">
      <c r="A108" s="555" t="s">
        <v>65</v>
      </c>
      <c r="B108" s="555"/>
      <c r="C108" s="555"/>
      <c r="D108" s="555"/>
      <c r="E108" s="555"/>
      <c r="F108" s="555"/>
      <c r="G108" s="555"/>
      <c r="H108" s="555"/>
      <c r="I108" s="555"/>
      <c r="N108" s="614" t="s">
        <v>65</v>
      </c>
      <c r="O108" s="614"/>
      <c r="P108" s="614"/>
      <c r="Q108" s="614"/>
      <c r="R108" s="614"/>
      <c r="S108" s="614"/>
      <c r="T108" s="614"/>
      <c r="U108" s="614"/>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0" t="s">
        <v>499</v>
      </c>
      <c r="C110" s="43"/>
      <c r="D110" s="69"/>
      <c r="E110" s="43" t="s">
        <v>32</v>
      </c>
      <c r="F110" s="556"/>
      <c r="G110" s="556"/>
      <c r="H110" s="556"/>
      <c r="I110" s="556"/>
      <c r="N110" s="600" t="s">
        <v>499</v>
      </c>
      <c r="O110" s="601"/>
      <c r="P110" s="601"/>
      <c r="Q110" s="615"/>
      <c r="R110" s="615"/>
      <c r="S110" s="615"/>
      <c r="T110" s="615"/>
      <c r="U110" s="103"/>
    </row>
    <row r="111" spans="1:21" x14ac:dyDescent="0.25">
      <c r="B111" s="69"/>
      <c r="C111" s="88" t="s">
        <v>494</v>
      </c>
      <c r="D111" s="333" t="s">
        <v>495</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57" t="s">
        <v>381</v>
      </c>
      <c r="B113" s="558"/>
      <c r="C113" s="143">
        <v>74</v>
      </c>
      <c r="D113" s="143">
        <v>71</v>
      </c>
      <c r="E113" s="116">
        <f>(C113+D113)/2</f>
        <v>72.5</v>
      </c>
      <c r="F113" s="126" t="s">
        <v>30</v>
      </c>
      <c r="G113" s="304">
        <f>'1461'!G113</f>
        <v>576</v>
      </c>
      <c r="I113" s="101">
        <f>ROUND(G113*E113,2)</f>
        <v>41760</v>
      </c>
      <c r="N113" s="630" t="s">
        <v>52</v>
      </c>
      <c r="O113" s="630"/>
      <c r="P113" s="610">
        <f>IF(H133=1,E113,0)</f>
        <v>0</v>
      </c>
      <c r="Q113" s="610"/>
      <c r="R113" s="610"/>
      <c r="S113" s="83" t="s">
        <v>30</v>
      </c>
      <c r="T113" s="58">
        <f>G113</f>
        <v>576</v>
      </c>
      <c r="U113" s="473">
        <f>ROUND(T113*P113,2)</f>
        <v>0</v>
      </c>
    </row>
    <row r="114" spans="1:21" x14ac:dyDescent="0.25">
      <c r="A114" s="557" t="s">
        <v>382</v>
      </c>
      <c r="B114" s="558"/>
      <c r="C114" s="143">
        <v>0</v>
      </c>
      <c r="D114" s="143">
        <v>0</v>
      </c>
      <c r="E114" s="116">
        <f>(C114+D114)/2</f>
        <v>0</v>
      </c>
      <c r="F114" s="126" t="s">
        <v>30</v>
      </c>
      <c r="G114" s="304">
        <f>'1461'!G114</f>
        <v>1823</v>
      </c>
      <c r="I114" s="101">
        <f>ROUND(G114*E114,2)</f>
        <v>0</v>
      </c>
      <c r="N114" s="630" t="s">
        <v>64</v>
      </c>
      <c r="O114" s="630"/>
      <c r="P114" s="608"/>
      <c r="Q114" s="608"/>
      <c r="R114" s="608"/>
      <c r="S114" s="83" t="s">
        <v>30</v>
      </c>
      <c r="T114" s="58">
        <f>G114</f>
        <v>1823</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4" t="s">
        <v>430</v>
      </c>
      <c r="B117" s="578"/>
      <c r="C117" s="578"/>
      <c r="D117" s="69"/>
      <c r="E117" s="39" t="s">
        <v>300</v>
      </c>
      <c r="F117" s="563"/>
      <c r="G117" s="563"/>
      <c r="H117" s="563"/>
      <c r="I117" s="563"/>
      <c r="N117" s="600" t="s">
        <v>431</v>
      </c>
      <c r="O117" s="601"/>
      <c r="P117" s="601"/>
      <c r="Q117" s="601"/>
      <c r="R117" s="601"/>
      <c r="S117" s="601"/>
      <c r="T117" s="601"/>
      <c r="U117" s="601"/>
    </row>
    <row r="118" spans="1:21" hidden="1" x14ac:dyDescent="0.25">
      <c r="B118" s="69"/>
      <c r="C118" s="564" t="s">
        <v>66</v>
      </c>
      <c r="D118" s="564"/>
      <c r="E118" s="564"/>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5" t="s">
        <v>109</v>
      </c>
      <c r="G119" s="563"/>
      <c r="H119" s="37" t="s">
        <v>29</v>
      </c>
      <c r="I119" s="37"/>
      <c r="N119" s="45"/>
      <c r="O119" s="45"/>
      <c r="P119" s="45"/>
      <c r="Q119" s="45"/>
      <c r="R119" s="45"/>
      <c r="S119" s="45"/>
      <c r="T119" s="45"/>
      <c r="U119" s="45"/>
    </row>
    <row r="120" spans="1:21" hidden="1" x14ac:dyDescent="0.25">
      <c r="A120" s="564" t="s">
        <v>69</v>
      </c>
      <c r="B120" s="564"/>
      <c r="C120" s="90" t="s">
        <v>2</v>
      </c>
      <c r="D120" s="90" t="s">
        <v>2</v>
      </c>
      <c r="E120" s="59" t="s">
        <v>2</v>
      </c>
      <c r="F120" s="564" t="s">
        <v>28</v>
      </c>
      <c r="G120" s="564"/>
      <c r="H120" s="59" t="s">
        <v>28</v>
      </c>
      <c r="I120" s="59" t="s">
        <v>8</v>
      </c>
      <c r="N120" s="609" t="s">
        <v>53</v>
      </c>
      <c r="O120" s="609"/>
      <c r="P120" s="610" t="s">
        <v>66</v>
      </c>
      <c r="Q120" s="610"/>
      <c r="R120" s="609" t="s">
        <v>54</v>
      </c>
      <c r="S120" s="609"/>
      <c r="T120" s="60" t="s">
        <v>55</v>
      </c>
      <c r="U120" s="60" t="s">
        <v>8</v>
      </c>
    </row>
    <row r="121" spans="1:21" hidden="1" x14ac:dyDescent="0.25">
      <c r="A121" s="561" t="s">
        <v>56</v>
      </c>
      <c r="B121" s="561"/>
      <c r="C121" s="141">
        <v>0</v>
      </c>
      <c r="D121" s="141">
        <v>0</v>
      </c>
      <c r="E121" s="187">
        <f>IF(D30=0,C121*2,C121+D121)</f>
        <v>0</v>
      </c>
      <c r="F121" s="562">
        <v>0</v>
      </c>
      <c r="G121" s="562"/>
      <c r="H121" s="224">
        <f>IF(C121=0,0,125)</f>
        <v>0</v>
      </c>
      <c r="I121" s="101">
        <f>ROUND((H121+F121)*E121,2)</f>
        <v>0</v>
      </c>
      <c r="N121" s="601" t="s">
        <v>56</v>
      </c>
      <c r="O121" s="601"/>
      <c r="P121" s="608">
        <f>IF(H$133=1,C121,0)</f>
        <v>0</v>
      </c>
      <c r="Q121" s="608"/>
      <c r="R121" s="628">
        <f>F121</f>
        <v>0</v>
      </c>
      <c r="S121" s="628"/>
      <c r="T121" s="62">
        <f>H121</f>
        <v>0</v>
      </c>
      <c r="U121" s="96">
        <f>ROUND((T121+R121)*P121,0)</f>
        <v>0</v>
      </c>
    </row>
    <row r="122" spans="1:21" hidden="1" x14ac:dyDescent="0.25">
      <c r="A122" s="581" t="s">
        <v>57</v>
      </c>
      <c r="B122" s="581"/>
      <c r="C122" s="143">
        <v>0</v>
      </c>
      <c r="D122" s="143">
        <v>0</v>
      </c>
      <c r="E122" s="116">
        <f>IF(D31=0,C122*2,C122+D122)</f>
        <v>0</v>
      </c>
      <c r="F122" s="598">
        <f>ROUND(F121/2,2)</f>
        <v>0</v>
      </c>
      <c r="G122" s="598"/>
      <c r="H122" s="224">
        <f>IF(C122=0,0,62.5)</f>
        <v>0</v>
      </c>
      <c r="I122" s="101">
        <f>ROUND((H122+F122)*E122,2)</f>
        <v>0</v>
      </c>
      <c r="N122" s="601" t="s">
        <v>57</v>
      </c>
      <c r="O122" s="601"/>
      <c r="P122" s="608">
        <f>IF(H$133=1,C122,0)</f>
        <v>0</v>
      </c>
      <c r="Q122" s="608"/>
      <c r="R122" s="629">
        <f>ROUND(R121/2,2)</f>
        <v>0</v>
      </c>
      <c r="S122" s="629"/>
      <c r="T122" s="62">
        <f>H122</f>
        <v>0</v>
      </c>
      <c r="U122" s="96">
        <f>ROUND((T122+R122)*P122,0)</f>
        <v>0</v>
      </c>
    </row>
    <row r="123" spans="1:21" ht="16.5" hidden="1" thickBot="1" x14ac:dyDescent="0.3">
      <c r="A123" s="581" t="s">
        <v>58</v>
      </c>
      <c r="B123" s="581"/>
      <c r="C123" s="143">
        <v>0</v>
      </c>
      <c r="D123" s="143">
        <v>0</v>
      </c>
      <c r="E123" s="116">
        <f>IF(D32=0,C123*2,C123+D123)</f>
        <v>0</v>
      </c>
      <c r="F123" s="599"/>
      <c r="G123" s="599"/>
      <c r="H123" s="225">
        <f>IF(H121&gt;0,436,0)</f>
        <v>0</v>
      </c>
      <c r="I123" s="101">
        <f>ROUND(H123*E123,2)</f>
        <v>0</v>
      </c>
      <c r="N123" s="616" t="s">
        <v>58</v>
      </c>
      <c r="O123" s="616"/>
      <c r="P123" s="608">
        <f>IF(H$133=1,C123,0)</f>
        <v>0</v>
      </c>
      <c r="Q123" s="608"/>
      <c r="R123" s="609"/>
      <c r="S123" s="609"/>
      <c r="T123" s="64">
        <f>H123</f>
        <v>0</v>
      </c>
      <c r="U123" s="103">
        <f>ROUND(T123*P123,0)</f>
        <v>0</v>
      </c>
    </row>
    <row r="124" spans="1:21" ht="16.5" hidden="1" thickBot="1" x14ac:dyDescent="0.3">
      <c r="A124" s="563" t="s">
        <v>8</v>
      </c>
      <c r="B124" s="563"/>
      <c r="C124" s="65"/>
      <c r="D124" s="65"/>
      <c r="E124" s="65"/>
      <c r="F124" s="65"/>
      <c r="G124" s="65"/>
      <c r="H124" s="65"/>
      <c r="I124" s="97">
        <f>SUM(I121:I123)</f>
        <v>0</v>
      </c>
      <c r="N124" s="627" t="s">
        <v>8</v>
      </c>
      <c r="O124" s="627"/>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4" t="s">
        <v>432</v>
      </c>
      <c r="B126" s="578"/>
      <c r="C126" s="578"/>
      <c r="D126" s="69"/>
      <c r="E126" s="68" t="s">
        <v>34</v>
      </c>
      <c r="F126" s="597"/>
      <c r="G126" s="597"/>
      <c r="H126" s="597"/>
      <c r="I126" s="154">
        <v>0</v>
      </c>
      <c r="N126" s="600" t="s">
        <v>432</v>
      </c>
      <c r="O126" s="601"/>
      <c r="P126" s="601"/>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90" t="s">
        <v>8</v>
      </c>
      <c r="B128" s="590"/>
      <c r="C128" s="590"/>
      <c r="D128" s="590"/>
      <c r="E128" s="590"/>
      <c r="F128" s="590"/>
      <c r="G128" s="590"/>
      <c r="H128" s="590"/>
      <c r="I128" s="94">
        <f>SUM(I46,I66,I85,I88,I90,I92,I94,I96,I107,I113,I114,I124,I126)</f>
        <v>9070102.0700000003</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434</v>
      </c>
      <c r="B130" s="26"/>
      <c r="C130" s="26"/>
      <c r="D130" s="26"/>
      <c r="E130" s="26"/>
      <c r="F130" s="26"/>
      <c r="G130" s="26"/>
      <c r="H130" s="26"/>
      <c r="I130" s="101">
        <f>I128-I53</f>
        <v>8705588.2000000011</v>
      </c>
      <c r="N130" s="601" t="s">
        <v>434</v>
      </c>
      <c r="O130" s="601"/>
      <c r="P130" s="601"/>
      <c r="Q130" s="601"/>
      <c r="R130" s="601"/>
      <c r="S130" s="601"/>
      <c r="T130" s="601"/>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4" t="s">
        <v>502</v>
      </c>
      <c r="B132" s="578"/>
      <c r="C132" s="578"/>
      <c r="D132" s="578"/>
      <c r="E132" s="578"/>
      <c r="F132" s="578"/>
      <c r="G132" s="578"/>
      <c r="H132" s="81" t="s">
        <v>333</v>
      </c>
      <c r="I132" s="134"/>
      <c r="N132" s="600" t="s">
        <v>502</v>
      </c>
      <c r="O132" s="601"/>
      <c r="P132" s="601"/>
      <c r="Q132" s="601"/>
      <c r="R132" s="601"/>
      <c r="S132" s="601"/>
      <c r="T132" s="601"/>
      <c r="U132" s="138"/>
    </row>
    <row r="133" spans="1:21" x14ac:dyDescent="0.25">
      <c r="A133" s="578" t="s">
        <v>70</v>
      </c>
      <c r="B133" s="578"/>
      <c r="C133" s="578"/>
      <c r="D133" s="578"/>
      <c r="E133" s="578"/>
      <c r="F133" s="578"/>
      <c r="G133" s="578"/>
      <c r="H133" s="70" t="str">
        <f>IF(E30=0,"",IF((E15+E17+SUM(E19:E25))/E30&gt;0.75,1,""))</f>
        <v/>
      </c>
      <c r="I133" s="116">
        <f>U130</f>
        <v>0</v>
      </c>
      <c r="N133" s="601" t="s">
        <v>70</v>
      </c>
      <c r="O133" s="601"/>
      <c r="P133" s="601"/>
      <c r="Q133" s="601"/>
      <c r="R133" s="601"/>
      <c r="S133" s="601"/>
      <c r="T133" s="601"/>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8" t="s">
        <v>240</v>
      </c>
      <c r="H135" s="139">
        <f>IF(H133=1,I133,I130)</f>
        <v>8705588.2000000011</v>
      </c>
      <c r="I135" s="94">
        <f>ROUND(IF(E30=0,0,IF(E30&gt;250,-(((250/E30)*H135)*IF(G135="H",0.02,0.05)),IF(G135="H",-0.02*H135,-0.05*H135))),2)</f>
        <v>-41546.980000000003</v>
      </c>
      <c r="N135" s="626"/>
      <c r="O135" s="626"/>
      <c r="P135" s="626"/>
      <c r="Q135" s="626"/>
      <c r="R135" s="626"/>
      <c r="S135" s="626"/>
      <c r="T135" s="626"/>
      <c r="U135" s="626"/>
    </row>
    <row r="136" spans="1:21" x14ac:dyDescent="0.25">
      <c r="B136" s="69"/>
      <c r="C136" s="69"/>
      <c r="D136" s="69"/>
      <c r="E136" s="69"/>
      <c r="F136" s="69"/>
      <c r="G136" s="69"/>
      <c r="H136" s="65"/>
      <c r="I136" s="101"/>
      <c r="N136" s="624" t="s">
        <v>7</v>
      </c>
      <c r="O136" s="624"/>
      <c r="P136" s="624"/>
      <c r="Q136" s="624"/>
      <c r="R136" s="624"/>
      <c r="S136" s="624"/>
      <c r="T136" s="624"/>
      <c r="U136" s="624"/>
    </row>
    <row r="137" spans="1:21" x14ac:dyDescent="0.25">
      <c r="A137" s="309" t="s">
        <v>74</v>
      </c>
      <c r="B137" s="310"/>
      <c r="C137" s="310"/>
      <c r="D137" s="310"/>
      <c r="E137" s="310"/>
      <c r="F137" s="310"/>
      <c r="G137" s="310"/>
      <c r="H137" s="311"/>
      <c r="I137" s="312">
        <f>I128+I135</f>
        <v>9028555.0899999999</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Payments'!Q78</f>
        <v>0</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9028555.0899999999</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752379.59</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132564.78</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372</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373</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374</v>
      </c>
      <c r="B155" s="252"/>
      <c r="C155" s="252"/>
      <c r="D155" s="252"/>
      <c r="E155" s="252"/>
      <c r="F155" s="252"/>
      <c r="G155" s="252"/>
      <c r="H155" s="252"/>
      <c r="I155" s="252"/>
      <c r="N155" s="625"/>
      <c r="O155" s="625"/>
      <c r="P155" s="625"/>
      <c r="Q155" s="625"/>
      <c r="R155" s="625"/>
      <c r="S155" s="625"/>
      <c r="T155" s="625"/>
      <c r="U155" s="625"/>
    </row>
    <row r="156" spans="1:21" s="76" customFormat="1" x14ac:dyDescent="0.2">
      <c r="A156" s="320" t="s">
        <v>375</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376</v>
      </c>
      <c r="B157" s="252"/>
      <c r="C157" s="252"/>
      <c r="D157" s="252"/>
      <c r="E157" s="252"/>
      <c r="F157" s="252"/>
      <c r="G157" s="252"/>
      <c r="H157" s="252"/>
      <c r="I157" s="252"/>
      <c r="N157" s="78"/>
      <c r="O157" s="79"/>
      <c r="P157" s="79"/>
      <c r="Q157" s="79"/>
      <c r="R157" s="79"/>
      <c r="S157" s="79"/>
      <c r="T157" s="79"/>
      <c r="U157" s="79"/>
    </row>
    <row r="158" spans="1:21" s="76" customFormat="1" x14ac:dyDescent="0.2">
      <c r="A158" s="320" t="s">
        <v>377</v>
      </c>
      <c r="B158" s="252"/>
      <c r="C158" s="252"/>
      <c r="D158" s="252"/>
      <c r="E158" s="252"/>
      <c r="F158" s="252"/>
      <c r="G158" s="252"/>
      <c r="H158" s="252"/>
      <c r="I158" s="252"/>
      <c r="N158" s="78"/>
    </row>
    <row r="159" spans="1:21" s="76" customFormat="1" x14ac:dyDescent="0.2">
      <c r="A159" s="320" t="s">
        <v>379</v>
      </c>
      <c r="B159" s="252"/>
      <c r="C159" s="252"/>
      <c r="D159" s="252"/>
      <c r="E159" s="252"/>
      <c r="F159" s="252"/>
      <c r="G159" s="252"/>
      <c r="H159" s="252"/>
      <c r="I159" s="252"/>
      <c r="N159" s="78"/>
    </row>
    <row r="160" spans="1:21" s="76" customFormat="1" x14ac:dyDescent="0.2">
      <c r="A160" s="385" t="s">
        <v>378</v>
      </c>
      <c r="B160" s="252"/>
      <c r="C160" s="252"/>
      <c r="D160" s="252"/>
      <c r="E160" s="252"/>
      <c r="F160" s="252"/>
      <c r="G160" s="252"/>
      <c r="H160" s="252"/>
      <c r="I160" s="252"/>
      <c r="N160" s="78"/>
    </row>
    <row r="161" spans="1:14" s="76" customFormat="1" x14ac:dyDescent="0.2">
      <c r="A161" s="320" t="s">
        <v>380</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383</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385</v>
      </c>
      <c r="B165" s="293"/>
      <c r="C165" s="293"/>
      <c r="D165" s="293"/>
      <c r="E165" s="293"/>
      <c r="F165" s="293"/>
      <c r="G165" s="293"/>
      <c r="H165" s="293"/>
      <c r="I165" s="293"/>
      <c r="N165" s="78"/>
    </row>
    <row r="166" spans="1:14" s="76" customFormat="1" ht="15.75" customHeight="1" x14ac:dyDescent="0.2">
      <c r="A166" s="351" t="s">
        <v>384</v>
      </c>
      <c r="B166" s="293"/>
      <c r="C166" s="293"/>
      <c r="D166" s="293"/>
      <c r="E166" s="293"/>
      <c r="F166" s="293"/>
      <c r="G166" s="293"/>
      <c r="H166" s="293"/>
      <c r="I166" s="293"/>
      <c r="N166" s="78"/>
    </row>
    <row r="167" spans="1:14" s="76" customFormat="1" ht="15.75" customHeight="1" x14ac:dyDescent="0.2">
      <c r="A167" s="320" t="s">
        <v>386</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388</v>
      </c>
      <c r="B169" s="343"/>
      <c r="C169" s="343"/>
      <c r="D169" s="343"/>
      <c r="E169" s="343"/>
      <c r="F169" s="343"/>
      <c r="G169" s="343"/>
      <c r="H169" s="343"/>
      <c r="I169" s="343"/>
      <c r="N169" s="78"/>
    </row>
    <row r="170" spans="1:14" s="76" customFormat="1" ht="15.75" customHeight="1" x14ac:dyDescent="0.2">
      <c r="A170" s="351" t="s">
        <v>387</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389</v>
      </c>
      <c r="B175" s="293"/>
      <c r="C175" s="293"/>
      <c r="D175" s="293"/>
      <c r="E175" s="293"/>
      <c r="F175" s="293"/>
      <c r="G175" s="293"/>
      <c r="H175" s="293"/>
      <c r="I175" s="293"/>
      <c r="J175" s="3"/>
      <c r="K175" s="3"/>
      <c r="L175" s="3"/>
      <c r="M175" s="3"/>
      <c r="N175" s="78"/>
    </row>
    <row r="176" spans="1:14" s="76" customFormat="1" ht="15.75" customHeight="1" x14ac:dyDescent="0.2">
      <c r="A176" s="361" t="s">
        <v>390</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6" t="s">
        <v>15</v>
      </c>
      <c r="C1" s="567"/>
      <c r="D1" s="567"/>
      <c r="E1" s="567"/>
      <c r="F1" s="567"/>
      <c r="G1" s="567"/>
      <c r="H1" s="567"/>
      <c r="I1" s="567"/>
      <c r="J1" s="135"/>
      <c r="K1" s="135"/>
      <c r="L1" s="135"/>
      <c r="N1" s="82">
        <f>A1</f>
        <v>0</v>
      </c>
      <c r="O1" s="658" t="s">
        <v>15</v>
      </c>
      <c r="P1" s="659"/>
      <c r="Q1" s="659"/>
      <c r="R1" s="659"/>
      <c r="S1" s="659"/>
      <c r="T1" s="659"/>
      <c r="U1" s="659"/>
    </row>
    <row r="2" spans="1:21" ht="21" x14ac:dyDescent="0.35">
      <c r="A2" s="1" t="s">
        <v>117</v>
      </c>
      <c r="B2" s="2"/>
      <c r="C2" s="2"/>
      <c r="D2" s="2"/>
      <c r="E2" s="2"/>
      <c r="F2" s="2"/>
      <c r="G2" s="2"/>
      <c r="H2" s="2"/>
      <c r="I2" s="2"/>
      <c r="N2" s="660" t="s">
        <v>18</v>
      </c>
      <c r="O2" s="660"/>
      <c r="P2" s="660"/>
      <c r="Q2" s="660"/>
      <c r="R2" s="660"/>
      <c r="S2" s="660"/>
      <c r="T2" s="660"/>
      <c r="U2" s="660"/>
    </row>
    <row r="3" spans="1:21" x14ac:dyDescent="0.25">
      <c r="A3" s="81" t="str">
        <f>'1461'!A3</f>
        <v>Based on the FLDOE 2024-25 Conference Calculation</v>
      </c>
      <c r="N3" s="627" t="str">
        <f>A3</f>
        <v>Based on the FLDOE 2024-25 Conference Calculation</v>
      </c>
      <c r="O3" s="627"/>
      <c r="P3" s="627"/>
      <c r="Q3" s="627"/>
      <c r="R3" s="627"/>
      <c r="S3" s="627"/>
      <c r="T3" s="627"/>
      <c r="U3" s="627"/>
    </row>
    <row r="4" spans="1:21" x14ac:dyDescent="0.25">
      <c r="A4" s="568" t="s">
        <v>0</v>
      </c>
      <c r="B4" s="568"/>
      <c r="C4" s="569" t="s">
        <v>9</v>
      </c>
      <c r="D4" s="569"/>
      <c r="E4" s="569"/>
      <c r="F4" s="4" t="str">
        <f>'1461'!F4</f>
        <v>July 2024</v>
      </c>
      <c r="G4" s="4"/>
      <c r="H4" s="4"/>
      <c r="I4" s="4"/>
      <c r="N4" s="661" t="s">
        <v>0</v>
      </c>
      <c r="O4" s="661"/>
      <c r="P4" s="662" t="str">
        <f>C4</f>
        <v>Palm Beach</v>
      </c>
      <c r="Q4" s="662"/>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70" t="s">
        <v>433</v>
      </c>
      <c r="B7" s="664"/>
      <c r="C7" s="664"/>
      <c r="D7" s="664"/>
      <c r="E7" s="664"/>
      <c r="F7" s="664"/>
      <c r="G7" s="664"/>
      <c r="H7" s="664"/>
      <c r="I7" s="664"/>
      <c r="N7" s="661" t="str">
        <f>A7</f>
        <v>1A.   2023-24 FEFP State and Local Funding</v>
      </c>
      <c r="O7" s="661"/>
      <c r="P7" s="661"/>
      <c r="Q7" s="661"/>
      <c r="R7" s="661"/>
      <c r="S7" s="661"/>
      <c r="T7" s="661"/>
      <c r="U7" s="661"/>
    </row>
    <row r="8" spans="1:21" x14ac:dyDescent="0.25">
      <c r="A8" s="84"/>
      <c r="B8" s="85" t="s">
        <v>92</v>
      </c>
      <c r="C8" s="299">
        <f>'1461'!C8</f>
        <v>5330.98</v>
      </c>
      <c r="D8" s="86"/>
      <c r="E8" s="87"/>
      <c r="F8" s="84"/>
      <c r="G8" s="85" t="s">
        <v>393</v>
      </c>
      <c r="H8" s="287">
        <f>'1461'!H8</f>
        <v>1.0407999999999999</v>
      </c>
      <c r="I8" s="75"/>
      <c r="N8" s="665" t="s">
        <v>10</v>
      </c>
      <c r="O8" s="665"/>
      <c r="P8" s="666">
        <f>C8</f>
        <v>5330.98</v>
      </c>
      <c r="Q8" s="666"/>
      <c r="R8" s="648" t="s">
        <v>394</v>
      </c>
      <c r="S8" s="649"/>
      <c r="T8" s="650">
        <f>H8</f>
        <v>1.0407999999999999</v>
      </c>
      <c r="U8" s="650"/>
    </row>
    <row r="9" spans="1:21" x14ac:dyDescent="0.25">
      <c r="A9" s="84"/>
      <c r="B9" s="85"/>
      <c r="C9" s="222"/>
      <c r="D9" s="86"/>
      <c r="E9" s="87"/>
      <c r="F9" s="84"/>
      <c r="G9" s="85" t="s">
        <v>391</v>
      </c>
      <c r="H9" s="287">
        <f>'1461'!H9</f>
        <v>1</v>
      </c>
      <c r="I9" s="75"/>
      <c r="N9" s="12"/>
      <c r="O9" s="12"/>
      <c r="P9" s="13"/>
      <c r="Q9" s="13"/>
      <c r="R9" s="387" t="s">
        <v>392</v>
      </c>
      <c r="S9" s="384"/>
      <c r="T9" s="650">
        <f>H9</f>
        <v>1</v>
      </c>
      <c r="U9" s="650"/>
    </row>
    <row r="10" spans="1:21" x14ac:dyDescent="0.25">
      <c r="A10" s="7"/>
      <c r="B10" s="42" t="s">
        <v>310</v>
      </c>
      <c r="C10" s="456" t="str">
        <f>'1461'!C10</f>
        <v xml:space="preserve"> </v>
      </c>
      <c r="D10" s="88" t="str">
        <f>'1461'!D10</f>
        <v xml:space="preserve"> </v>
      </c>
      <c r="E10" s="8"/>
      <c r="F10" s="9"/>
      <c r="G10" s="9"/>
      <c r="H10" s="10"/>
      <c r="I10" s="305" t="str">
        <f>'1461'!I10</f>
        <v>2024-25</v>
      </c>
      <c r="N10" s="12"/>
      <c r="O10" s="12"/>
      <c r="P10" s="13"/>
      <c r="Q10" s="13"/>
      <c r="R10" s="14"/>
      <c r="S10" s="14"/>
      <c r="T10" s="15"/>
      <c r="U10" s="366" t="str">
        <f>I10</f>
        <v>2024-25</v>
      </c>
    </row>
    <row r="11" spans="1:21" x14ac:dyDescent="0.25">
      <c r="A11" s="7"/>
      <c r="B11" s="7"/>
      <c r="C11" s="88" t="str">
        <f>'1461'!C11</f>
        <v>Oct 2023</v>
      </c>
      <c r="D11" s="333" t="str">
        <f>'1461'!D11</f>
        <v>Feb 2024</v>
      </c>
      <c r="E11" s="89" t="s">
        <v>8</v>
      </c>
      <c r="F11" s="571" t="s">
        <v>1</v>
      </c>
      <c r="G11" s="571"/>
      <c r="H11" s="10" t="s">
        <v>60</v>
      </c>
      <c r="I11" s="11" t="s">
        <v>27</v>
      </c>
      <c r="N11" s="12"/>
      <c r="O11" s="12"/>
      <c r="P11" s="13"/>
      <c r="Q11" s="13"/>
      <c r="R11" s="651" t="s">
        <v>1</v>
      </c>
      <c r="S11" s="651"/>
      <c r="T11" s="15" t="s">
        <v>60</v>
      </c>
      <c r="U11" s="16" t="s">
        <v>27</v>
      </c>
    </row>
    <row r="12" spans="1:21" ht="15.75" customHeight="1" x14ac:dyDescent="0.25">
      <c r="A12" s="572" t="s">
        <v>1</v>
      </c>
      <c r="B12" s="572"/>
      <c r="C12" s="324" t="str">
        <f>'1461'!C12</f>
        <v>FTE</v>
      </c>
      <c r="D12" s="324" t="str">
        <f>'1461'!D12</f>
        <v>FTE</v>
      </c>
      <c r="E12" s="324" t="s">
        <v>2</v>
      </c>
      <c r="F12" s="573" t="s">
        <v>63</v>
      </c>
      <c r="G12" s="573"/>
      <c r="H12" s="17" t="s">
        <v>59</v>
      </c>
      <c r="I12" s="388" t="s">
        <v>395</v>
      </c>
      <c r="N12" s="639" t="s">
        <v>1</v>
      </c>
      <c r="O12" s="639"/>
      <c r="P12" s="652" t="s">
        <v>19</v>
      </c>
      <c r="Q12" s="652"/>
      <c r="R12" s="653" t="s">
        <v>63</v>
      </c>
      <c r="S12" s="653"/>
      <c r="T12" s="18" t="s">
        <v>59</v>
      </c>
      <c r="U12" s="19" t="str">
        <f>I12</f>
        <v>(WFTE x BSA x CWF x SDF)</v>
      </c>
    </row>
    <row r="13" spans="1:21" x14ac:dyDescent="0.25">
      <c r="A13" s="574" t="s">
        <v>36</v>
      </c>
      <c r="B13" s="574"/>
      <c r="C13" s="91"/>
      <c r="D13" s="91"/>
      <c r="E13" s="92" t="s">
        <v>37</v>
      </c>
      <c r="F13" s="575" t="s">
        <v>38</v>
      </c>
      <c r="G13" s="575"/>
      <c r="H13" s="20" t="s">
        <v>39</v>
      </c>
      <c r="I13" s="21" t="s">
        <v>40</v>
      </c>
      <c r="N13" s="654" t="s">
        <v>36</v>
      </c>
      <c r="O13" s="654"/>
      <c r="P13" s="655" t="s">
        <v>37</v>
      </c>
      <c r="Q13" s="655"/>
      <c r="R13" s="656" t="s">
        <v>38</v>
      </c>
      <c r="S13" s="656"/>
      <c r="T13" s="22" t="s">
        <v>39</v>
      </c>
      <c r="U13" s="23" t="s">
        <v>40</v>
      </c>
    </row>
    <row r="14" spans="1:21" x14ac:dyDescent="0.25">
      <c r="A14" s="576" t="s">
        <v>20</v>
      </c>
      <c r="B14" s="576"/>
      <c r="C14" s="143">
        <v>42.75</v>
      </c>
      <c r="D14" s="141">
        <v>40.75</v>
      </c>
      <c r="E14" s="187">
        <f>IF(D$30=0,C14*2,C14+D14)</f>
        <v>83.5</v>
      </c>
      <c r="F14" s="667">
        <f>'1461'!F14:G14</f>
        <v>1.1180000000000001</v>
      </c>
      <c r="G14" s="667"/>
      <c r="H14" s="145">
        <f>ROUND(E14*F14,4)</f>
        <v>93.352999999999994</v>
      </c>
      <c r="I14" s="111">
        <f>ROUND(ROUND(ROUND(H14*$C$8,4)*($H$8),2)*(MAX($H$9,1)),2)</f>
        <v>517967.63</v>
      </c>
      <c r="N14" s="641" t="s">
        <v>20</v>
      </c>
      <c r="O14" s="641"/>
      <c r="P14" s="642">
        <f t="shared" ref="P14:P29" si="0">IF($H$133=1,E14,0)</f>
        <v>0</v>
      </c>
      <c r="Q14" s="642"/>
      <c r="R14" s="657">
        <v>1</v>
      </c>
      <c r="S14" s="657"/>
      <c r="T14" s="95">
        <f>ROUND(P14*R14,4)</f>
        <v>0</v>
      </c>
      <c r="U14" s="473">
        <f>ROUND(ROUND(ROUND(T14*$C$8,4)*($H$8),2)*(MAX($H$9,1)),2)</f>
        <v>0</v>
      </c>
    </row>
    <row r="15" spans="1:21" x14ac:dyDescent="0.25">
      <c r="A15" s="578" t="s">
        <v>21</v>
      </c>
      <c r="B15" s="578"/>
      <c r="C15" s="143">
        <v>6.5</v>
      </c>
      <c r="D15" s="143">
        <v>6.5</v>
      </c>
      <c r="E15" s="116">
        <f t="shared" ref="E15:E29" si="1">IF(D$30=0,C15*2,C15+D15)</f>
        <v>13</v>
      </c>
      <c r="F15" s="663">
        <f>'1461'!F15:G15</f>
        <v>1.1180000000000001</v>
      </c>
      <c r="G15" s="663"/>
      <c r="H15" s="80">
        <f t="shared" ref="H15:H29" si="2">ROUND(E15*F15,4)</f>
        <v>14.534000000000001</v>
      </c>
      <c r="I15" s="101">
        <f t="shared" ref="I15:I29" si="3">ROUND(ROUND(ROUND(H15*$C$8,4)*($H$8),2)*(MAX($H$9,1)),2)</f>
        <v>80641.67</v>
      </c>
      <c r="J15" s="65" t="str">
        <f>IF(ROUND(E15,2)=ROUND(SUM(E57:E59),2)," ","CHECK PK-3 LINES BELOW")</f>
        <v xml:space="preserve"> </v>
      </c>
      <c r="N15" s="601" t="s">
        <v>21</v>
      </c>
      <c r="O15" s="601"/>
      <c r="P15" s="642">
        <f t="shared" si="0"/>
        <v>0</v>
      </c>
      <c r="Q15" s="642"/>
      <c r="R15" s="647">
        <v>1</v>
      </c>
      <c r="S15" s="647"/>
      <c r="T15" s="95">
        <f t="shared" ref="T15:T29" si="4">ROUND(P15*R15,4)</f>
        <v>0</v>
      </c>
      <c r="U15" s="473">
        <f t="shared" ref="U15:U29" si="5">ROUND(ROUND(ROUND(T15*$C$8,4)*($H$8),2)*(MAX($H$9,1)),2)</f>
        <v>0</v>
      </c>
    </row>
    <row r="16" spans="1:21" x14ac:dyDescent="0.25">
      <c r="A16" s="578" t="s">
        <v>22</v>
      </c>
      <c r="B16" s="578"/>
      <c r="C16" s="143">
        <v>60.66</v>
      </c>
      <c r="D16" s="143">
        <v>61.79</v>
      </c>
      <c r="E16" s="116">
        <f t="shared" si="1"/>
        <v>122.44999999999999</v>
      </c>
      <c r="F16" s="663">
        <f>'1461'!F16:G16</f>
        <v>1</v>
      </c>
      <c r="G16" s="663"/>
      <c r="H16" s="80">
        <f t="shared" si="2"/>
        <v>122.45</v>
      </c>
      <c r="I16" s="101">
        <f t="shared" si="3"/>
        <v>679411.86</v>
      </c>
      <c r="N16" s="601" t="s">
        <v>22</v>
      </c>
      <c r="O16" s="601"/>
      <c r="P16" s="642">
        <f t="shared" si="0"/>
        <v>0</v>
      </c>
      <c r="Q16" s="642"/>
      <c r="R16" s="647">
        <v>1</v>
      </c>
      <c r="S16" s="647"/>
      <c r="T16" s="95">
        <f t="shared" si="4"/>
        <v>0</v>
      </c>
      <c r="U16" s="473">
        <f t="shared" si="5"/>
        <v>0</v>
      </c>
    </row>
    <row r="17" spans="1:21" x14ac:dyDescent="0.25">
      <c r="A17" s="578" t="s">
        <v>23</v>
      </c>
      <c r="B17" s="578"/>
      <c r="C17" s="143">
        <v>13</v>
      </c>
      <c r="D17" s="143">
        <v>13</v>
      </c>
      <c r="E17" s="116">
        <f t="shared" si="1"/>
        <v>26</v>
      </c>
      <c r="F17" s="663">
        <f>'1461'!F17:G17</f>
        <v>1</v>
      </c>
      <c r="G17" s="663"/>
      <c r="H17" s="80">
        <f t="shared" si="2"/>
        <v>26</v>
      </c>
      <c r="I17" s="101">
        <f t="shared" si="3"/>
        <v>144260.57999999999</v>
      </c>
      <c r="J17" s="65" t="str">
        <f>IF(ROUND(E17,2)=ROUND(SUM(E60:E62),2)," ","CHECK 4-8 LINES BELOW")</f>
        <v xml:space="preserve"> </v>
      </c>
      <c r="N17" s="601" t="s">
        <v>23</v>
      </c>
      <c r="O17" s="601"/>
      <c r="P17" s="642">
        <f t="shared" si="0"/>
        <v>0</v>
      </c>
      <c r="Q17" s="642"/>
      <c r="R17" s="647">
        <v>1</v>
      </c>
      <c r="S17" s="647"/>
      <c r="T17" s="95">
        <f t="shared" si="4"/>
        <v>0</v>
      </c>
      <c r="U17" s="473">
        <f t="shared" si="5"/>
        <v>0</v>
      </c>
    </row>
    <row r="18" spans="1:21" x14ac:dyDescent="0.25">
      <c r="A18" s="578" t="s">
        <v>24</v>
      </c>
      <c r="B18" s="578"/>
      <c r="C18" s="143">
        <v>0</v>
      </c>
      <c r="D18" s="143">
        <v>0</v>
      </c>
      <c r="E18" s="116">
        <f t="shared" si="1"/>
        <v>0</v>
      </c>
      <c r="F18" s="663">
        <f>'1461'!F18:G18</f>
        <v>0.97799999999999998</v>
      </c>
      <c r="G18" s="663"/>
      <c r="H18" s="80">
        <f t="shared" si="2"/>
        <v>0</v>
      </c>
      <c r="I18" s="101">
        <f t="shared" si="3"/>
        <v>0</v>
      </c>
      <c r="N18" s="601" t="s">
        <v>24</v>
      </c>
      <c r="O18" s="601"/>
      <c r="P18" s="642">
        <f t="shared" si="0"/>
        <v>0</v>
      </c>
      <c r="Q18" s="642"/>
      <c r="R18" s="647">
        <v>1</v>
      </c>
      <c r="S18" s="647"/>
      <c r="T18" s="95">
        <f t="shared" si="4"/>
        <v>0</v>
      </c>
      <c r="U18" s="473">
        <f t="shared" si="5"/>
        <v>0</v>
      </c>
    </row>
    <row r="19" spans="1:21" x14ac:dyDescent="0.25">
      <c r="A19" s="578" t="s">
        <v>25</v>
      </c>
      <c r="B19" s="578"/>
      <c r="C19" s="143">
        <v>0</v>
      </c>
      <c r="D19" s="143">
        <v>0</v>
      </c>
      <c r="E19" s="116">
        <f t="shared" si="1"/>
        <v>0</v>
      </c>
      <c r="F19" s="663">
        <f>'1461'!F19:G19</f>
        <v>0.97799999999999998</v>
      </c>
      <c r="G19" s="663"/>
      <c r="H19" s="80">
        <f t="shared" si="2"/>
        <v>0</v>
      </c>
      <c r="I19" s="101">
        <f t="shared" si="3"/>
        <v>0</v>
      </c>
      <c r="J19" s="65" t="str">
        <f>IF(ROUND(E19,2)=ROUND(SUM(E63:E65),2)," ","CHECK 4-8 LINES BELOW")</f>
        <v xml:space="preserve"> </v>
      </c>
      <c r="N19" s="601" t="s">
        <v>25</v>
      </c>
      <c r="O19" s="601"/>
      <c r="P19" s="642">
        <f t="shared" si="0"/>
        <v>0</v>
      </c>
      <c r="Q19" s="642"/>
      <c r="R19" s="647">
        <v>1</v>
      </c>
      <c r="S19" s="647"/>
      <c r="T19" s="95">
        <f t="shared" si="4"/>
        <v>0</v>
      </c>
      <c r="U19" s="472">
        <f t="shared" si="5"/>
        <v>0</v>
      </c>
    </row>
    <row r="20" spans="1:21" x14ac:dyDescent="0.25">
      <c r="A20" s="578" t="s">
        <v>79</v>
      </c>
      <c r="B20" s="578"/>
      <c r="C20" s="143">
        <v>0</v>
      </c>
      <c r="D20" s="143">
        <v>0</v>
      </c>
      <c r="E20" s="116">
        <f t="shared" si="1"/>
        <v>0</v>
      </c>
      <c r="F20" s="663">
        <f>'1461'!F20:G20</f>
        <v>3.6970000000000001</v>
      </c>
      <c r="G20" s="663"/>
      <c r="H20" s="80">
        <f t="shared" si="2"/>
        <v>0</v>
      </c>
      <c r="I20" s="101">
        <f t="shared" si="3"/>
        <v>0</v>
      </c>
      <c r="N20" s="601" t="s">
        <v>79</v>
      </c>
      <c r="O20" s="601"/>
      <c r="P20" s="642">
        <f t="shared" si="0"/>
        <v>0</v>
      </c>
      <c r="Q20" s="642"/>
      <c r="R20" s="647">
        <v>1</v>
      </c>
      <c r="S20" s="647"/>
      <c r="T20" s="95">
        <f t="shared" si="4"/>
        <v>0</v>
      </c>
      <c r="U20" s="473">
        <f t="shared" si="5"/>
        <v>0</v>
      </c>
    </row>
    <row r="21" spans="1:21" x14ac:dyDescent="0.25">
      <c r="A21" s="578" t="s">
        <v>80</v>
      </c>
      <c r="B21" s="578"/>
      <c r="C21" s="143">
        <v>0</v>
      </c>
      <c r="D21" s="143">
        <v>0</v>
      </c>
      <c r="E21" s="116">
        <f t="shared" si="1"/>
        <v>0</v>
      </c>
      <c r="F21" s="663">
        <f>'1461'!F21:G21</f>
        <v>3.6970000000000001</v>
      </c>
      <c r="G21" s="663"/>
      <c r="H21" s="80">
        <f t="shared" si="2"/>
        <v>0</v>
      </c>
      <c r="I21" s="101">
        <f t="shared" si="3"/>
        <v>0</v>
      </c>
      <c r="N21" s="601" t="s">
        <v>80</v>
      </c>
      <c r="O21" s="601"/>
      <c r="P21" s="642">
        <f t="shared" si="0"/>
        <v>0</v>
      </c>
      <c r="Q21" s="642"/>
      <c r="R21" s="647">
        <v>1</v>
      </c>
      <c r="S21" s="647"/>
      <c r="T21" s="95">
        <f t="shared" si="4"/>
        <v>0</v>
      </c>
      <c r="U21" s="473">
        <f t="shared" si="5"/>
        <v>0</v>
      </c>
    </row>
    <row r="22" spans="1:21" x14ac:dyDescent="0.25">
      <c r="A22" s="578" t="s">
        <v>81</v>
      </c>
      <c r="B22" s="578"/>
      <c r="C22" s="143">
        <v>0</v>
      </c>
      <c r="D22" s="143">
        <v>0</v>
      </c>
      <c r="E22" s="116">
        <f t="shared" si="1"/>
        <v>0</v>
      </c>
      <c r="F22" s="663">
        <f>'1461'!F22:G22</f>
        <v>3.6970000000000001</v>
      </c>
      <c r="G22" s="663"/>
      <c r="H22" s="80">
        <f t="shared" si="2"/>
        <v>0</v>
      </c>
      <c r="I22" s="101">
        <f t="shared" si="3"/>
        <v>0</v>
      </c>
      <c r="N22" s="601" t="s">
        <v>81</v>
      </c>
      <c r="O22" s="601"/>
      <c r="P22" s="642">
        <f t="shared" si="0"/>
        <v>0</v>
      </c>
      <c r="Q22" s="642"/>
      <c r="R22" s="647">
        <v>1</v>
      </c>
      <c r="S22" s="647"/>
      <c r="T22" s="95">
        <f t="shared" si="4"/>
        <v>0</v>
      </c>
      <c r="U22" s="473">
        <f t="shared" si="5"/>
        <v>0</v>
      </c>
    </row>
    <row r="23" spans="1:21" x14ac:dyDescent="0.25">
      <c r="A23" s="578" t="s">
        <v>82</v>
      </c>
      <c r="B23" s="578"/>
      <c r="C23" s="143">
        <v>0</v>
      </c>
      <c r="D23" s="143">
        <v>0</v>
      </c>
      <c r="E23" s="116">
        <f t="shared" si="1"/>
        <v>0</v>
      </c>
      <c r="F23" s="663">
        <f>'1461'!F23:G23</f>
        <v>5.992</v>
      </c>
      <c r="G23" s="663"/>
      <c r="H23" s="80">
        <f t="shared" si="2"/>
        <v>0</v>
      </c>
      <c r="I23" s="101">
        <f t="shared" si="3"/>
        <v>0</v>
      </c>
      <c r="N23" s="601" t="s">
        <v>82</v>
      </c>
      <c r="O23" s="601"/>
      <c r="P23" s="642">
        <f t="shared" si="0"/>
        <v>0</v>
      </c>
      <c r="Q23" s="642"/>
      <c r="R23" s="647">
        <v>1</v>
      </c>
      <c r="S23" s="647"/>
      <c r="T23" s="95">
        <f t="shared" si="4"/>
        <v>0</v>
      </c>
      <c r="U23" s="473">
        <f t="shared" si="5"/>
        <v>0</v>
      </c>
    </row>
    <row r="24" spans="1:21" x14ac:dyDescent="0.25">
      <c r="A24" s="578" t="s">
        <v>83</v>
      </c>
      <c r="B24" s="578"/>
      <c r="C24" s="143">
        <v>0</v>
      </c>
      <c r="D24" s="143">
        <v>0</v>
      </c>
      <c r="E24" s="116">
        <f t="shared" si="1"/>
        <v>0</v>
      </c>
      <c r="F24" s="663">
        <f>'1461'!F24:G24</f>
        <v>5.992</v>
      </c>
      <c r="G24" s="663"/>
      <c r="H24" s="80">
        <f t="shared" si="2"/>
        <v>0</v>
      </c>
      <c r="I24" s="101">
        <f t="shared" si="3"/>
        <v>0</v>
      </c>
      <c r="N24" s="601" t="s">
        <v>83</v>
      </c>
      <c r="O24" s="601"/>
      <c r="P24" s="642">
        <f t="shared" si="0"/>
        <v>0</v>
      </c>
      <c r="Q24" s="642"/>
      <c r="R24" s="647">
        <v>1</v>
      </c>
      <c r="S24" s="647"/>
      <c r="T24" s="95">
        <f t="shared" si="4"/>
        <v>0</v>
      </c>
      <c r="U24" s="473">
        <f t="shared" si="5"/>
        <v>0</v>
      </c>
    </row>
    <row r="25" spans="1:21" x14ac:dyDescent="0.25">
      <c r="A25" s="578" t="s">
        <v>84</v>
      </c>
      <c r="B25" s="578"/>
      <c r="C25" s="143">
        <v>0</v>
      </c>
      <c r="D25" s="143">
        <v>0</v>
      </c>
      <c r="E25" s="116">
        <f t="shared" si="1"/>
        <v>0</v>
      </c>
      <c r="F25" s="663">
        <f>'1461'!F25:G25</f>
        <v>5.992</v>
      </c>
      <c r="G25" s="663"/>
      <c r="H25" s="80">
        <f t="shared" si="2"/>
        <v>0</v>
      </c>
      <c r="I25" s="101">
        <f t="shared" si="3"/>
        <v>0</v>
      </c>
      <c r="N25" s="601" t="s">
        <v>84</v>
      </c>
      <c r="O25" s="601"/>
      <c r="P25" s="642">
        <f t="shared" si="0"/>
        <v>0</v>
      </c>
      <c r="Q25" s="642"/>
      <c r="R25" s="647">
        <v>1</v>
      </c>
      <c r="S25" s="647"/>
      <c r="T25" s="95">
        <f t="shared" si="4"/>
        <v>0</v>
      </c>
      <c r="U25" s="473">
        <f t="shared" si="5"/>
        <v>0</v>
      </c>
    </row>
    <row r="26" spans="1:21" x14ac:dyDescent="0.25">
      <c r="A26" s="578" t="s">
        <v>85</v>
      </c>
      <c r="B26" s="578"/>
      <c r="C26" s="143">
        <v>2.75</v>
      </c>
      <c r="D26" s="143">
        <v>2.75</v>
      </c>
      <c r="E26" s="116">
        <f t="shared" si="1"/>
        <v>5.5</v>
      </c>
      <c r="F26" s="663">
        <f>'1461'!F26:G26</f>
        <v>1.1919999999999999</v>
      </c>
      <c r="G26" s="663"/>
      <c r="H26" s="80">
        <f t="shared" si="2"/>
        <v>6.556</v>
      </c>
      <c r="I26" s="101">
        <f t="shared" si="3"/>
        <v>36375.86</v>
      </c>
      <c r="N26" s="601" t="s">
        <v>85</v>
      </c>
      <c r="O26" s="601"/>
      <c r="P26" s="642">
        <f t="shared" si="0"/>
        <v>0</v>
      </c>
      <c r="Q26" s="642"/>
      <c r="R26" s="647">
        <v>1</v>
      </c>
      <c r="S26" s="647"/>
      <c r="T26" s="95">
        <f t="shared" si="4"/>
        <v>0</v>
      </c>
      <c r="U26" s="473">
        <f t="shared" si="5"/>
        <v>0</v>
      </c>
    </row>
    <row r="27" spans="1:21" x14ac:dyDescent="0.25">
      <c r="A27" s="578" t="s">
        <v>86</v>
      </c>
      <c r="B27" s="578"/>
      <c r="C27" s="143">
        <v>1.34</v>
      </c>
      <c r="D27" s="143">
        <v>2.64</v>
      </c>
      <c r="E27" s="116">
        <f t="shared" si="1"/>
        <v>3.9800000000000004</v>
      </c>
      <c r="F27" s="663">
        <f>'1461'!F27:G27</f>
        <v>1.1919999999999999</v>
      </c>
      <c r="G27" s="663"/>
      <c r="H27" s="80">
        <f t="shared" si="2"/>
        <v>4.7442000000000002</v>
      </c>
      <c r="I27" s="101">
        <f t="shared" si="3"/>
        <v>26323.119999999999</v>
      </c>
      <c r="N27" s="601" t="s">
        <v>86</v>
      </c>
      <c r="O27" s="601"/>
      <c r="P27" s="642">
        <f t="shared" si="0"/>
        <v>0</v>
      </c>
      <c r="Q27" s="642"/>
      <c r="R27" s="647">
        <v>1</v>
      </c>
      <c r="S27" s="647"/>
      <c r="T27" s="95">
        <f t="shared" si="4"/>
        <v>0</v>
      </c>
      <c r="U27" s="473">
        <f t="shared" si="5"/>
        <v>0</v>
      </c>
    </row>
    <row r="28" spans="1:21" x14ac:dyDescent="0.25">
      <c r="A28" s="578" t="s">
        <v>87</v>
      </c>
      <c r="B28" s="578"/>
      <c r="C28" s="143">
        <v>0</v>
      </c>
      <c r="D28" s="143">
        <v>0</v>
      </c>
      <c r="E28" s="116">
        <f t="shared" si="1"/>
        <v>0</v>
      </c>
      <c r="F28" s="663">
        <f>'1461'!F28:G28</f>
        <v>1.1919999999999999</v>
      </c>
      <c r="G28" s="663"/>
      <c r="H28" s="80">
        <f t="shared" si="2"/>
        <v>0</v>
      </c>
      <c r="I28" s="101">
        <f t="shared" si="3"/>
        <v>0</v>
      </c>
      <c r="N28" s="601" t="s">
        <v>87</v>
      </c>
      <c r="O28" s="601"/>
      <c r="P28" s="642">
        <f t="shared" si="0"/>
        <v>0</v>
      </c>
      <c r="Q28" s="642"/>
      <c r="R28" s="647">
        <v>1</v>
      </c>
      <c r="S28" s="647"/>
      <c r="T28" s="95">
        <f t="shared" si="4"/>
        <v>0</v>
      </c>
      <c r="U28" s="473">
        <f t="shared" si="5"/>
        <v>0</v>
      </c>
    </row>
    <row r="29" spans="1:21" x14ac:dyDescent="0.25">
      <c r="A29" s="578" t="s">
        <v>88</v>
      </c>
      <c r="B29" s="578"/>
      <c r="C29" s="110">
        <v>0</v>
      </c>
      <c r="D29" s="110">
        <v>0</v>
      </c>
      <c r="E29" s="154">
        <f t="shared" si="1"/>
        <v>0</v>
      </c>
      <c r="F29" s="663">
        <f>'1461'!F29:G29</f>
        <v>1.079</v>
      </c>
      <c r="G29" s="663"/>
      <c r="H29" s="93">
        <f t="shared" si="2"/>
        <v>0</v>
      </c>
      <c r="I29" s="94">
        <f t="shared" si="3"/>
        <v>0</v>
      </c>
      <c r="N29" s="616" t="s">
        <v>88</v>
      </c>
      <c r="O29" s="616"/>
      <c r="P29" s="642">
        <f t="shared" si="0"/>
        <v>0</v>
      </c>
      <c r="Q29" s="642"/>
      <c r="R29" s="643">
        <v>1</v>
      </c>
      <c r="S29" s="643"/>
      <c r="T29" s="95">
        <f t="shared" si="4"/>
        <v>0</v>
      </c>
      <c r="U29" s="473">
        <f t="shared" si="5"/>
        <v>0</v>
      </c>
    </row>
    <row r="30" spans="1:21" x14ac:dyDescent="0.25">
      <c r="A30" s="590" t="s">
        <v>5</v>
      </c>
      <c r="B30" s="590"/>
      <c r="C30" s="94">
        <f>SUM(C14:C29)</f>
        <v>127</v>
      </c>
      <c r="D30" s="94">
        <f>SUM(D14:D29)</f>
        <v>127.42999999999999</v>
      </c>
      <c r="E30" s="94">
        <f>SUM(E14:E29)</f>
        <v>254.42999999999998</v>
      </c>
      <c r="F30" s="582"/>
      <c r="G30" s="582"/>
      <c r="H30" s="99">
        <f>SUM(H14:H29)</f>
        <v>267.63719999999995</v>
      </c>
      <c r="I30" s="94">
        <f>SUM(I14:I29)</f>
        <v>1484980.7200000004</v>
      </c>
      <c r="N30" s="644" t="s">
        <v>5</v>
      </c>
      <c r="O30" s="644"/>
      <c r="P30" s="645">
        <f>SUM(P14:P29)</f>
        <v>0</v>
      </c>
      <c r="Q30" s="645"/>
      <c r="R30" s="617"/>
      <c r="S30" s="617"/>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0" t="s">
        <v>233</v>
      </c>
      <c r="G34" s="670"/>
      <c r="H34" s="670"/>
      <c r="I34" s="101"/>
      <c r="N34" s="28"/>
      <c r="O34" s="28"/>
      <c r="P34" s="29"/>
      <c r="Q34" s="29"/>
      <c r="R34" s="30"/>
      <c r="S34" s="30"/>
      <c r="T34" s="102"/>
      <c r="U34" s="103"/>
    </row>
    <row r="35" spans="1:21" hidden="1" x14ac:dyDescent="0.25">
      <c r="A35" s="3"/>
      <c r="B35" s="69"/>
      <c r="C35" s="69"/>
      <c r="D35" s="69"/>
      <c r="E35" s="69"/>
      <c r="F35" s="670"/>
      <c r="G35" s="670"/>
      <c r="H35" s="670"/>
      <c r="I35" s="24" t="s">
        <v>61</v>
      </c>
      <c r="N35" s="627" t="s">
        <v>26</v>
      </c>
      <c r="O35" s="627"/>
      <c r="P35" s="627"/>
      <c r="Q35" s="627"/>
      <c r="R35" s="627"/>
      <c r="S35" s="627"/>
      <c r="T35" s="627"/>
      <c r="U35" s="25" t="str">
        <f>I35</f>
        <v>2015-16</v>
      </c>
    </row>
    <row r="36" spans="1:21" hidden="1" x14ac:dyDescent="0.25">
      <c r="A36" s="26"/>
      <c r="B36" s="26"/>
      <c r="C36" s="88" t="s">
        <v>93</v>
      </c>
      <c r="D36" s="88" t="s">
        <v>94</v>
      </c>
      <c r="E36" s="89" t="s">
        <v>8</v>
      </c>
      <c r="F36" s="670"/>
      <c r="G36" s="670"/>
      <c r="H36" s="670"/>
      <c r="I36" s="24" t="s">
        <v>27</v>
      </c>
      <c r="N36" s="28"/>
      <c r="O36" s="28"/>
      <c r="P36" s="29"/>
      <c r="Q36" s="29"/>
      <c r="R36" s="30"/>
      <c r="S36" s="30"/>
      <c r="T36" s="102"/>
      <c r="U36" s="25" t="s">
        <v>27</v>
      </c>
    </row>
    <row r="37" spans="1:21" ht="26.25" hidden="1" x14ac:dyDescent="0.25">
      <c r="A37" s="572" t="s">
        <v>50</v>
      </c>
      <c r="B37" s="572"/>
      <c r="C37" s="90" t="s">
        <v>2</v>
      </c>
      <c r="D37" s="90" t="s">
        <v>2</v>
      </c>
      <c r="E37" s="90" t="s">
        <v>2</v>
      </c>
      <c r="F37" s="671"/>
      <c r="G37" s="671"/>
      <c r="H37" s="671"/>
      <c r="I37" s="31" t="s">
        <v>395</v>
      </c>
      <c r="N37" s="639" t="s">
        <v>50</v>
      </c>
      <c r="O37" s="639"/>
      <c r="P37" s="640" t="s">
        <v>19</v>
      </c>
      <c r="Q37" s="640"/>
      <c r="R37" s="640"/>
      <c r="S37" s="640"/>
      <c r="T37" s="640"/>
      <c r="U37" s="19" t="str">
        <f>I37</f>
        <v>(WFTE x BSA x CWF x SDF)</v>
      </c>
    </row>
    <row r="38" spans="1:21" hidden="1" x14ac:dyDescent="0.25">
      <c r="A38" s="576" t="s">
        <v>45</v>
      </c>
      <c r="B38" s="576"/>
      <c r="C38" s="147">
        <v>0</v>
      </c>
      <c r="D38" s="147">
        <v>0</v>
      </c>
      <c r="E38" s="187">
        <f t="shared" ref="E38:E43" si="6">IF(D$44=0,C38*2,C38+D38)</f>
        <v>0</v>
      </c>
      <c r="F38" s="148"/>
      <c r="G38" s="148"/>
      <c r="H38" s="148"/>
      <c r="I38" s="111">
        <f>ROUND(ROUND(ROUND(E38*$C$8,4)*($H$8),2)*(MAX($H$9,1)),2)</f>
        <v>0</v>
      </c>
      <c r="N38" s="641" t="s">
        <v>45</v>
      </c>
      <c r="O38" s="641"/>
      <c r="P38" s="608">
        <f t="shared" ref="P38:P43" si="7">IF($H$133=1,E38,0)</f>
        <v>0</v>
      </c>
      <c r="Q38" s="608"/>
      <c r="R38" s="608"/>
      <c r="S38" s="608"/>
      <c r="T38" s="608"/>
      <c r="U38" s="98">
        <f>ROUND(ROUND(ROUND(P38*$C$8,4)*($H$8),2)*(MAX($H$9,1)),2)</f>
        <v>0</v>
      </c>
    </row>
    <row r="39" spans="1:21" hidden="1" x14ac:dyDescent="0.25">
      <c r="A39" s="578" t="s">
        <v>46</v>
      </c>
      <c r="B39" s="578"/>
      <c r="C39" s="150">
        <v>0</v>
      </c>
      <c r="D39" s="150">
        <v>0</v>
      </c>
      <c r="E39" s="116">
        <f t="shared" si="6"/>
        <v>0</v>
      </c>
      <c r="F39" s="151"/>
      <c r="G39" s="151"/>
      <c r="H39" s="151"/>
      <c r="I39" s="101">
        <f t="shared" ref="I39:I43" si="8">ROUND(ROUND(ROUND(E39*$C$8,4)*($H$8),2)*(MAX($H$9,1)),2)</f>
        <v>0</v>
      </c>
      <c r="N39" s="601" t="s">
        <v>46</v>
      </c>
      <c r="O39" s="601"/>
      <c r="P39" s="608">
        <f t="shared" si="7"/>
        <v>0</v>
      </c>
      <c r="Q39" s="608"/>
      <c r="R39" s="608"/>
      <c r="S39" s="608"/>
      <c r="T39" s="608"/>
      <c r="U39" s="98">
        <f t="shared" ref="U39:U43" si="9">ROUND(ROUND(ROUND(P39*$C$8,4)*($H$8),2)*(MAX($H$9,1)),2)</f>
        <v>0</v>
      </c>
    </row>
    <row r="40" spans="1:21" hidden="1" x14ac:dyDescent="0.25">
      <c r="A40" s="583" t="s">
        <v>47</v>
      </c>
      <c r="B40" s="583"/>
      <c r="C40" s="150">
        <v>0</v>
      </c>
      <c r="D40" s="150">
        <v>0</v>
      </c>
      <c r="E40" s="116">
        <f t="shared" si="6"/>
        <v>0</v>
      </c>
      <c r="F40" s="151"/>
      <c r="G40" s="151"/>
      <c r="H40" s="151"/>
      <c r="I40" s="101">
        <f t="shared" si="8"/>
        <v>0</v>
      </c>
      <c r="N40" s="646" t="s">
        <v>47</v>
      </c>
      <c r="O40" s="646"/>
      <c r="P40" s="608">
        <f t="shared" si="7"/>
        <v>0</v>
      </c>
      <c r="Q40" s="608"/>
      <c r="R40" s="608"/>
      <c r="S40" s="608"/>
      <c r="T40" s="608"/>
      <c r="U40" s="98">
        <f t="shared" si="9"/>
        <v>0</v>
      </c>
    </row>
    <row r="41" spans="1:21" hidden="1" x14ac:dyDescent="0.25">
      <c r="A41" s="578" t="s">
        <v>48</v>
      </c>
      <c r="B41" s="578"/>
      <c r="C41" s="150">
        <v>0</v>
      </c>
      <c r="D41" s="150">
        <v>0</v>
      </c>
      <c r="E41" s="116">
        <f t="shared" si="6"/>
        <v>0</v>
      </c>
      <c r="F41" s="151"/>
      <c r="G41" s="151"/>
      <c r="H41" s="151"/>
      <c r="I41" s="101">
        <f t="shared" si="8"/>
        <v>0</v>
      </c>
      <c r="N41" s="601" t="s">
        <v>48</v>
      </c>
      <c r="O41" s="601"/>
      <c r="P41" s="608">
        <f t="shared" si="7"/>
        <v>0</v>
      </c>
      <c r="Q41" s="608"/>
      <c r="R41" s="608"/>
      <c r="S41" s="608"/>
      <c r="T41" s="608"/>
      <c r="U41" s="98">
        <f t="shared" si="9"/>
        <v>0</v>
      </c>
    </row>
    <row r="42" spans="1:21" hidden="1" x14ac:dyDescent="0.25">
      <c r="A42" s="578" t="s">
        <v>49</v>
      </c>
      <c r="B42" s="578"/>
      <c r="C42" s="150">
        <v>0</v>
      </c>
      <c r="D42" s="150">
        <v>0</v>
      </c>
      <c r="E42" s="116">
        <f t="shared" si="6"/>
        <v>0</v>
      </c>
      <c r="F42" s="151"/>
      <c r="G42" s="151"/>
      <c r="H42" s="151"/>
      <c r="I42" s="101">
        <f t="shared" si="8"/>
        <v>0</v>
      </c>
      <c r="N42" s="601" t="s">
        <v>49</v>
      </c>
      <c r="O42" s="601"/>
      <c r="P42" s="608">
        <f t="shared" si="7"/>
        <v>0</v>
      </c>
      <c r="Q42" s="608"/>
      <c r="R42" s="608"/>
      <c r="S42" s="608"/>
      <c r="T42" s="608"/>
      <c r="U42" s="98">
        <f t="shared" si="9"/>
        <v>0</v>
      </c>
    </row>
    <row r="43" spans="1:21" hidden="1" x14ac:dyDescent="0.25">
      <c r="A43" s="578" t="s">
        <v>41</v>
      </c>
      <c r="B43" s="578"/>
      <c r="C43" s="149">
        <v>0</v>
      </c>
      <c r="D43" s="149">
        <v>0</v>
      </c>
      <c r="E43" s="154">
        <f t="shared" si="6"/>
        <v>0</v>
      </c>
      <c r="F43" s="151"/>
      <c r="G43" s="151"/>
      <c r="H43" s="151"/>
      <c r="I43" s="94">
        <f t="shared" si="8"/>
        <v>0</v>
      </c>
      <c r="N43" s="616" t="s">
        <v>41</v>
      </c>
      <c r="O43" s="616"/>
      <c r="P43" s="608">
        <f t="shared" si="7"/>
        <v>0</v>
      </c>
      <c r="Q43" s="608"/>
      <c r="R43" s="608"/>
      <c r="S43" s="608"/>
      <c r="T43" s="60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3" t="s">
        <v>43</v>
      </c>
      <c r="O44" s="603"/>
      <c r="P44" s="603"/>
      <c r="Q44" s="603"/>
      <c r="R44" s="33">
        <f>SUM(P38:R43)</f>
        <v>0</v>
      </c>
      <c r="S44" s="617" t="s">
        <v>51</v>
      </c>
      <c r="T44" s="617"/>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267.63719999999995</v>
      </c>
      <c r="F46" s="34"/>
      <c r="G46" s="106"/>
      <c r="H46" s="107" t="s">
        <v>98</v>
      </c>
      <c r="I46" s="94">
        <f>SUM(I44,I30)</f>
        <v>1484980.7200000004</v>
      </c>
      <c r="N46" s="603" t="s">
        <v>44</v>
      </c>
      <c r="O46" s="603"/>
      <c r="P46" s="603"/>
      <c r="Q46" s="603"/>
      <c r="R46" s="35">
        <f>R44+T30</f>
        <v>0</v>
      </c>
      <c r="S46" s="617" t="s">
        <v>42</v>
      </c>
      <c r="T46" s="617"/>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396</v>
      </c>
      <c r="B48" s="26"/>
      <c r="C48" s="26"/>
      <c r="D48" s="26"/>
      <c r="E48" s="26"/>
      <c r="F48" s="34"/>
      <c r="G48" s="27"/>
      <c r="H48" s="27"/>
      <c r="I48" s="101"/>
      <c r="N48" s="383" t="s">
        <v>396</v>
      </c>
      <c r="O48" s="28"/>
      <c r="P48" s="28"/>
      <c r="Q48" s="28"/>
      <c r="R48" s="35"/>
      <c r="S48" s="30"/>
      <c r="T48" s="30"/>
      <c r="U48" s="402"/>
    </row>
    <row r="49" spans="1:22" s="391" customFormat="1" ht="9" customHeight="1" x14ac:dyDescent="0.2">
      <c r="A49" s="481" t="s">
        <v>397</v>
      </c>
      <c r="F49" s="392"/>
      <c r="G49" s="393"/>
      <c r="H49" s="393"/>
      <c r="I49" s="394"/>
      <c r="N49" s="403" t="s">
        <v>397</v>
      </c>
      <c r="O49" s="395"/>
      <c r="P49" s="395"/>
      <c r="Q49" s="395"/>
      <c r="R49" s="396"/>
      <c r="S49" s="397"/>
      <c r="T49" s="397"/>
      <c r="U49" s="404"/>
    </row>
    <row r="50" spans="1:22" s="391" customFormat="1" ht="11.25" customHeight="1" x14ac:dyDescent="0.2">
      <c r="A50" s="483" t="s">
        <v>398</v>
      </c>
      <c r="F50" s="392"/>
      <c r="G50" s="393"/>
      <c r="H50" s="393"/>
      <c r="I50" s="394"/>
      <c r="N50" s="405" t="s">
        <v>398</v>
      </c>
      <c r="O50" s="395"/>
      <c r="P50" s="395"/>
      <c r="Q50" s="395"/>
      <c r="R50" s="396"/>
      <c r="S50" s="397"/>
      <c r="T50" s="397"/>
      <c r="U50" s="404"/>
    </row>
    <row r="51" spans="1:22" x14ac:dyDescent="0.25">
      <c r="A51" s="389"/>
      <c r="B51" s="399" t="s">
        <v>399</v>
      </c>
      <c r="C51" s="26"/>
      <c r="D51" s="26"/>
      <c r="E51" s="43" t="s">
        <v>400</v>
      </c>
      <c r="F51" s="400">
        <f>I46</f>
        <v>1484980.7200000004</v>
      </c>
      <c r="G51" s="109" t="s">
        <v>6</v>
      </c>
      <c r="H51" s="401">
        <v>4.5199999999999997E-2</v>
      </c>
      <c r="I51" s="101">
        <f>ROUND(F51*H51,2)</f>
        <v>67121.13</v>
      </c>
      <c r="N51" s="406"/>
      <c r="O51" s="407" t="s">
        <v>399</v>
      </c>
      <c r="P51" s="28"/>
      <c r="Q51" s="44" t="s">
        <v>400</v>
      </c>
      <c r="R51" s="408">
        <f>U30</f>
        <v>0</v>
      </c>
      <c r="S51" s="409" t="s">
        <v>6</v>
      </c>
      <c r="T51" s="410">
        <v>4.5199999999999997E-2</v>
      </c>
      <c r="U51" s="402">
        <f>ROUND(R51*T51,2)</f>
        <v>0</v>
      </c>
    </row>
    <row r="52" spans="1:22" x14ac:dyDescent="0.25">
      <c r="A52" s="26"/>
      <c r="B52" s="81" t="s">
        <v>401</v>
      </c>
      <c r="C52" s="26"/>
      <c r="D52" s="26"/>
      <c r="E52" s="43" t="s">
        <v>400</v>
      </c>
      <c r="F52" s="400">
        <f>I46</f>
        <v>1484980.7200000004</v>
      </c>
      <c r="G52" s="109" t="s">
        <v>6</v>
      </c>
      <c r="H52" s="401">
        <v>1.41E-2</v>
      </c>
      <c r="I52" s="101">
        <f>ROUND(F52*H52,2)</f>
        <v>20938.23</v>
      </c>
      <c r="N52" s="28"/>
      <c r="O52" s="383" t="s">
        <v>401</v>
      </c>
      <c r="P52" s="28"/>
      <c r="Q52" s="44" t="s">
        <v>400</v>
      </c>
      <c r="R52" s="408">
        <f>U30</f>
        <v>0</v>
      </c>
      <c r="S52" s="409" t="s">
        <v>6</v>
      </c>
      <c r="T52" s="410">
        <v>1.41E-2</v>
      </c>
      <c r="U52" s="411">
        <f>ROUND(R52*T52,2)</f>
        <v>0</v>
      </c>
    </row>
    <row r="53" spans="1:22" x14ac:dyDescent="0.25">
      <c r="A53" s="26"/>
      <c r="B53" s="81" t="s">
        <v>402</v>
      </c>
      <c r="C53" s="26"/>
      <c r="D53" s="26"/>
      <c r="E53" s="43"/>
      <c r="F53" s="400"/>
      <c r="G53" s="109"/>
      <c r="H53" s="401"/>
      <c r="I53" s="97">
        <f>SUM(I51:I52)</f>
        <v>88059.36</v>
      </c>
      <c r="N53" s="28"/>
      <c r="O53" s="383" t="s">
        <v>402</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440</v>
      </c>
      <c r="G55" s="109" t="s">
        <v>441</v>
      </c>
      <c r="H55" s="454" t="s">
        <v>442</v>
      </c>
      <c r="I55" s="101"/>
      <c r="N55" s="448"/>
      <c r="O55" s="448"/>
      <c r="P55" s="464"/>
      <c r="Q55" s="465"/>
      <c r="R55" s="466"/>
      <c r="S55" s="468" t="s">
        <v>441</v>
      </c>
      <c r="T55" s="469" t="s">
        <v>442</v>
      </c>
      <c r="U55" s="467"/>
      <c r="V55" s="424"/>
    </row>
    <row r="56" spans="1:22" x14ac:dyDescent="0.25">
      <c r="A56" s="36" t="s">
        <v>443</v>
      </c>
      <c r="B56" s="36"/>
      <c r="C56" s="324" t="str">
        <f>'1461'!C56</f>
        <v>FTE</v>
      </c>
      <c r="D56" s="324" t="str">
        <f>'1461'!D56</f>
        <v>FTE</v>
      </c>
      <c r="E56" s="90" t="s">
        <v>2</v>
      </c>
      <c r="F56" s="439" t="s">
        <v>444</v>
      </c>
      <c r="G56" s="441" t="s">
        <v>444</v>
      </c>
      <c r="H56" s="455" t="s">
        <v>445</v>
      </c>
      <c r="I56" s="36"/>
      <c r="N56" s="459" t="s">
        <v>443</v>
      </c>
      <c r="O56" s="459"/>
      <c r="P56" s="620" t="s">
        <v>2</v>
      </c>
      <c r="Q56" s="620"/>
      <c r="R56" s="459" t="s">
        <v>449</v>
      </c>
      <c r="S56" s="450" t="s">
        <v>444</v>
      </c>
      <c r="T56" s="470" t="s">
        <v>445</v>
      </c>
      <c r="U56" s="459"/>
      <c r="V56" s="458"/>
    </row>
    <row r="57" spans="1:22" x14ac:dyDescent="0.25">
      <c r="A57" s="588" t="s">
        <v>447</v>
      </c>
      <c r="B57" s="588"/>
      <c r="C57" s="143">
        <v>5.5</v>
      </c>
      <c r="D57" s="143">
        <v>5.5</v>
      </c>
      <c r="E57" s="116">
        <f t="shared" ref="E57:E65" si="10">IF(D$66=0,C57*2,C57+D57)</f>
        <v>11</v>
      </c>
      <c r="F57" s="443" t="s">
        <v>439</v>
      </c>
      <c r="G57" s="443">
        <v>251</v>
      </c>
      <c r="H57" s="457">
        <f>'1461'!H57</f>
        <v>1047</v>
      </c>
      <c r="I57" s="101">
        <f>ROUND(E57*H57,2)</f>
        <v>11517</v>
      </c>
      <c r="N57" s="618" t="s">
        <v>447</v>
      </c>
      <c r="O57" s="618"/>
      <c r="P57" s="621"/>
      <c r="Q57" s="621"/>
      <c r="R57" s="449" t="s">
        <v>439</v>
      </c>
      <c r="S57" s="449">
        <v>251</v>
      </c>
      <c r="T57" s="460">
        <f>H57</f>
        <v>1047</v>
      </c>
      <c r="U57" s="474">
        <f>ROUND(P57*T57,2)</f>
        <v>0</v>
      </c>
      <c r="V57" s="424"/>
    </row>
    <row r="58" spans="1:22" x14ac:dyDescent="0.25">
      <c r="A58" s="589"/>
      <c r="B58" s="589"/>
      <c r="C58" s="143">
        <v>1</v>
      </c>
      <c r="D58" s="143">
        <v>1</v>
      </c>
      <c r="E58" s="116">
        <f t="shared" si="10"/>
        <v>2</v>
      </c>
      <c r="F58" s="443" t="s">
        <v>439</v>
      </c>
      <c r="G58" s="443">
        <v>252</v>
      </c>
      <c r="H58" s="457">
        <f>'1461'!H58</f>
        <v>3380</v>
      </c>
      <c r="I58" s="101">
        <f t="shared" ref="I58:I65" si="11">ROUND(E58*H58,2)</f>
        <v>6760</v>
      </c>
      <c r="N58" s="619"/>
      <c r="O58" s="619"/>
      <c r="P58" s="622"/>
      <c r="Q58" s="622"/>
      <c r="R58" s="449" t="s">
        <v>439</v>
      </c>
      <c r="S58" s="449">
        <v>252</v>
      </c>
      <c r="T58" s="460">
        <f t="shared" ref="T58:T65" si="12">H58</f>
        <v>3380</v>
      </c>
      <c r="U58" s="474">
        <f t="shared" ref="U58:U65" si="13">ROUND(P58*T58,2)</f>
        <v>0</v>
      </c>
      <c r="V58" s="424"/>
    </row>
    <row r="59" spans="1:22" x14ac:dyDescent="0.25">
      <c r="A59" s="589"/>
      <c r="B59" s="589"/>
      <c r="C59" s="143">
        <v>0</v>
      </c>
      <c r="D59" s="143">
        <v>0</v>
      </c>
      <c r="E59" s="116">
        <f t="shared" si="10"/>
        <v>0</v>
      </c>
      <c r="F59" s="443" t="s">
        <v>439</v>
      </c>
      <c r="G59" s="443">
        <v>253</v>
      </c>
      <c r="H59" s="457">
        <f>'1461'!H59</f>
        <v>6896</v>
      </c>
      <c r="I59" s="101">
        <f t="shared" si="11"/>
        <v>0</v>
      </c>
      <c r="N59" s="619"/>
      <c r="O59" s="619"/>
      <c r="P59" s="622"/>
      <c r="Q59" s="622"/>
      <c r="R59" s="449" t="s">
        <v>439</v>
      </c>
      <c r="S59" s="449">
        <v>253</v>
      </c>
      <c r="T59" s="460">
        <f t="shared" si="12"/>
        <v>6896</v>
      </c>
      <c r="U59" s="474">
        <f t="shared" si="13"/>
        <v>0</v>
      </c>
      <c r="V59" s="424"/>
    </row>
    <row r="60" spans="1:22" x14ac:dyDescent="0.25">
      <c r="A60" s="589"/>
      <c r="B60" s="589"/>
      <c r="C60" s="143">
        <v>12.5</v>
      </c>
      <c r="D60" s="143">
        <v>12.6</v>
      </c>
      <c r="E60" s="116">
        <f t="shared" si="10"/>
        <v>25.1</v>
      </c>
      <c r="F60" s="444" t="s">
        <v>13</v>
      </c>
      <c r="G60" s="443">
        <v>251</v>
      </c>
      <c r="H60" s="457">
        <f>'1461'!H60</f>
        <v>1173</v>
      </c>
      <c r="I60" s="101">
        <f t="shared" si="11"/>
        <v>29442.3</v>
      </c>
      <c r="N60" s="619"/>
      <c r="O60" s="619"/>
      <c r="P60" s="622"/>
      <c r="Q60" s="622"/>
      <c r="R60" s="40" t="s">
        <v>13</v>
      </c>
      <c r="S60" s="449">
        <v>251</v>
      </c>
      <c r="T60" s="460">
        <f t="shared" si="12"/>
        <v>1173</v>
      </c>
      <c r="U60" s="474">
        <f t="shared" si="13"/>
        <v>0</v>
      </c>
      <c r="V60" s="424"/>
    </row>
    <row r="61" spans="1:22" x14ac:dyDescent="0.25">
      <c r="A61" s="589"/>
      <c r="B61" s="589"/>
      <c r="C61" s="143">
        <v>0.5</v>
      </c>
      <c r="D61" s="143">
        <v>0.4</v>
      </c>
      <c r="E61" s="116">
        <f t="shared" si="10"/>
        <v>0.9</v>
      </c>
      <c r="F61" s="444" t="s">
        <v>13</v>
      </c>
      <c r="G61" s="443">
        <v>252</v>
      </c>
      <c r="H61" s="457">
        <f>'1461'!H61</f>
        <v>3506</v>
      </c>
      <c r="I61" s="101">
        <f t="shared" si="11"/>
        <v>3155.4</v>
      </c>
      <c r="N61" s="619"/>
      <c r="O61" s="619"/>
      <c r="P61" s="622"/>
      <c r="Q61" s="622"/>
      <c r="R61" s="40" t="s">
        <v>13</v>
      </c>
      <c r="S61" s="449">
        <v>252</v>
      </c>
      <c r="T61" s="460">
        <f t="shared" si="12"/>
        <v>3506</v>
      </c>
      <c r="U61" s="474">
        <f t="shared" si="13"/>
        <v>0</v>
      </c>
      <c r="V61" s="424"/>
    </row>
    <row r="62" spans="1:22" x14ac:dyDescent="0.25">
      <c r="A62" s="589"/>
      <c r="B62" s="589"/>
      <c r="C62" s="143">
        <v>0</v>
      </c>
      <c r="D62" s="143">
        <v>0</v>
      </c>
      <c r="E62" s="116">
        <f t="shared" si="10"/>
        <v>0</v>
      </c>
      <c r="F62" s="444" t="s">
        <v>13</v>
      </c>
      <c r="G62" s="443">
        <v>253</v>
      </c>
      <c r="H62" s="457">
        <f>'1461'!H62</f>
        <v>7023</v>
      </c>
      <c r="I62" s="101">
        <f t="shared" si="11"/>
        <v>0</v>
      </c>
      <c r="N62" s="619"/>
      <c r="O62" s="619"/>
      <c r="P62" s="622"/>
      <c r="Q62" s="622"/>
      <c r="R62" s="40" t="s">
        <v>13</v>
      </c>
      <c r="S62" s="449">
        <v>253</v>
      </c>
      <c r="T62" s="460">
        <f t="shared" si="12"/>
        <v>7023</v>
      </c>
      <c r="U62" s="474">
        <f t="shared" si="13"/>
        <v>0</v>
      </c>
      <c r="V62" s="424"/>
    </row>
    <row r="63" spans="1:22" x14ac:dyDescent="0.25">
      <c r="A63" s="589"/>
      <c r="B63" s="589"/>
      <c r="C63" s="143">
        <v>0</v>
      </c>
      <c r="D63" s="143">
        <v>0</v>
      </c>
      <c r="E63" s="116">
        <f t="shared" si="10"/>
        <v>0</v>
      </c>
      <c r="F63" s="444" t="s">
        <v>14</v>
      </c>
      <c r="G63" s="443">
        <v>251</v>
      </c>
      <c r="H63" s="457">
        <f>'1461'!H63</f>
        <v>835</v>
      </c>
      <c r="I63" s="101">
        <f t="shared" si="11"/>
        <v>0</v>
      </c>
      <c r="N63" s="619"/>
      <c r="O63" s="619"/>
      <c r="P63" s="622"/>
      <c r="Q63" s="622"/>
      <c r="R63" s="40" t="s">
        <v>14</v>
      </c>
      <c r="S63" s="449">
        <v>251</v>
      </c>
      <c r="T63" s="460">
        <f t="shared" si="12"/>
        <v>835</v>
      </c>
      <c r="U63" s="474">
        <f t="shared" si="13"/>
        <v>0</v>
      </c>
      <c r="V63" s="424"/>
    </row>
    <row r="64" spans="1:22" x14ac:dyDescent="0.25">
      <c r="A64" s="589"/>
      <c r="B64" s="589"/>
      <c r="C64" s="143">
        <v>0</v>
      </c>
      <c r="D64" s="143">
        <v>0</v>
      </c>
      <c r="E64" s="116">
        <f t="shared" si="10"/>
        <v>0</v>
      </c>
      <c r="F64" s="444" t="s">
        <v>14</v>
      </c>
      <c r="G64" s="443">
        <v>252</v>
      </c>
      <c r="H64" s="457">
        <f>'1461'!H64</f>
        <v>3168</v>
      </c>
      <c r="I64" s="101">
        <f t="shared" si="11"/>
        <v>0</v>
      </c>
      <c r="N64" s="619"/>
      <c r="O64" s="619"/>
      <c r="P64" s="622"/>
      <c r="Q64" s="622"/>
      <c r="R64" s="40" t="s">
        <v>14</v>
      </c>
      <c r="S64" s="449">
        <v>252</v>
      </c>
      <c r="T64" s="460">
        <f t="shared" si="12"/>
        <v>3168</v>
      </c>
      <c r="U64" s="474">
        <f t="shared" si="13"/>
        <v>0</v>
      </c>
      <c r="V64" s="424"/>
    </row>
    <row r="65" spans="1:22" ht="16.5" thickBot="1" x14ac:dyDescent="0.3">
      <c r="A65" s="589"/>
      <c r="B65" s="589"/>
      <c r="C65" s="143">
        <v>0</v>
      </c>
      <c r="D65" s="143">
        <v>0</v>
      </c>
      <c r="E65" s="116">
        <f t="shared" si="10"/>
        <v>0</v>
      </c>
      <c r="F65" s="444" t="s">
        <v>14</v>
      </c>
      <c r="G65" s="443">
        <v>253</v>
      </c>
      <c r="H65" s="457">
        <f>'1461'!H65</f>
        <v>6685</v>
      </c>
      <c r="I65" s="101">
        <f t="shared" si="11"/>
        <v>0</v>
      </c>
      <c r="N65" s="619"/>
      <c r="O65" s="619"/>
      <c r="P65" s="623"/>
      <c r="Q65" s="623"/>
      <c r="R65" s="40" t="s">
        <v>14</v>
      </c>
      <c r="S65" s="449">
        <v>253</v>
      </c>
      <c r="T65" s="460">
        <f t="shared" si="12"/>
        <v>6685</v>
      </c>
      <c r="U65" s="475">
        <f t="shared" si="13"/>
        <v>0</v>
      </c>
      <c r="V65" s="424"/>
    </row>
    <row r="66" spans="1:22" ht="16.5" thickBot="1" x14ac:dyDescent="0.3">
      <c r="A66" s="440"/>
      <c r="C66" s="97">
        <f>SUM(C57:C65)</f>
        <v>19.5</v>
      </c>
      <c r="D66" s="97">
        <f>SUM(D57:D65)</f>
        <v>19.5</v>
      </c>
      <c r="E66" s="97">
        <f>SUM(E57:E65)</f>
        <v>39</v>
      </c>
      <c r="F66" s="590" t="s">
        <v>448</v>
      </c>
      <c r="G66" s="590"/>
      <c r="H66" s="590"/>
      <c r="I66" s="97">
        <f>SUM(I57:I65)</f>
        <v>50874.700000000004</v>
      </c>
      <c r="N66" s="446"/>
      <c r="O66" s="51"/>
      <c r="P66" s="602">
        <f>SUM(P57:P65)</f>
        <v>0</v>
      </c>
      <c r="Q66" s="602"/>
      <c r="R66" s="603" t="s">
        <v>448</v>
      </c>
      <c r="S66" s="603"/>
      <c r="T66" s="603"/>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450</v>
      </c>
      <c r="N68" s="453" t="s">
        <v>458</v>
      </c>
      <c r="O68" s="51"/>
      <c r="P68" s="51"/>
      <c r="Q68" s="51"/>
      <c r="R68" s="51"/>
      <c r="S68" s="51"/>
      <c r="T68" s="51"/>
      <c r="U68" s="51"/>
    </row>
    <row r="69" spans="1:22" x14ac:dyDescent="0.25">
      <c r="A69" s="584" t="s">
        <v>403</v>
      </c>
      <c r="B69" s="578"/>
      <c r="C69" s="112">
        <f>E30</f>
        <v>254.42999999999998</v>
      </c>
      <c r="D69" s="565" t="s">
        <v>414</v>
      </c>
      <c r="E69" s="565"/>
      <c r="F69" s="565"/>
      <c r="G69" s="565"/>
      <c r="H69" s="300">
        <f>'1461'!H69</f>
        <v>210228.91</v>
      </c>
      <c r="I69" s="113"/>
      <c r="N69" s="600" t="s">
        <v>407</v>
      </c>
      <c r="O69" s="601"/>
      <c r="P69" s="41">
        <f>P30</f>
        <v>0</v>
      </c>
      <c r="Q69" s="606" t="s">
        <v>409</v>
      </c>
      <c r="R69" s="607"/>
      <c r="S69" s="607"/>
      <c r="T69" s="604">
        <f>H69</f>
        <v>210228.91</v>
      </c>
      <c r="U69" s="604"/>
    </row>
    <row r="70" spans="1:22" x14ac:dyDescent="0.25">
      <c r="B70" s="69"/>
      <c r="G70" s="42" t="s">
        <v>12</v>
      </c>
      <c r="H70" s="114">
        <f>ROUND(C69/H69,6)</f>
        <v>1.2099999999999999E-3</v>
      </c>
      <c r="I70" s="115"/>
      <c r="N70" s="601"/>
      <c r="O70" s="601"/>
      <c r="P70" s="601"/>
      <c r="Q70" s="601"/>
      <c r="R70" s="601"/>
      <c r="S70" s="601"/>
      <c r="T70" s="605">
        <f>ROUND(P69/T69,6)</f>
        <v>0</v>
      </c>
      <c r="U70" s="605"/>
    </row>
    <row r="71" spans="1:22" x14ac:dyDescent="0.25">
      <c r="A71" s="442" t="s">
        <v>451</v>
      </c>
      <c r="N71" s="453" t="s">
        <v>459</v>
      </c>
      <c r="O71" s="51"/>
      <c r="P71" s="51"/>
      <c r="Q71" s="51"/>
      <c r="R71" s="51"/>
      <c r="S71" s="51"/>
      <c r="T71" s="51"/>
      <c r="U71" s="51"/>
    </row>
    <row r="72" spans="1:22" x14ac:dyDescent="0.25">
      <c r="A72" s="584" t="s">
        <v>404</v>
      </c>
      <c r="B72" s="578"/>
      <c r="C72" s="112">
        <f>H30</f>
        <v>267.63719999999995</v>
      </c>
      <c r="D72" s="565" t="s">
        <v>415</v>
      </c>
      <c r="E72" s="565"/>
      <c r="F72" s="565"/>
      <c r="G72" s="565"/>
      <c r="H72" s="301">
        <f>'1461'!H72</f>
        <v>234891.44</v>
      </c>
      <c r="I72" s="116"/>
      <c r="N72" s="600" t="s">
        <v>408</v>
      </c>
      <c r="O72" s="601"/>
      <c r="P72" s="41">
        <f>T30</f>
        <v>0</v>
      </c>
      <c r="Q72" s="606" t="s">
        <v>410</v>
      </c>
      <c r="R72" s="607"/>
      <c r="S72" s="607"/>
      <c r="T72" s="604">
        <f>H72</f>
        <v>234891.44</v>
      </c>
      <c r="U72" s="604"/>
    </row>
    <row r="73" spans="1:22" x14ac:dyDescent="0.25">
      <c r="G73" s="42" t="s">
        <v>12</v>
      </c>
      <c r="H73" s="114">
        <f>ROUND(C72/H72,6)</f>
        <v>1.139E-3</v>
      </c>
      <c r="I73" s="114"/>
      <c r="N73" s="601"/>
      <c r="O73" s="601"/>
      <c r="P73" s="601"/>
      <c r="Q73" s="601"/>
      <c r="R73" s="601"/>
      <c r="S73" s="601"/>
      <c r="T73" s="605">
        <f>ROUND(P72/T72,6)</f>
        <v>0</v>
      </c>
      <c r="U73" s="605"/>
    </row>
    <row r="74" spans="1:22" x14ac:dyDescent="0.25">
      <c r="A74" s="417" t="s">
        <v>452</v>
      </c>
      <c r="B74" s="414"/>
      <c r="C74" s="414"/>
      <c r="D74" s="414"/>
      <c r="E74" s="414"/>
      <c r="F74" s="414"/>
      <c r="G74" s="414"/>
      <c r="H74" s="414"/>
      <c r="I74" s="414"/>
      <c r="N74" s="416" t="s">
        <v>460</v>
      </c>
      <c r="O74" s="415"/>
      <c r="P74" s="415"/>
      <c r="Q74" s="415"/>
      <c r="R74" s="415"/>
      <c r="S74" s="415"/>
      <c r="T74" s="415"/>
      <c r="U74" s="415"/>
      <c r="V74" s="414"/>
    </row>
    <row r="75" spans="1:22" x14ac:dyDescent="0.25">
      <c r="A75" s="584" t="s">
        <v>405</v>
      </c>
      <c r="B75" s="578"/>
      <c r="C75" s="112">
        <f>E30</f>
        <v>254.42999999999998</v>
      </c>
      <c r="D75" s="557" t="s">
        <v>416</v>
      </c>
      <c r="E75" s="557"/>
      <c r="F75" s="557"/>
      <c r="G75" s="557"/>
      <c r="H75" s="300">
        <f>'1461'!H75</f>
        <v>187665.41</v>
      </c>
      <c r="I75" s="113"/>
      <c r="N75" s="600" t="s">
        <v>406</v>
      </c>
      <c r="O75" s="601"/>
      <c r="P75" s="41">
        <f>P30</f>
        <v>0</v>
      </c>
      <c r="Q75" s="636" t="s">
        <v>411</v>
      </c>
      <c r="R75" s="637"/>
      <c r="S75" s="637"/>
      <c r="T75" s="604">
        <f>H75</f>
        <v>187665.41</v>
      </c>
      <c r="U75" s="604"/>
    </row>
    <row r="76" spans="1:22" x14ac:dyDescent="0.25">
      <c r="B76" s="69"/>
      <c r="G76" s="42" t="s">
        <v>12</v>
      </c>
      <c r="H76" s="114">
        <f>ROUND(C75/H75,6)</f>
        <v>1.356E-3</v>
      </c>
      <c r="I76" s="115"/>
      <c r="N76" s="601"/>
      <c r="O76" s="601"/>
      <c r="P76" s="601"/>
      <c r="Q76" s="601"/>
      <c r="R76" s="601"/>
      <c r="S76" s="601"/>
      <c r="T76" s="605">
        <f>ROUND(P75/T75,6)</f>
        <v>0</v>
      </c>
      <c r="U76" s="605"/>
    </row>
    <row r="77" spans="1:22" x14ac:dyDescent="0.25">
      <c r="A77" s="417" t="s">
        <v>453</v>
      </c>
      <c r="B77" s="414"/>
      <c r="C77" s="414"/>
      <c r="D77" s="414"/>
      <c r="E77" s="414"/>
      <c r="F77" s="414"/>
      <c r="G77" s="414"/>
      <c r="H77" s="414"/>
      <c r="I77" s="414"/>
      <c r="N77" s="416" t="s">
        <v>461</v>
      </c>
      <c r="O77" s="415"/>
      <c r="P77" s="415"/>
      <c r="Q77" s="415"/>
      <c r="R77" s="415"/>
      <c r="S77" s="415"/>
      <c r="T77" s="415"/>
      <c r="U77" s="415"/>
      <c r="V77" s="414"/>
    </row>
    <row r="78" spans="1:22" x14ac:dyDescent="0.25">
      <c r="A78" s="584" t="s">
        <v>405</v>
      </c>
      <c r="B78" s="578"/>
      <c r="C78" s="112">
        <f>E30</f>
        <v>254.42999999999998</v>
      </c>
      <c r="D78" s="585" t="s">
        <v>417</v>
      </c>
      <c r="E78" s="585"/>
      <c r="F78" s="585"/>
      <c r="G78" s="585"/>
      <c r="H78" s="300">
        <f>'1461'!H78</f>
        <v>209892.26</v>
      </c>
      <c r="I78" s="113"/>
      <c r="N78" s="600" t="s">
        <v>406</v>
      </c>
      <c r="O78" s="601"/>
      <c r="P78" s="41">
        <f>P30</f>
        <v>0</v>
      </c>
      <c r="Q78" s="634" t="s">
        <v>412</v>
      </c>
      <c r="R78" s="635"/>
      <c r="S78" s="635"/>
      <c r="T78" s="604">
        <f>H78</f>
        <v>209892.26</v>
      </c>
      <c r="U78" s="604"/>
    </row>
    <row r="79" spans="1:22" x14ac:dyDescent="0.25">
      <c r="B79" s="69"/>
      <c r="G79" s="42" t="s">
        <v>12</v>
      </c>
      <c r="H79" s="114">
        <f>ROUND(C78/H78,6)</f>
        <v>1.212E-3</v>
      </c>
      <c r="I79" s="115"/>
      <c r="N79" s="601"/>
      <c r="O79" s="601"/>
      <c r="P79" s="601"/>
      <c r="Q79" s="601"/>
      <c r="R79" s="601"/>
      <c r="S79" s="601"/>
      <c r="T79" s="605">
        <f>ROUND(P78/T78,6)</f>
        <v>0</v>
      </c>
      <c r="U79" s="605"/>
    </row>
    <row r="80" spans="1:22" x14ac:dyDescent="0.25">
      <c r="A80" s="417" t="s">
        <v>454</v>
      </c>
      <c r="B80" s="414"/>
      <c r="C80" s="414"/>
      <c r="D80" s="414"/>
      <c r="E80" s="414"/>
      <c r="F80" s="414"/>
      <c r="G80" s="414"/>
      <c r="H80" s="414"/>
      <c r="I80" s="414"/>
      <c r="N80" s="416" t="s">
        <v>462</v>
      </c>
      <c r="O80" s="415"/>
      <c r="P80" s="415"/>
      <c r="Q80" s="415"/>
      <c r="R80" s="415"/>
      <c r="S80" s="415"/>
      <c r="T80" s="415"/>
      <c r="U80" s="415"/>
      <c r="V80" s="414"/>
    </row>
    <row r="81" spans="1:21" x14ac:dyDescent="0.25">
      <c r="A81" s="584" t="s">
        <v>413</v>
      </c>
      <c r="B81" s="578"/>
      <c r="C81" s="112">
        <f>E30</f>
        <v>254.42999999999998</v>
      </c>
      <c r="D81" s="557" t="s">
        <v>418</v>
      </c>
      <c r="E81" s="557"/>
      <c r="F81" s="557"/>
      <c r="G81" s="557"/>
      <c r="H81" s="300">
        <f>'1461'!H81</f>
        <v>187328.76</v>
      </c>
      <c r="I81" s="113"/>
      <c r="N81" s="600" t="s">
        <v>419</v>
      </c>
      <c r="O81" s="601"/>
      <c r="P81" s="41">
        <f>P30</f>
        <v>0</v>
      </c>
      <c r="Q81" s="636" t="s">
        <v>420</v>
      </c>
      <c r="R81" s="637"/>
      <c r="S81" s="637"/>
      <c r="T81" s="604">
        <f>H81</f>
        <v>187328.76</v>
      </c>
      <c r="U81" s="604"/>
    </row>
    <row r="82" spans="1:21" x14ac:dyDescent="0.25">
      <c r="B82" s="69"/>
      <c r="G82" s="42" t="s">
        <v>12</v>
      </c>
      <c r="H82" s="114">
        <f>ROUND(C81/H81,6)</f>
        <v>1.358E-3</v>
      </c>
      <c r="I82" s="115"/>
      <c r="N82" s="601"/>
      <c r="O82" s="601"/>
      <c r="P82" s="601"/>
      <c r="Q82" s="601"/>
      <c r="R82" s="601"/>
      <c r="S82" s="601"/>
      <c r="T82" s="605">
        <f>ROUND(P81/T81,6)</f>
        <v>0</v>
      </c>
      <c r="U82" s="605"/>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455</v>
      </c>
      <c r="D85" s="69"/>
      <c r="E85" s="43" t="s">
        <v>299</v>
      </c>
      <c r="F85" s="302">
        <f>'1461'!F85</f>
        <v>46163704</v>
      </c>
      <c r="G85" s="37" t="s">
        <v>6</v>
      </c>
      <c r="H85" s="422">
        <f>H79</f>
        <v>1.212E-3</v>
      </c>
      <c r="I85" s="101">
        <f>ROUND(F85*H85,2)</f>
        <v>55950.41</v>
      </c>
      <c r="N85" s="453" t="s">
        <v>455</v>
      </c>
      <c r="O85" s="51"/>
      <c r="P85" s="51"/>
      <c r="Q85" s="44"/>
      <c r="R85" s="419">
        <f>F85</f>
        <v>46163704</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87" t="s">
        <v>71</v>
      </c>
      <c r="B87" s="578"/>
      <c r="C87" s="578"/>
      <c r="D87" s="69"/>
      <c r="E87" s="43"/>
      <c r="F87" s="117"/>
      <c r="G87" s="37"/>
      <c r="H87" s="422"/>
      <c r="I87" s="101"/>
      <c r="N87" s="600" t="s">
        <v>463</v>
      </c>
      <c r="O87" s="601"/>
      <c r="P87" s="601"/>
      <c r="Q87" s="51"/>
      <c r="R87" s="420"/>
      <c r="S87" s="51"/>
      <c r="T87" s="38"/>
      <c r="U87" s="478"/>
    </row>
    <row r="88" spans="1:21" x14ac:dyDescent="0.25">
      <c r="A88" s="587" t="s">
        <v>99</v>
      </c>
      <c r="B88" s="578"/>
      <c r="C88" s="578"/>
      <c r="D88" s="69"/>
      <c r="E88" s="43" t="s">
        <v>3</v>
      </c>
      <c r="F88" s="302">
        <f>'1461'!F88</f>
        <v>0</v>
      </c>
      <c r="G88" s="37" t="s">
        <v>6</v>
      </c>
      <c r="H88" s="422">
        <f>H70</f>
        <v>1.2099999999999999E-3</v>
      </c>
      <c r="I88" s="101">
        <f>ROUND(F88*H88,2)</f>
        <v>0</v>
      </c>
      <c r="N88" s="638" t="s">
        <v>99</v>
      </c>
      <c r="O88" s="601"/>
      <c r="P88" s="601"/>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456</v>
      </c>
      <c r="D90" s="69"/>
      <c r="E90" s="43" t="s">
        <v>421</v>
      </c>
      <c r="F90" s="302">
        <f>'1461'!F90</f>
        <v>19042026</v>
      </c>
      <c r="G90" s="37" t="s">
        <v>6</v>
      </c>
      <c r="H90" s="422">
        <f>H82</f>
        <v>1.358E-3</v>
      </c>
      <c r="I90" s="101">
        <f>ROUND(F90*H90,2)</f>
        <v>25859.07</v>
      </c>
      <c r="N90" s="453" t="s">
        <v>456</v>
      </c>
      <c r="O90" s="51"/>
      <c r="P90" s="51"/>
      <c r="Q90" s="44"/>
      <c r="R90" s="419">
        <f>F90</f>
        <v>19042026</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457</v>
      </c>
      <c r="D92" s="69"/>
      <c r="E92" s="43" t="s">
        <v>3</v>
      </c>
      <c r="F92" s="302">
        <f>'1461'!F92</f>
        <v>11441151</v>
      </c>
      <c r="G92" s="37" t="s">
        <v>6</v>
      </c>
      <c r="H92" s="422">
        <f>H76</f>
        <v>1.356E-3</v>
      </c>
      <c r="I92" s="101">
        <f t="shared" ref="I92:I96" si="14">ROUND(F92*H92,2)</f>
        <v>15514.2</v>
      </c>
      <c r="N92" s="453" t="s">
        <v>457</v>
      </c>
      <c r="O92" s="51"/>
      <c r="P92" s="51"/>
      <c r="Q92" s="44"/>
      <c r="R92" s="419">
        <f t="shared" ref="R92:R96" si="15">F92</f>
        <v>11441151</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84" t="s">
        <v>422</v>
      </c>
      <c r="B94" s="578"/>
      <c r="C94" s="578"/>
      <c r="D94" s="69"/>
      <c r="E94" s="43" t="s">
        <v>4</v>
      </c>
      <c r="F94" s="302">
        <f>'1461'!F94</f>
        <v>247265670</v>
      </c>
      <c r="G94" s="37" t="s">
        <v>6</v>
      </c>
      <c r="H94" s="422">
        <f>H73</f>
        <v>1.139E-3</v>
      </c>
      <c r="I94" s="101">
        <f t="shared" si="14"/>
        <v>281635.59999999998</v>
      </c>
      <c r="N94" s="601" t="s">
        <v>422</v>
      </c>
      <c r="O94" s="601"/>
      <c r="P94" s="601"/>
      <c r="Q94" s="44"/>
      <c r="R94" s="419">
        <f t="shared" si="15"/>
        <v>247265670</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4" t="s">
        <v>423</v>
      </c>
      <c r="B96" s="578"/>
      <c r="C96" s="578"/>
      <c r="D96" s="69"/>
      <c r="E96" s="43" t="s">
        <v>4</v>
      </c>
      <c r="F96" s="302">
        <f>'1461'!F96</f>
        <v>0</v>
      </c>
      <c r="G96" s="37" t="s">
        <v>6</v>
      </c>
      <c r="H96" s="422">
        <f>H73</f>
        <v>1.139E-3</v>
      </c>
      <c r="I96" s="101">
        <f t="shared" si="14"/>
        <v>0</v>
      </c>
      <c r="N96" s="600" t="s">
        <v>423</v>
      </c>
      <c r="O96" s="601"/>
      <c r="P96" s="601"/>
      <c r="Q96" s="44"/>
      <c r="R96" s="419">
        <f t="shared" si="15"/>
        <v>0</v>
      </c>
      <c r="S96" s="38" t="s">
        <v>6</v>
      </c>
      <c r="T96" s="421">
        <f>T73</f>
        <v>0</v>
      </c>
      <c r="U96" s="473">
        <f>ROUND(R96*T96,2)</f>
        <v>0</v>
      </c>
    </row>
    <row r="97" spans="1:21" x14ac:dyDescent="0.25">
      <c r="A97" s="530"/>
      <c r="B97" s="529"/>
      <c r="C97" s="529"/>
      <c r="D97" s="529"/>
      <c r="E97" s="527"/>
      <c r="F97" s="117"/>
      <c r="G97" s="528"/>
      <c r="H97" s="422"/>
      <c r="I97" s="101"/>
      <c r="N97" s="533"/>
      <c r="O97" s="532"/>
      <c r="P97" s="532"/>
      <c r="Q97" s="44"/>
      <c r="R97" s="535"/>
      <c r="S97" s="534"/>
      <c r="T97" s="421"/>
      <c r="U97" s="477"/>
    </row>
    <row r="98" spans="1:21" x14ac:dyDescent="0.25">
      <c r="A98" s="530" t="s">
        <v>497</v>
      </c>
      <c r="B98" s="529"/>
      <c r="C98" s="529"/>
      <c r="D98" s="529"/>
      <c r="E98" s="527" t="s">
        <v>3</v>
      </c>
      <c r="F98" s="290">
        <v>0</v>
      </c>
      <c r="G98" s="528" t="s">
        <v>6</v>
      </c>
      <c r="H98" s="422">
        <f>H70</f>
        <v>1.2099999999999999E-3</v>
      </c>
      <c r="I98" s="101">
        <f t="shared" ref="I98" si="16">ROUND(F98*H98,2)</f>
        <v>0</v>
      </c>
      <c r="N98" s="533" t="s">
        <v>497</v>
      </c>
      <c r="O98" s="533"/>
      <c r="P98" s="533"/>
      <c r="Q98" s="44"/>
      <c r="R98" s="536">
        <f>F98</f>
        <v>0</v>
      </c>
      <c r="S98" s="534" t="s">
        <v>6</v>
      </c>
      <c r="T98" s="421">
        <f>T70</f>
        <v>0</v>
      </c>
      <c r="U98" s="473">
        <f>ROUND(R98*T98,2)</f>
        <v>0</v>
      </c>
    </row>
    <row r="99" spans="1:21" x14ac:dyDescent="0.25">
      <c r="A99" s="530"/>
      <c r="B99" s="529"/>
      <c r="C99" s="529"/>
      <c r="D99" s="529"/>
      <c r="E99" s="527"/>
      <c r="F99" s="276"/>
      <c r="G99" s="528"/>
      <c r="H99" s="422"/>
      <c r="I99" s="101"/>
      <c r="N99" s="533"/>
      <c r="O99" s="533"/>
      <c r="P99" s="533"/>
      <c r="Q99" s="44"/>
      <c r="R99" s="535"/>
      <c r="S99" s="534"/>
      <c r="T99" s="421"/>
      <c r="U99" s="477"/>
    </row>
    <row r="100" spans="1:21" x14ac:dyDescent="0.25">
      <c r="A100" s="530"/>
      <c r="B100" s="529"/>
      <c r="C100" s="529"/>
      <c r="D100" s="529"/>
      <c r="E100" s="527"/>
      <c r="F100" s="276"/>
      <c r="G100" s="528"/>
      <c r="H100" s="422"/>
      <c r="I100" s="101"/>
      <c r="N100" s="533"/>
      <c r="O100" s="533"/>
      <c r="P100" s="533"/>
      <c r="Q100" s="44"/>
      <c r="R100" s="420"/>
      <c r="S100" s="534"/>
      <c r="T100" s="421"/>
      <c r="U100" s="103"/>
    </row>
    <row r="101" spans="1:21" x14ac:dyDescent="0.25">
      <c r="A101" s="399" t="s">
        <v>498</v>
      </c>
      <c r="N101" s="407" t="s">
        <v>498</v>
      </c>
      <c r="O101" s="51"/>
      <c r="P101" s="51"/>
      <c r="Q101" s="51"/>
      <c r="R101" s="51"/>
      <c r="S101" s="51"/>
      <c r="T101" s="51"/>
      <c r="U101" s="51"/>
    </row>
    <row r="102" spans="1:21" x14ac:dyDescent="0.25">
      <c r="B102" s="69"/>
      <c r="C102" s="563" t="s">
        <v>60</v>
      </c>
      <c r="D102" s="563"/>
      <c r="E102" s="69"/>
      <c r="F102" s="39" t="s">
        <v>28</v>
      </c>
      <c r="G102" s="69"/>
      <c r="H102" s="69"/>
      <c r="I102" s="69"/>
      <c r="N102" s="45"/>
      <c r="O102" s="45"/>
      <c r="P102" s="45"/>
      <c r="Q102" s="45"/>
      <c r="R102" s="45"/>
      <c r="S102" s="45"/>
      <c r="T102" s="45"/>
      <c r="U102" s="45"/>
    </row>
    <row r="103" spans="1:21" x14ac:dyDescent="0.25">
      <c r="A103" s="3"/>
      <c r="B103" s="118"/>
      <c r="C103" s="564" t="s">
        <v>101</v>
      </c>
      <c r="D103" s="564"/>
      <c r="E103" s="423" t="s">
        <v>426</v>
      </c>
      <c r="F103" s="120" t="s">
        <v>106</v>
      </c>
      <c r="G103" s="121"/>
      <c r="H103" s="121"/>
      <c r="I103" s="121"/>
      <c r="N103" s="631" t="s">
        <v>35</v>
      </c>
      <c r="O103" s="631"/>
      <c r="P103" s="672" t="s">
        <v>428</v>
      </c>
      <c r="Q103" s="633"/>
      <c r="R103" s="604" t="s">
        <v>31</v>
      </c>
      <c r="S103" s="604"/>
      <c r="T103" s="604"/>
      <c r="U103" s="604"/>
    </row>
    <row r="104" spans="1:21" x14ac:dyDescent="0.25">
      <c r="A104" s="26"/>
      <c r="B104" s="52" t="s">
        <v>105</v>
      </c>
      <c r="C104" s="596">
        <f>H14+H15+H20+H23+H26</f>
        <v>114.443</v>
      </c>
      <c r="D104" s="596"/>
      <c r="E104" s="46">
        <f>H8</f>
        <v>1.0407999999999999</v>
      </c>
      <c r="F104" s="303">
        <f>'1461'!F104</f>
        <v>950.92</v>
      </c>
      <c r="G104" s="39" t="s">
        <v>12</v>
      </c>
      <c r="H104" s="101">
        <f>ROUND(C104*E104*F104,2)</f>
        <v>113266.24000000001</v>
      </c>
      <c r="I104" s="104"/>
      <c r="N104" s="28" t="s">
        <v>17</v>
      </c>
      <c r="O104" s="47">
        <f>T14+T15+T20+T23+T26</f>
        <v>0</v>
      </c>
      <c r="P104" s="611">
        <f>T8</f>
        <v>1.0407999999999999</v>
      </c>
      <c r="Q104" s="611"/>
      <c r="R104" s="48">
        <f>F104</f>
        <v>950.92</v>
      </c>
      <c r="S104" s="40" t="s">
        <v>12</v>
      </c>
      <c r="T104" s="479">
        <f>ROUND(O104*P104*R104,2)</f>
        <v>0</v>
      </c>
      <c r="U104" s="102"/>
    </row>
    <row r="105" spans="1:21" x14ac:dyDescent="0.25">
      <c r="A105" s="49"/>
      <c r="B105" s="49" t="s">
        <v>104</v>
      </c>
      <c r="C105" s="596">
        <f>H16+H17+H21+H24+H27</f>
        <v>153.1942</v>
      </c>
      <c r="D105" s="596"/>
      <c r="E105" s="46">
        <f>H8</f>
        <v>1.0407999999999999</v>
      </c>
      <c r="F105" s="303">
        <f>'1461'!F105</f>
        <v>907.92</v>
      </c>
      <c r="G105" s="39" t="s">
        <v>12</v>
      </c>
      <c r="H105" s="101">
        <f>ROUND(C105*E105*F105,2)</f>
        <v>144762.87</v>
      </c>
      <c r="N105" s="50" t="s">
        <v>13</v>
      </c>
      <c r="O105" s="47">
        <f>T16+T17+T21+T24+T27</f>
        <v>0</v>
      </c>
      <c r="P105" s="611">
        <f>T8</f>
        <v>1.0407999999999999</v>
      </c>
      <c r="Q105" s="611"/>
      <c r="R105" s="48">
        <f>F105</f>
        <v>907.92</v>
      </c>
      <c r="S105" s="40" t="s">
        <v>12</v>
      </c>
      <c r="T105" s="479">
        <f>ROUND(O105*P105*R105,2)</f>
        <v>0</v>
      </c>
      <c r="U105" s="51"/>
    </row>
    <row r="106" spans="1:21" ht="16.5" thickBot="1" x14ac:dyDescent="0.3">
      <c r="A106" s="52"/>
      <c r="B106" s="52" t="s">
        <v>103</v>
      </c>
      <c r="C106" s="596">
        <f>H18+H19+H22+H25+H28+H29</f>
        <v>0</v>
      </c>
      <c r="D106" s="596"/>
      <c r="E106" s="46">
        <f>H8</f>
        <v>1.0407999999999999</v>
      </c>
      <c r="F106" s="303">
        <f>'1461'!F106</f>
        <v>910.12</v>
      </c>
      <c r="G106" s="39" t="s">
        <v>12</v>
      </c>
      <c r="H106" s="94">
        <f>ROUND(C106*E106*F106,2)</f>
        <v>0</v>
      </c>
      <c r="N106" s="53" t="s">
        <v>14</v>
      </c>
      <c r="O106" s="54">
        <f>T18+T19+T22+T25+T28+T29</f>
        <v>0</v>
      </c>
      <c r="P106" s="611">
        <f>T8</f>
        <v>1.0407999999999999</v>
      </c>
      <c r="Q106" s="611"/>
      <c r="R106" s="48">
        <f>F106</f>
        <v>910.12</v>
      </c>
      <c r="S106" s="40" t="s">
        <v>12</v>
      </c>
      <c r="T106" s="479">
        <f>ROUND(O106*P106*R106,2)</f>
        <v>0</v>
      </c>
      <c r="U106" s="51"/>
    </row>
    <row r="107" spans="1:21" ht="16.5" thickBot="1" x14ac:dyDescent="0.3">
      <c r="A107" s="55"/>
      <c r="B107" s="122" t="s">
        <v>102</v>
      </c>
      <c r="C107" s="586">
        <f>SUM(C104:C106)</f>
        <v>267.63720000000001</v>
      </c>
      <c r="D107" s="586"/>
      <c r="E107" s="123"/>
      <c r="F107" s="123"/>
      <c r="G107" s="123"/>
      <c r="H107" s="124" t="s">
        <v>100</v>
      </c>
      <c r="I107" s="101">
        <f>IF(A1=75,0,H106+H105+H104)</f>
        <v>258029.11</v>
      </c>
      <c r="N107" s="56" t="s">
        <v>89</v>
      </c>
      <c r="O107" s="57">
        <f>SUM(O104:O106)</f>
        <v>0</v>
      </c>
      <c r="P107" s="612" t="s">
        <v>16</v>
      </c>
      <c r="Q107" s="613"/>
      <c r="R107" s="613"/>
      <c r="S107" s="613"/>
      <c r="T107" s="613"/>
      <c r="U107" s="473">
        <f>IF(N1=75,0,T106+T105+T104)</f>
        <v>0</v>
      </c>
    </row>
    <row r="108" spans="1:21" ht="16.5" thickTop="1" x14ac:dyDescent="0.25">
      <c r="A108" s="555" t="s">
        <v>65</v>
      </c>
      <c r="B108" s="555"/>
      <c r="C108" s="555"/>
      <c r="D108" s="555"/>
      <c r="E108" s="555"/>
      <c r="F108" s="555"/>
      <c r="G108" s="555"/>
      <c r="H108" s="555"/>
      <c r="I108" s="555"/>
      <c r="N108" s="614" t="s">
        <v>65</v>
      </c>
      <c r="O108" s="614"/>
      <c r="P108" s="614"/>
      <c r="Q108" s="614"/>
      <c r="R108" s="614"/>
      <c r="S108" s="614"/>
      <c r="T108" s="614"/>
      <c r="U108" s="614"/>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0" t="s">
        <v>499</v>
      </c>
      <c r="C110" s="43"/>
      <c r="D110" s="69"/>
      <c r="E110" s="43" t="s">
        <v>32</v>
      </c>
      <c r="F110" s="556"/>
      <c r="G110" s="556"/>
      <c r="H110" s="556"/>
      <c r="I110" s="556"/>
      <c r="N110" s="600" t="s">
        <v>499</v>
      </c>
      <c r="O110" s="601"/>
      <c r="P110" s="601"/>
      <c r="Q110" s="615"/>
      <c r="R110" s="615"/>
      <c r="S110" s="615"/>
      <c r="T110" s="615"/>
      <c r="U110" s="103"/>
    </row>
    <row r="111" spans="1:21" x14ac:dyDescent="0.25">
      <c r="B111" s="69"/>
      <c r="C111" s="88" t="s">
        <v>494</v>
      </c>
      <c r="D111" s="333" t="s">
        <v>495</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57" t="s">
        <v>381</v>
      </c>
      <c r="B113" s="558"/>
      <c r="C113" s="143">
        <v>249</v>
      </c>
      <c r="D113" s="143">
        <v>248</v>
      </c>
      <c r="E113" s="116">
        <f>(C113+D113)/2</f>
        <v>248.5</v>
      </c>
      <c r="F113" s="126" t="s">
        <v>30</v>
      </c>
      <c r="G113" s="304">
        <f>'1461'!G113</f>
        <v>576</v>
      </c>
      <c r="I113" s="101">
        <f>ROUND(G113*E113,2)</f>
        <v>143136</v>
      </c>
      <c r="N113" s="630" t="s">
        <v>52</v>
      </c>
      <c r="O113" s="630"/>
      <c r="P113" s="610">
        <f>IF(H133=1,E113,0)</f>
        <v>0</v>
      </c>
      <c r="Q113" s="610"/>
      <c r="R113" s="610"/>
      <c r="S113" s="83" t="s">
        <v>30</v>
      </c>
      <c r="T113" s="58">
        <f>G113</f>
        <v>576</v>
      </c>
      <c r="U113" s="473">
        <f>ROUND(T113*P113,2)</f>
        <v>0</v>
      </c>
    </row>
    <row r="114" spans="1:21" x14ac:dyDescent="0.25">
      <c r="A114" s="557" t="s">
        <v>382</v>
      </c>
      <c r="B114" s="558"/>
      <c r="C114" s="143">
        <v>0</v>
      </c>
      <c r="D114" s="143">
        <v>0</v>
      </c>
      <c r="E114" s="116">
        <f>(C114+D114)/2</f>
        <v>0</v>
      </c>
      <c r="F114" s="126" t="s">
        <v>30</v>
      </c>
      <c r="G114" s="304">
        <f>'1461'!G114</f>
        <v>1823</v>
      </c>
      <c r="I114" s="101">
        <f>ROUND(G114*E114,2)</f>
        <v>0</v>
      </c>
      <c r="N114" s="630" t="s">
        <v>64</v>
      </c>
      <c r="O114" s="630"/>
      <c r="P114" s="608"/>
      <c r="Q114" s="608"/>
      <c r="R114" s="608"/>
      <c r="S114" s="83" t="s">
        <v>30</v>
      </c>
      <c r="T114" s="58">
        <f>G114</f>
        <v>1823</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4" t="s">
        <v>430</v>
      </c>
      <c r="B117" s="578"/>
      <c r="C117" s="578"/>
      <c r="D117" s="69"/>
      <c r="E117" s="39" t="s">
        <v>300</v>
      </c>
      <c r="F117" s="563"/>
      <c r="G117" s="563"/>
      <c r="H117" s="563"/>
      <c r="I117" s="563"/>
      <c r="N117" s="600" t="s">
        <v>431</v>
      </c>
      <c r="O117" s="601"/>
      <c r="P117" s="601"/>
      <c r="Q117" s="601"/>
      <c r="R117" s="601"/>
      <c r="S117" s="601"/>
      <c r="T117" s="601"/>
      <c r="U117" s="601"/>
    </row>
    <row r="118" spans="1:21" hidden="1" x14ac:dyDescent="0.25">
      <c r="B118" s="69"/>
      <c r="C118" s="564" t="s">
        <v>66</v>
      </c>
      <c r="D118" s="564"/>
      <c r="E118" s="564"/>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5" t="s">
        <v>109</v>
      </c>
      <c r="G119" s="563"/>
      <c r="H119" s="37" t="s">
        <v>29</v>
      </c>
      <c r="I119" s="37"/>
      <c r="N119" s="45"/>
      <c r="O119" s="45"/>
      <c r="P119" s="45"/>
      <c r="Q119" s="45"/>
      <c r="R119" s="45"/>
      <c r="S119" s="45"/>
      <c r="T119" s="45"/>
      <c r="U119" s="45"/>
    </row>
    <row r="120" spans="1:21" hidden="1" x14ac:dyDescent="0.25">
      <c r="A120" s="564" t="s">
        <v>69</v>
      </c>
      <c r="B120" s="564"/>
      <c r="C120" s="90" t="s">
        <v>2</v>
      </c>
      <c r="D120" s="90" t="s">
        <v>2</v>
      </c>
      <c r="E120" s="59" t="s">
        <v>2</v>
      </c>
      <c r="F120" s="564" t="s">
        <v>28</v>
      </c>
      <c r="G120" s="564"/>
      <c r="H120" s="59" t="s">
        <v>28</v>
      </c>
      <c r="I120" s="59" t="s">
        <v>8</v>
      </c>
      <c r="N120" s="609" t="s">
        <v>53</v>
      </c>
      <c r="O120" s="609"/>
      <c r="P120" s="610" t="s">
        <v>66</v>
      </c>
      <c r="Q120" s="610"/>
      <c r="R120" s="609" t="s">
        <v>54</v>
      </c>
      <c r="S120" s="609"/>
      <c r="T120" s="60" t="s">
        <v>55</v>
      </c>
      <c r="U120" s="60" t="s">
        <v>8</v>
      </c>
    </row>
    <row r="121" spans="1:21" hidden="1" x14ac:dyDescent="0.25">
      <c r="A121" s="561" t="s">
        <v>56</v>
      </c>
      <c r="B121" s="561"/>
      <c r="C121" s="141">
        <v>0</v>
      </c>
      <c r="D121" s="141">
        <v>0</v>
      </c>
      <c r="E121" s="187">
        <f>IF(D30=0,C121*2,C121+D121)</f>
        <v>0</v>
      </c>
      <c r="F121" s="562">
        <v>0</v>
      </c>
      <c r="G121" s="562"/>
      <c r="H121" s="224">
        <f>IF(C121=0,0,125)</f>
        <v>0</v>
      </c>
      <c r="I121" s="101">
        <f>ROUND((H121+F121)*E121,2)</f>
        <v>0</v>
      </c>
      <c r="N121" s="601" t="s">
        <v>56</v>
      </c>
      <c r="O121" s="601"/>
      <c r="P121" s="608">
        <f>IF(H$133=1,C121,0)</f>
        <v>0</v>
      </c>
      <c r="Q121" s="608"/>
      <c r="R121" s="628">
        <f>F121</f>
        <v>0</v>
      </c>
      <c r="S121" s="628"/>
      <c r="T121" s="62">
        <f>H121</f>
        <v>0</v>
      </c>
      <c r="U121" s="96">
        <f>ROUND((T121+R121)*P121,0)</f>
        <v>0</v>
      </c>
    </row>
    <row r="122" spans="1:21" hidden="1" x14ac:dyDescent="0.25">
      <c r="A122" s="581" t="s">
        <v>57</v>
      </c>
      <c r="B122" s="581"/>
      <c r="C122" s="143">
        <v>0</v>
      </c>
      <c r="D122" s="143">
        <v>0</v>
      </c>
      <c r="E122" s="116">
        <f>IF(D31=0,C122*2,C122+D122)</f>
        <v>0</v>
      </c>
      <c r="F122" s="598">
        <f>ROUND(F121/2,2)</f>
        <v>0</v>
      </c>
      <c r="G122" s="598"/>
      <c r="H122" s="224">
        <f>IF(C122=0,0,62.5)</f>
        <v>0</v>
      </c>
      <c r="I122" s="101">
        <f>ROUND((H122+F122)*E122,2)</f>
        <v>0</v>
      </c>
      <c r="N122" s="601" t="s">
        <v>57</v>
      </c>
      <c r="O122" s="601"/>
      <c r="P122" s="608">
        <f>IF(H$133=1,C122,0)</f>
        <v>0</v>
      </c>
      <c r="Q122" s="608"/>
      <c r="R122" s="629">
        <f>ROUND(R121/2,2)</f>
        <v>0</v>
      </c>
      <c r="S122" s="629"/>
      <c r="T122" s="62">
        <f>H122</f>
        <v>0</v>
      </c>
      <c r="U122" s="96">
        <f>ROUND((T122+R122)*P122,0)</f>
        <v>0</v>
      </c>
    </row>
    <row r="123" spans="1:21" ht="16.5" hidden="1" thickBot="1" x14ac:dyDescent="0.3">
      <c r="A123" s="581" t="s">
        <v>58</v>
      </c>
      <c r="B123" s="581"/>
      <c r="C123" s="143">
        <v>0</v>
      </c>
      <c r="D123" s="143">
        <v>0</v>
      </c>
      <c r="E123" s="116">
        <f>IF(D32=0,C123*2,C123+D123)</f>
        <v>0</v>
      </c>
      <c r="F123" s="599"/>
      <c r="G123" s="599"/>
      <c r="H123" s="225">
        <f>IF(H121&gt;0,436,0)</f>
        <v>0</v>
      </c>
      <c r="I123" s="101">
        <f>ROUND(H123*E123,2)</f>
        <v>0</v>
      </c>
      <c r="N123" s="616" t="s">
        <v>58</v>
      </c>
      <c r="O123" s="616"/>
      <c r="P123" s="608">
        <f>IF(H$133=1,C123,0)</f>
        <v>0</v>
      </c>
      <c r="Q123" s="608"/>
      <c r="R123" s="609"/>
      <c r="S123" s="609"/>
      <c r="T123" s="64">
        <f>H123</f>
        <v>0</v>
      </c>
      <c r="U123" s="103">
        <f>ROUND(T123*P123,0)</f>
        <v>0</v>
      </c>
    </row>
    <row r="124" spans="1:21" ht="16.5" hidden="1" thickBot="1" x14ac:dyDescent="0.3">
      <c r="A124" s="563" t="s">
        <v>8</v>
      </c>
      <c r="B124" s="563"/>
      <c r="C124" s="65"/>
      <c r="D124" s="65"/>
      <c r="E124" s="65"/>
      <c r="F124" s="65"/>
      <c r="G124" s="65"/>
      <c r="H124" s="65"/>
      <c r="I124" s="97">
        <f>SUM(I121:I123)</f>
        <v>0</v>
      </c>
      <c r="N124" s="627" t="s">
        <v>8</v>
      </c>
      <c r="O124" s="627"/>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4" t="s">
        <v>432</v>
      </c>
      <c r="B126" s="578"/>
      <c r="C126" s="578"/>
      <c r="D126" s="69"/>
      <c r="E126" s="68" t="s">
        <v>34</v>
      </c>
      <c r="F126" s="597"/>
      <c r="G126" s="597"/>
      <c r="H126" s="597"/>
      <c r="I126" s="154">
        <v>0</v>
      </c>
      <c r="N126" s="600" t="s">
        <v>432</v>
      </c>
      <c r="O126" s="601"/>
      <c r="P126" s="601"/>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90" t="s">
        <v>8</v>
      </c>
      <c r="B128" s="590"/>
      <c r="C128" s="590"/>
      <c r="D128" s="590"/>
      <c r="E128" s="590"/>
      <c r="F128" s="590"/>
      <c r="G128" s="590"/>
      <c r="H128" s="590"/>
      <c r="I128" s="94">
        <f>SUM(I46,I66,I85,I88,I90,I92,I94,I96,I107,I113,I114,I124,I126)</f>
        <v>2315979.81</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434</v>
      </c>
      <c r="B130" s="26"/>
      <c r="C130" s="26"/>
      <c r="D130" s="26"/>
      <c r="E130" s="26"/>
      <c r="F130" s="26"/>
      <c r="G130" s="26"/>
      <c r="H130" s="26"/>
      <c r="I130" s="101">
        <f>I128-I53</f>
        <v>2227920.4500000002</v>
      </c>
      <c r="N130" s="601" t="s">
        <v>434</v>
      </c>
      <c r="O130" s="601"/>
      <c r="P130" s="601"/>
      <c r="Q130" s="601"/>
      <c r="R130" s="601"/>
      <c r="S130" s="601"/>
      <c r="T130" s="601"/>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4" t="s">
        <v>502</v>
      </c>
      <c r="B132" s="578"/>
      <c r="C132" s="578"/>
      <c r="D132" s="578"/>
      <c r="E132" s="578"/>
      <c r="F132" s="578"/>
      <c r="G132" s="578"/>
      <c r="H132" s="81" t="s">
        <v>333</v>
      </c>
      <c r="I132" s="134"/>
      <c r="N132" s="600" t="s">
        <v>502</v>
      </c>
      <c r="O132" s="601"/>
      <c r="P132" s="601"/>
      <c r="Q132" s="601"/>
      <c r="R132" s="601"/>
      <c r="S132" s="601"/>
      <c r="T132" s="601"/>
      <c r="U132" s="138"/>
    </row>
    <row r="133" spans="1:21" x14ac:dyDescent="0.25">
      <c r="A133" s="578" t="s">
        <v>70</v>
      </c>
      <c r="B133" s="578"/>
      <c r="C133" s="578"/>
      <c r="D133" s="578"/>
      <c r="E133" s="578"/>
      <c r="F133" s="578"/>
      <c r="G133" s="578"/>
      <c r="H133" s="70" t="str">
        <f>IF(E30=0,"",IF((E15+E17+SUM(E19:E25))/E30&gt;0.75,1,""))</f>
        <v/>
      </c>
      <c r="I133" s="116">
        <f>U130</f>
        <v>0</v>
      </c>
      <c r="N133" s="601" t="s">
        <v>70</v>
      </c>
      <c r="O133" s="601"/>
      <c r="P133" s="601"/>
      <c r="Q133" s="601"/>
      <c r="R133" s="601"/>
      <c r="S133" s="601"/>
      <c r="T133" s="601"/>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2227920.4500000002</v>
      </c>
      <c r="I135" s="94">
        <f>ROUND(IF(E30=0,0,IF(E30&gt;250,-(((250/E30)*H135)*IF(G135="H",0.02,0.05)),IF(G135="H",-0.02*H135,-0.05*H135))),2)</f>
        <v>-109456.45</v>
      </c>
      <c r="N135" s="626"/>
      <c r="O135" s="626"/>
      <c r="P135" s="626"/>
      <c r="Q135" s="626"/>
      <c r="R135" s="626"/>
      <c r="S135" s="626"/>
      <c r="T135" s="626"/>
      <c r="U135" s="626"/>
    </row>
    <row r="136" spans="1:21" x14ac:dyDescent="0.25">
      <c r="B136" s="69"/>
      <c r="C136" s="69"/>
      <c r="D136" s="69"/>
      <c r="E136" s="69"/>
      <c r="F136" s="69"/>
      <c r="G136" s="69"/>
      <c r="H136" s="65"/>
      <c r="I136" s="101"/>
      <c r="N136" s="624" t="s">
        <v>7</v>
      </c>
      <c r="O136" s="624"/>
      <c r="P136" s="624"/>
      <c r="Q136" s="624"/>
      <c r="R136" s="624"/>
      <c r="S136" s="624"/>
      <c r="T136" s="624"/>
      <c r="U136" s="624"/>
    </row>
    <row r="137" spans="1:21" x14ac:dyDescent="0.25">
      <c r="A137" s="309" t="s">
        <v>74</v>
      </c>
      <c r="B137" s="310"/>
      <c r="C137" s="310"/>
      <c r="D137" s="310"/>
      <c r="E137" s="310"/>
      <c r="F137" s="310"/>
      <c r="G137" s="310"/>
      <c r="H137" s="311"/>
      <c r="I137" s="312">
        <f>I128+I135</f>
        <v>2206523.36</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Payments'!Q79</f>
        <v>0</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2206523.36</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183876.95</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1939.57</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372</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373</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374</v>
      </c>
      <c r="B155" s="252"/>
      <c r="C155" s="252"/>
      <c r="D155" s="252"/>
      <c r="E155" s="252"/>
      <c r="F155" s="252"/>
      <c r="G155" s="252"/>
      <c r="H155" s="252"/>
      <c r="I155" s="252"/>
      <c r="N155" s="625"/>
      <c r="O155" s="625"/>
      <c r="P155" s="625"/>
      <c r="Q155" s="625"/>
      <c r="R155" s="625"/>
      <c r="S155" s="625"/>
      <c r="T155" s="625"/>
      <c r="U155" s="625"/>
    </row>
    <row r="156" spans="1:21" s="76" customFormat="1" x14ac:dyDescent="0.2">
      <c r="A156" s="320" t="s">
        <v>375</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376</v>
      </c>
      <c r="B157" s="252"/>
      <c r="C157" s="252"/>
      <c r="D157" s="252"/>
      <c r="E157" s="252"/>
      <c r="F157" s="252"/>
      <c r="G157" s="252"/>
      <c r="H157" s="252"/>
      <c r="I157" s="252"/>
      <c r="N157" s="78"/>
      <c r="O157" s="79"/>
      <c r="P157" s="79"/>
      <c r="Q157" s="79"/>
      <c r="R157" s="79"/>
      <c r="S157" s="79"/>
      <c r="T157" s="79"/>
      <c r="U157" s="79"/>
    </row>
    <row r="158" spans="1:21" s="76" customFormat="1" x14ac:dyDescent="0.2">
      <c r="A158" s="320" t="s">
        <v>377</v>
      </c>
      <c r="B158" s="252"/>
      <c r="C158" s="252"/>
      <c r="D158" s="252"/>
      <c r="E158" s="252"/>
      <c r="F158" s="252"/>
      <c r="G158" s="252"/>
      <c r="H158" s="252"/>
      <c r="I158" s="252"/>
      <c r="N158" s="78"/>
    </row>
    <row r="159" spans="1:21" s="76" customFormat="1" x14ac:dyDescent="0.2">
      <c r="A159" s="320" t="s">
        <v>379</v>
      </c>
      <c r="B159" s="252"/>
      <c r="C159" s="252"/>
      <c r="D159" s="252"/>
      <c r="E159" s="252"/>
      <c r="F159" s="252"/>
      <c r="G159" s="252"/>
      <c r="H159" s="252"/>
      <c r="I159" s="252"/>
      <c r="N159" s="78"/>
    </row>
    <row r="160" spans="1:21" s="76" customFormat="1" x14ac:dyDescent="0.2">
      <c r="A160" s="385" t="s">
        <v>378</v>
      </c>
      <c r="B160" s="252"/>
      <c r="C160" s="252"/>
      <c r="D160" s="252"/>
      <c r="E160" s="252"/>
      <c r="F160" s="252"/>
      <c r="G160" s="252"/>
      <c r="H160" s="252"/>
      <c r="I160" s="252"/>
      <c r="N160" s="78"/>
    </row>
    <row r="161" spans="1:14" s="76" customFormat="1" x14ac:dyDescent="0.2">
      <c r="A161" s="320" t="s">
        <v>380</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383</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385</v>
      </c>
      <c r="B165" s="293"/>
      <c r="C165" s="293"/>
      <c r="D165" s="293"/>
      <c r="E165" s="293"/>
      <c r="F165" s="293"/>
      <c r="G165" s="293"/>
      <c r="H165" s="293"/>
      <c r="I165" s="293"/>
      <c r="N165" s="78"/>
    </row>
    <row r="166" spans="1:14" s="76" customFormat="1" ht="15.75" customHeight="1" x14ac:dyDescent="0.2">
      <c r="A166" s="351" t="s">
        <v>384</v>
      </c>
      <c r="B166" s="293"/>
      <c r="C166" s="293"/>
      <c r="D166" s="293"/>
      <c r="E166" s="293"/>
      <c r="F166" s="293"/>
      <c r="G166" s="293"/>
      <c r="H166" s="293"/>
      <c r="I166" s="293"/>
      <c r="N166" s="78"/>
    </row>
    <row r="167" spans="1:14" s="76" customFormat="1" ht="15.75" customHeight="1" x14ac:dyDescent="0.2">
      <c r="A167" s="320" t="s">
        <v>386</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388</v>
      </c>
      <c r="B169" s="343"/>
      <c r="C169" s="343"/>
      <c r="D169" s="343"/>
      <c r="E169" s="343"/>
      <c r="F169" s="343"/>
      <c r="G169" s="343"/>
      <c r="H169" s="343"/>
      <c r="I169" s="343"/>
      <c r="N169" s="78"/>
    </row>
    <row r="170" spans="1:14" s="76" customFormat="1" ht="15.75" customHeight="1" x14ac:dyDescent="0.2">
      <c r="A170" s="351" t="s">
        <v>387</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389</v>
      </c>
      <c r="B175" s="293"/>
      <c r="C175" s="293"/>
      <c r="D175" s="293"/>
      <c r="E175" s="293"/>
      <c r="F175" s="293"/>
      <c r="G175" s="293"/>
      <c r="H175" s="293"/>
      <c r="I175" s="293"/>
      <c r="J175" s="3"/>
      <c r="K175" s="3"/>
      <c r="L175" s="3"/>
      <c r="M175" s="3"/>
      <c r="N175" s="78"/>
    </row>
    <row r="176" spans="1:14" s="76" customFormat="1" ht="15.75" customHeight="1" x14ac:dyDescent="0.2">
      <c r="A176" s="361" t="s">
        <v>390</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R123:S123"/>
    <mergeCell ref="A124:B124"/>
    <mergeCell ref="N124:O124"/>
    <mergeCell ref="N155:U155"/>
    <mergeCell ref="N135:U135"/>
    <mergeCell ref="N126:P126"/>
    <mergeCell ref="A126:C126"/>
    <mergeCell ref="F126:H126"/>
    <mergeCell ref="N130:T130"/>
    <mergeCell ref="A128:H128"/>
    <mergeCell ref="A132:G132"/>
    <mergeCell ref="N136:U136"/>
    <mergeCell ref="A133:G133"/>
    <mergeCell ref="N132:T132"/>
    <mergeCell ref="N133:T133"/>
    <mergeCell ref="R122:S122"/>
    <mergeCell ref="A117:C117"/>
    <mergeCell ref="F117:I117"/>
    <mergeCell ref="N117:U117"/>
    <mergeCell ref="C118:E118"/>
    <mergeCell ref="F119:G119"/>
    <mergeCell ref="A120:B120"/>
    <mergeCell ref="F120:G120"/>
    <mergeCell ref="N120:O120"/>
    <mergeCell ref="P120:Q120"/>
    <mergeCell ref="A121:B121"/>
    <mergeCell ref="F121:G121"/>
    <mergeCell ref="N121:O121"/>
    <mergeCell ref="P121:Q121"/>
    <mergeCell ref="R121:S121"/>
    <mergeCell ref="A122:B122"/>
    <mergeCell ref="F122:G122"/>
    <mergeCell ref="N122:O122"/>
    <mergeCell ref="P122:Q122"/>
    <mergeCell ref="F110:I110"/>
    <mergeCell ref="N110:P110"/>
    <mergeCell ref="Q110:T110"/>
    <mergeCell ref="R120:S12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6" t="s">
        <v>15</v>
      </c>
      <c r="C1" s="567"/>
      <c r="D1" s="567"/>
      <c r="E1" s="567"/>
      <c r="F1" s="567"/>
      <c r="G1" s="567"/>
      <c r="H1" s="567"/>
      <c r="I1" s="567"/>
      <c r="J1" s="135"/>
      <c r="K1" s="135"/>
      <c r="L1" s="135"/>
      <c r="N1" s="82">
        <f>A1</f>
        <v>0</v>
      </c>
      <c r="O1" s="658" t="s">
        <v>15</v>
      </c>
      <c r="P1" s="659"/>
      <c r="Q1" s="659"/>
      <c r="R1" s="659"/>
      <c r="S1" s="659"/>
      <c r="T1" s="659"/>
      <c r="U1" s="659"/>
    </row>
    <row r="2" spans="1:21" ht="21" x14ac:dyDescent="0.35">
      <c r="A2" s="1" t="s">
        <v>118</v>
      </c>
      <c r="B2" s="2"/>
      <c r="C2" s="2"/>
      <c r="D2" s="2"/>
      <c r="E2" s="2"/>
      <c r="F2" s="2"/>
      <c r="G2" s="2"/>
      <c r="H2" s="2"/>
      <c r="I2" s="2"/>
      <c r="N2" s="660" t="s">
        <v>18</v>
      </c>
      <c r="O2" s="660"/>
      <c r="P2" s="660"/>
      <c r="Q2" s="660"/>
      <c r="R2" s="660"/>
      <c r="S2" s="660"/>
      <c r="T2" s="660"/>
      <c r="U2" s="660"/>
    </row>
    <row r="3" spans="1:21" x14ac:dyDescent="0.25">
      <c r="A3" s="81" t="str">
        <f>'1461'!A3</f>
        <v>Based on the FLDOE 2024-25 Conference Calculation</v>
      </c>
      <c r="N3" s="627" t="str">
        <f>A3</f>
        <v>Based on the FLDOE 2024-25 Conference Calculation</v>
      </c>
      <c r="O3" s="627"/>
      <c r="P3" s="627"/>
      <c r="Q3" s="627"/>
      <c r="R3" s="627"/>
      <c r="S3" s="627"/>
      <c r="T3" s="627"/>
      <c r="U3" s="627"/>
    </row>
    <row r="4" spans="1:21" x14ac:dyDescent="0.25">
      <c r="A4" s="568" t="s">
        <v>0</v>
      </c>
      <c r="B4" s="568"/>
      <c r="C4" s="569" t="s">
        <v>9</v>
      </c>
      <c r="D4" s="569"/>
      <c r="E4" s="569"/>
      <c r="F4" s="4" t="str">
        <f>'1461'!F4</f>
        <v>July 2024</v>
      </c>
      <c r="G4" s="4"/>
      <c r="H4" s="4"/>
      <c r="I4" s="4"/>
      <c r="N4" s="661" t="s">
        <v>0</v>
      </c>
      <c r="O4" s="661"/>
      <c r="P4" s="662" t="str">
        <f>C4</f>
        <v>Palm Beach</v>
      </c>
      <c r="Q4" s="662"/>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70" t="s">
        <v>433</v>
      </c>
      <c r="B7" s="664"/>
      <c r="C7" s="664"/>
      <c r="D7" s="664"/>
      <c r="E7" s="664"/>
      <c r="F7" s="664"/>
      <c r="G7" s="664"/>
      <c r="H7" s="664"/>
      <c r="I7" s="664"/>
      <c r="N7" s="661" t="str">
        <f>A7</f>
        <v>1A.   2023-24 FEFP State and Local Funding</v>
      </c>
      <c r="O7" s="661"/>
      <c r="P7" s="661"/>
      <c r="Q7" s="661"/>
      <c r="R7" s="661"/>
      <c r="S7" s="661"/>
      <c r="T7" s="661"/>
      <c r="U7" s="661"/>
    </row>
    <row r="8" spans="1:21" x14ac:dyDescent="0.25">
      <c r="A8" s="84"/>
      <c r="B8" s="85" t="s">
        <v>92</v>
      </c>
      <c r="C8" s="299">
        <f>'1461'!C8</f>
        <v>5330.98</v>
      </c>
      <c r="D8" s="86"/>
      <c r="E8" s="87"/>
      <c r="F8" s="84"/>
      <c r="G8" s="85" t="s">
        <v>393</v>
      </c>
      <c r="H8" s="287">
        <f>'1461'!H8</f>
        <v>1.0407999999999999</v>
      </c>
      <c r="I8" s="75"/>
      <c r="N8" s="665" t="s">
        <v>10</v>
      </c>
      <c r="O8" s="665"/>
      <c r="P8" s="666">
        <f>C8</f>
        <v>5330.98</v>
      </c>
      <c r="Q8" s="666"/>
      <c r="R8" s="648" t="s">
        <v>394</v>
      </c>
      <c r="S8" s="649"/>
      <c r="T8" s="650">
        <f>H8</f>
        <v>1.0407999999999999</v>
      </c>
      <c r="U8" s="650"/>
    </row>
    <row r="9" spans="1:21" x14ac:dyDescent="0.25">
      <c r="A9" s="84"/>
      <c r="B9" s="85"/>
      <c r="C9" s="222"/>
      <c r="D9" s="86"/>
      <c r="E9" s="87"/>
      <c r="F9" s="84"/>
      <c r="G9" s="85" t="s">
        <v>391</v>
      </c>
      <c r="H9" s="287">
        <f>'1461'!H9</f>
        <v>1</v>
      </c>
      <c r="I9" s="75"/>
      <c r="N9" s="12"/>
      <c r="O9" s="12"/>
      <c r="P9" s="13"/>
      <c r="Q9" s="13"/>
      <c r="R9" s="387" t="s">
        <v>392</v>
      </c>
      <c r="S9" s="384"/>
      <c r="T9" s="650">
        <f>H9</f>
        <v>1</v>
      </c>
      <c r="U9" s="650"/>
    </row>
    <row r="10" spans="1:21" x14ac:dyDescent="0.25">
      <c r="A10" s="7"/>
      <c r="B10" s="42" t="s">
        <v>310</v>
      </c>
      <c r="C10" s="334" t="str">
        <f>'1461'!C10</f>
        <v xml:space="preserve"> </v>
      </c>
      <c r="D10" s="334" t="str">
        <f>'1461'!D10</f>
        <v xml:space="preserve"> </v>
      </c>
      <c r="E10" s="8"/>
      <c r="F10" s="9"/>
      <c r="G10" s="9"/>
      <c r="H10" s="10"/>
      <c r="I10" s="305" t="str">
        <f>'1461'!I10</f>
        <v>2024-25</v>
      </c>
      <c r="N10" s="12"/>
      <c r="O10" s="12"/>
      <c r="P10" s="13"/>
      <c r="Q10" s="13"/>
      <c r="R10" s="14"/>
      <c r="S10" s="14"/>
      <c r="T10" s="15"/>
      <c r="U10" s="366" t="str">
        <f>I10</f>
        <v>2024-25</v>
      </c>
    </row>
    <row r="11" spans="1:21" x14ac:dyDescent="0.25">
      <c r="A11" s="7"/>
      <c r="B11" s="7"/>
      <c r="C11" s="88" t="str">
        <f>'1461'!C11</f>
        <v>Oct 2023</v>
      </c>
      <c r="D11" s="333" t="str">
        <f>'1461'!D11</f>
        <v>Feb 2024</v>
      </c>
      <c r="E11" s="89" t="s">
        <v>8</v>
      </c>
      <c r="F11" s="571" t="s">
        <v>1</v>
      </c>
      <c r="G11" s="571"/>
      <c r="H11" s="10" t="s">
        <v>60</v>
      </c>
      <c r="I11" s="11" t="s">
        <v>27</v>
      </c>
      <c r="N11" s="12"/>
      <c r="O11" s="12"/>
      <c r="P11" s="13"/>
      <c r="Q11" s="13"/>
      <c r="R11" s="651" t="s">
        <v>1</v>
      </c>
      <c r="S11" s="651"/>
      <c r="T11" s="15" t="s">
        <v>60</v>
      </c>
      <c r="U11" s="16" t="s">
        <v>27</v>
      </c>
    </row>
    <row r="12" spans="1:21" ht="15.75" customHeight="1" x14ac:dyDescent="0.25">
      <c r="A12" s="572" t="s">
        <v>1</v>
      </c>
      <c r="B12" s="572"/>
      <c r="C12" s="324" t="str">
        <f>'1461'!C12</f>
        <v>FTE</v>
      </c>
      <c r="D12" s="324" t="str">
        <f>'1461'!D12</f>
        <v>FTE</v>
      </c>
      <c r="E12" s="324" t="s">
        <v>2</v>
      </c>
      <c r="F12" s="573" t="s">
        <v>63</v>
      </c>
      <c r="G12" s="573"/>
      <c r="H12" s="17" t="s">
        <v>59</v>
      </c>
      <c r="I12" s="388" t="s">
        <v>395</v>
      </c>
      <c r="N12" s="639" t="s">
        <v>1</v>
      </c>
      <c r="O12" s="639"/>
      <c r="P12" s="652" t="s">
        <v>19</v>
      </c>
      <c r="Q12" s="652"/>
      <c r="R12" s="653" t="s">
        <v>63</v>
      </c>
      <c r="S12" s="653"/>
      <c r="T12" s="18" t="s">
        <v>59</v>
      </c>
      <c r="U12" s="19" t="str">
        <f>I12</f>
        <v>(WFTE x BSA x CWF x SDF)</v>
      </c>
    </row>
    <row r="13" spans="1:21" x14ac:dyDescent="0.25">
      <c r="A13" s="574" t="s">
        <v>36</v>
      </c>
      <c r="B13" s="574"/>
      <c r="C13" s="91"/>
      <c r="D13" s="91"/>
      <c r="E13" s="92" t="s">
        <v>37</v>
      </c>
      <c r="F13" s="575" t="s">
        <v>38</v>
      </c>
      <c r="G13" s="575"/>
      <c r="H13" s="20" t="s">
        <v>39</v>
      </c>
      <c r="I13" s="21" t="s">
        <v>40</v>
      </c>
      <c r="N13" s="654" t="s">
        <v>36</v>
      </c>
      <c r="O13" s="654"/>
      <c r="P13" s="655" t="s">
        <v>37</v>
      </c>
      <c r="Q13" s="655"/>
      <c r="R13" s="656" t="s">
        <v>38</v>
      </c>
      <c r="S13" s="656"/>
      <c r="T13" s="22" t="s">
        <v>39</v>
      </c>
      <c r="U13" s="23" t="s">
        <v>40</v>
      </c>
    </row>
    <row r="14" spans="1:21" x14ac:dyDescent="0.25">
      <c r="A14" s="576" t="s">
        <v>20</v>
      </c>
      <c r="B14" s="576"/>
      <c r="C14" s="143">
        <v>0</v>
      </c>
      <c r="D14" s="141">
        <v>0</v>
      </c>
      <c r="E14" s="187">
        <f>IF(D$30=0,C14*2,C14+D14)</f>
        <v>0</v>
      </c>
      <c r="F14" s="667">
        <f>'1461'!F14:G14</f>
        <v>1.1180000000000001</v>
      </c>
      <c r="G14" s="667"/>
      <c r="H14" s="145">
        <f>ROUND(E14*F14,4)</f>
        <v>0</v>
      </c>
      <c r="I14" s="111">
        <f>ROUND(ROUND(ROUND(H14*$C$8,4)*($H$8),2)*(MAX($H$9,1)),2)</f>
        <v>0</v>
      </c>
      <c r="N14" s="641" t="s">
        <v>20</v>
      </c>
      <c r="O14" s="641"/>
      <c r="P14" s="642">
        <f t="shared" ref="P14:P29" si="0">IF($H$133=1,E14,0)</f>
        <v>0</v>
      </c>
      <c r="Q14" s="642"/>
      <c r="R14" s="657">
        <v>1</v>
      </c>
      <c r="S14" s="657"/>
      <c r="T14" s="95">
        <f>ROUND(P14*R14,4)</f>
        <v>0</v>
      </c>
      <c r="U14" s="473">
        <f>ROUND(ROUND(ROUND(T14*$C$8,4)*($H$8),2)*(MAX($H$9,1)),2)</f>
        <v>0</v>
      </c>
    </row>
    <row r="15" spans="1:21" x14ac:dyDescent="0.25">
      <c r="A15" s="578" t="s">
        <v>21</v>
      </c>
      <c r="B15" s="578"/>
      <c r="C15" s="143">
        <v>0</v>
      </c>
      <c r="D15" s="143">
        <v>0</v>
      </c>
      <c r="E15" s="116">
        <f t="shared" ref="E15:E29" si="1">IF(D$30=0,C15*2,C15+D15)</f>
        <v>0</v>
      </c>
      <c r="F15" s="663">
        <f>'1461'!F15:G15</f>
        <v>1.1180000000000001</v>
      </c>
      <c r="G15" s="663"/>
      <c r="H15" s="80">
        <f t="shared" ref="H15:H29" si="2">ROUND(E15*F15,4)</f>
        <v>0</v>
      </c>
      <c r="I15" s="101">
        <f t="shared" ref="I15:I29" si="3">ROUND(ROUND(ROUND(H15*$C$8,4)*($H$8),2)*(MAX($H$9,1)),2)</f>
        <v>0</v>
      </c>
      <c r="J15" s="65" t="str">
        <f>IF(ROUND(E15,2)=ROUND(SUM(E57:E59),2)," ","CHECK PK-3 LINES BELOW")</f>
        <v xml:space="preserve"> </v>
      </c>
      <c r="N15" s="601" t="s">
        <v>21</v>
      </c>
      <c r="O15" s="601"/>
      <c r="P15" s="642">
        <f t="shared" si="0"/>
        <v>0</v>
      </c>
      <c r="Q15" s="642"/>
      <c r="R15" s="647">
        <v>1</v>
      </c>
      <c r="S15" s="647"/>
      <c r="T15" s="95">
        <f t="shared" ref="T15:T29" si="4">ROUND(P15*R15,4)</f>
        <v>0</v>
      </c>
      <c r="U15" s="473">
        <f t="shared" ref="U15:U29" si="5">ROUND(ROUND(ROUND(T15*$C$8,4)*($H$8),2)*(MAX($H$9,1)),2)</f>
        <v>0</v>
      </c>
    </row>
    <row r="16" spans="1:21" x14ac:dyDescent="0.25">
      <c r="A16" s="578" t="s">
        <v>22</v>
      </c>
      <c r="B16" s="578"/>
      <c r="C16" s="143">
        <v>0</v>
      </c>
      <c r="D16" s="143">
        <v>0</v>
      </c>
      <c r="E16" s="116">
        <f t="shared" si="1"/>
        <v>0</v>
      </c>
      <c r="F16" s="663">
        <f>'1461'!F16:G16</f>
        <v>1</v>
      </c>
      <c r="G16" s="663"/>
      <c r="H16" s="80">
        <f t="shared" si="2"/>
        <v>0</v>
      </c>
      <c r="I16" s="101">
        <f t="shared" si="3"/>
        <v>0</v>
      </c>
      <c r="N16" s="601" t="s">
        <v>22</v>
      </c>
      <c r="O16" s="601"/>
      <c r="P16" s="642">
        <f t="shared" si="0"/>
        <v>0</v>
      </c>
      <c r="Q16" s="642"/>
      <c r="R16" s="647">
        <v>1</v>
      </c>
      <c r="S16" s="647"/>
      <c r="T16" s="95">
        <f t="shared" si="4"/>
        <v>0</v>
      </c>
      <c r="U16" s="473">
        <f t="shared" si="5"/>
        <v>0</v>
      </c>
    </row>
    <row r="17" spans="1:21" x14ac:dyDescent="0.25">
      <c r="A17" s="578" t="s">
        <v>23</v>
      </c>
      <c r="B17" s="578"/>
      <c r="C17" s="143">
        <v>0.5</v>
      </c>
      <c r="D17" s="143">
        <v>0.96</v>
      </c>
      <c r="E17" s="116">
        <f t="shared" si="1"/>
        <v>1.46</v>
      </c>
      <c r="F17" s="663">
        <f>'1461'!F17:G17</f>
        <v>1</v>
      </c>
      <c r="G17" s="663"/>
      <c r="H17" s="80">
        <f t="shared" si="2"/>
        <v>1.46</v>
      </c>
      <c r="I17" s="101">
        <f t="shared" si="3"/>
        <v>8100.79</v>
      </c>
      <c r="J17" s="65" t="str">
        <f>IF(ROUND(E17,2)=ROUND(SUM(E60:E62),2)," ","CHECK 4-8 LINES BELOW")</f>
        <v xml:space="preserve"> </v>
      </c>
      <c r="N17" s="601" t="s">
        <v>23</v>
      </c>
      <c r="O17" s="601"/>
      <c r="P17" s="642">
        <f t="shared" si="0"/>
        <v>1.46</v>
      </c>
      <c r="Q17" s="642"/>
      <c r="R17" s="647">
        <v>1</v>
      </c>
      <c r="S17" s="647"/>
      <c r="T17" s="95">
        <f t="shared" si="4"/>
        <v>1.46</v>
      </c>
      <c r="U17" s="473">
        <f t="shared" si="5"/>
        <v>8100.79</v>
      </c>
    </row>
    <row r="18" spans="1:21" x14ac:dyDescent="0.25">
      <c r="A18" s="578" t="s">
        <v>24</v>
      </c>
      <c r="B18" s="578"/>
      <c r="C18" s="143">
        <v>0</v>
      </c>
      <c r="D18" s="143"/>
      <c r="E18" s="116">
        <f t="shared" si="1"/>
        <v>0</v>
      </c>
      <c r="F18" s="663">
        <f>'1461'!F18:G18</f>
        <v>0.97799999999999998</v>
      </c>
      <c r="G18" s="663"/>
      <c r="H18" s="80">
        <f t="shared" si="2"/>
        <v>0</v>
      </c>
      <c r="I18" s="101">
        <f t="shared" si="3"/>
        <v>0</v>
      </c>
      <c r="N18" s="601" t="s">
        <v>24</v>
      </c>
      <c r="O18" s="601"/>
      <c r="P18" s="642">
        <f t="shared" si="0"/>
        <v>0</v>
      </c>
      <c r="Q18" s="642"/>
      <c r="R18" s="647">
        <v>1</v>
      </c>
      <c r="S18" s="647"/>
      <c r="T18" s="95">
        <f t="shared" si="4"/>
        <v>0</v>
      </c>
      <c r="U18" s="473">
        <f t="shared" si="5"/>
        <v>0</v>
      </c>
    </row>
    <row r="19" spans="1:21" x14ac:dyDescent="0.25">
      <c r="A19" s="578" t="s">
        <v>25</v>
      </c>
      <c r="B19" s="578"/>
      <c r="C19" s="143">
        <v>10.5</v>
      </c>
      <c r="D19" s="143">
        <v>11</v>
      </c>
      <c r="E19" s="116">
        <f t="shared" si="1"/>
        <v>21.5</v>
      </c>
      <c r="F19" s="663">
        <f>'1461'!F19:G19</f>
        <v>0.97799999999999998</v>
      </c>
      <c r="G19" s="663"/>
      <c r="H19" s="80">
        <f t="shared" si="2"/>
        <v>21.027000000000001</v>
      </c>
      <c r="I19" s="101">
        <f t="shared" si="3"/>
        <v>116667.97</v>
      </c>
      <c r="J19" s="65" t="str">
        <f>IF(ROUND(E19,2)=ROUND(SUM(E63:E65),2)," ","CHECK 4-8 LINES BELOW")</f>
        <v xml:space="preserve"> </v>
      </c>
      <c r="N19" s="601" t="s">
        <v>25</v>
      </c>
      <c r="O19" s="601"/>
      <c r="P19" s="642">
        <f t="shared" si="0"/>
        <v>21.5</v>
      </c>
      <c r="Q19" s="642"/>
      <c r="R19" s="647">
        <v>1</v>
      </c>
      <c r="S19" s="647"/>
      <c r="T19" s="95">
        <f t="shared" si="4"/>
        <v>21.5</v>
      </c>
      <c r="U19" s="472">
        <f t="shared" si="5"/>
        <v>119292.41</v>
      </c>
    </row>
    <row r="20" spans="1:21" x14ac:dyDescent="0.25">
      <c r="A20" s="578" t="s">
        <v>79</v>
      </c>
      <c r="B20" s="578"/>
      <c r="C20" s="143">
        <v>0</v>
      </c>
      <c r="D20" s="143">
        <v>0</v>
      </c>
      <c r="E20" s="116">
        <f t="shared" si="1"/>
        <v>0</v>
      </c>
      <c r="F20" s="663">
        <f>'1461'!F20:G20</f>
        <v>3.6970000000000001</v>
      </c>
      <c r="G20" s="663"/>
      <c r="H20" s="80">
        <f t="shared" si="2"/>
        <v>0</v>
      </c>
      <c r="I20" s="101">
        <f t="shared" si="3"/>
        <v>0</v>
      </c>
      <c r="N20" s="601" t="s">
        <v>79</v>
      </c>
      <c r="O20" s="601"/>
      <c r="P20" s="642">
        <f t="shared" si="0"/>
        <v>0</v>
      </c>
      <c r="Q20" s="642"/>
      <c r="R20" s="647">
        <v>1</v>
      </c>
      <c r="S20" s="647"/>
      <c r="T20" s="95">
        <f t="shared" si="4"/>
        <v>0</v>
      </c>
      <c r="U20" s="473">
        <f t="shared" si="5"/>
        <v>0</v>
      </c>
    </row>
    <row r="21" spans="1:21" x14ac:dyDescent="0.25">
      <c r="A21" s="578" t="s">
        <v>80</v>
      </c>
      <c r="B21" s="578"/>
      <c r="C21" s="143">
        <v>0</v>
      </c>
      <c r="D21" s="143">
        <v>0</v>
      </c>
      <c r="E21" s="116">
        <f t="shared" si="1"/>
        <v>0</v>
      </c>
      <c r="F21" s="663">
        <f>'1461'!F21:G21</f>
        <v>3.6970000000000001</v>
      </c>
      <c r="G21" s="663"/>
      <c r="H21" s="80">
        <f t="shared" si="2"/>
        <v>0</v>
      </c>
      <c r="I21" s="101">
        <f t="shared" si="3"/>
        <v>0</v>
      </c>
      <c r="N21" s="601" t="s">
        <v>80</v>
      </c>
      <c r="O21" s="601"/>
      <c r="P21" s="642">
        <f t="shared" si="0"/>
        <v>0</v>
      </c>
      <c r="Q21" s="642"/>
      <c r="R21" s="647">
        <v>1</v>
      </c>
      <c r="S21" s="647"/>
      <c r="T21" s="95">
        <f t="shared" si="4"/>
        <v>0</v>
      </c>
      <c r="U21" s="473">
        <f t="shared" si="5"/>
        <v>0</v>
      </c>
    </row>
    <row r="22" spans="1:21" x14ac:dyDescent="0.25">
      <c r="A22" s="578" t="s">
        <v>81</v>
      </c>
      <c r="B22" s="578"/>
      <c r="C22" s="143">
        <v>0</v>
      </c>
      <c r="D22" s="143">
        <v>0</v>
      </c>
      <c r="E22" s="116">
        <f t="shared" si="1"/>
        <v>0</v>
      </c>
      <c r="F22" s="663">
        <f>'1461'!F22:G22</f>
        <v>3.6970000000000001</v>
      </c>
      <c r="G22" s="663"/>
      <c r="H22" s="80">
        <f t="shared" si="2"/>
        <v>0</v>
      </c>
      <c r="I22" s="101">
        <f t="shared" si="3"/>
        <v>0</v>
      </c>
      <c r="N22" s="601" t="s">
        <v>81</v>
      </c>
      <c r="O22" s="601"/>
      <c r="P22" s="642">
        <f t="shared" si="0"/>
        <v>0</v>
      </c>
      <c r="Q22" s="642"/>
      <c r="R22" s="647">
        <v>1</v>
      </c>
      <c r="S22" s="647"/>
      <c r="T22" s="95">
        <f t="shared" si="4"/>
        <v>0</v>
      </c>
      <c r="U22" s="473">
        <f t="shared" si="5"/>
        <v>0</v>
      </c>
    </row>
    <row r="23" spans="1:21" x14ac:dyDescent="0.25">
      <c r="A23" s="578" t="s">
        <v>82</v>
      </c>
      <c r="B23" s="578"/>
      <c r="C23" s="143">
        <v>0</v>
      </c>
      <c r="D23" s="143">
        <v>0</v>
      </c>
      <c r="E23" s="116">
        <f t="shared" si="1"/>
        <v>0</v>
      </c>
      <c r="F23" s="663">
        <f>'1461'!F23:G23</f>
        <v>5.992</v>
      </c>
      <c r="G23" s="663"/>
      <c r="H23" s="80">
        <f t="shared" si="2"/>
        <v>0</v>
      </c>
      <c r="I23" s="101">
        <f t="shared" si="3"/>
        <v>0</v>
      </c>
      <c r="N23" s="601" t="s">
        <v>82</v>
      </c>
      <c r="O23" s="601"/>
      <c r="P23" s="642">
        <f t="shared" si="0"/>
        <v>0</v>
      </c>
      <c r="Q23" s="642"/>
      <c r="R23" s="647">
        <v>1</v>
      </c>
      <c r="S23" s="647"/>
      <c r="T23" s="95">
        <f t="shared" si="4"/>
        <v>0</v>
      </c>
      <c r="U23" s="473">
        <f t="shared" si="5"/>
        <v>0</v>
      </c>
    </row>
    <row r="24" spans="1:21" x14ac:dyDescent="0.25">
      <c r="A24" s="578" t="s">
        <v>83</v>
      </c>
      <c r="B24" s="578"/>
      <c r="C24" s="143">
        <v>0</v>
      </c>
      <c r="D24" s="143">
        <v>0</v>
      </c>
      <c r="E24" s="116">
        <f t="shared" si="1"/>
        <v>0</v>
      </c>
      <c r="F24" s="663">
        <f>'1461'!F24:G24</f>
        <v>5.992</v>
      </c>
      <c r="G24" s="663"/>
      <c r="H24" s="80">
        <f t="shared" si="2"/>
        <v>0</v>
      </c>
      <c r="I24" s="101">
        <f t="shared" si="3"/>
        <v>0</v>
      </c>
      <c r="N24" s="601" t="s">
        <v>83</v>
      </c>
      <c r="O24" s="601"/>
      <c r="P24" s="642">
        <f t="shared" si="0"/>
        <v>0</v>
      </c>
      <c r="Q24" s="642"/>
      <c r="R24" s="647">
        <v>1</v>
      </c>
      <c r="S24" s="647"/>
      <c r="T24" s="95">
        <f t="shared" si="4"/>
        <v>0</v>
      </c>
      <c r="U24" s="473">
        <f t="shared" si="5"/>
        <v>0</v>
      </c>
    </row>
    <row r="25" spans="1:21" x14ac:dyDescent="0.25">
      <c r="A25" s="578" t="s">
        <v>84</v>
      </c>
      <c r="B25" s="578"/>
      <c r="C25" s="143">
        <v>0.48</v>
      </c>
      <c r="D25" s="143">
        <v>0.98</v>
      </c>
      <c r="E25" s="116">
        <f t="shared" si="1"/>
        <v>1.46</v>
      </c>
      <c r="F25" s="663">
        <f>'1461'!F25:G25</f>
        <v>5.992</v>
      </c>
      <c r="G25" s="663"/>
      <c r="H25" s="80">
        <f t="shared" si="2"/>
        <v>8.7483000000000004</v>
      </c>
      <c r="I25" s="101">
        <f t="shared" si="3"/>
        <v>48539.8</v>
      </c>
      <c r="N25" s="601" t="s">
        <v>84</v>
      </c>
      <c r="O25" s="601"/>
      <c r="P25" s="642">
        <f t="shared" si="0"/>
        <v>1.46</v>
      </c>
      <c r="Q25" s="642"/>
      <c r="R25" s="647">
        <v>1</v>
      </c>
      <c r="S25" s="647"/>
      <c r="T25" s="95">
        <f t="shared" si="4"/>
        <v>1.46</v>
      </c>
      <c r="U25" s="473">
        <f t="shared" si="5"/>
        <v>8100.79</v>
      </c>
    </row>
    <row r="26" spans="1:21" x14ac:dyDescent="0.25">
      <c r="A26" s="578" t="s">
        <v>85</v>
      </c>
      <c r="B26" s="578"/>
      <c r="C26" s="143">
        <v>0</v>
      </c>
      <c r="D26" s="143">
        <v>0</v>
      </c>
      <c r="E26" s="116">
        <f t="shared" si="1"/>
        <v>0</v>
      </c>
      <c r="F26" s="663">
        <f>'1461'!F26:G26</f>
        <v>1.1919999999999999</v>
      </c>
      <c r="G26" s="663"/>
      <c r="H26" s="80">
        <f t="shared" si="2"/>
        <v>0</v>
      </c>
      <c r="I26" s="101">
        <f t="shared" si="3"/>
        <v>0</v>
      </c>
      <c r="N26" s="601" t="s">
        <v>85</v>
      </c>
      <c r="O26" s="601"/>
      <c r="P26" s="642">
        <f t="shared" si="0"/>
        <v>0</v>
      </c>
      <c r="Q26" s="642"/>
      <c r="R26" s="647">
        <v>1</v>
      </c>
      <c r="S26" s="647"/>
      <c r="T26" s="95">
        <f t="shared" si="4"/>
        <v>0</v>
      </c>
      <c r="U26" s="473">
        <f t="shared" si="5"/>
        <v>0</v>
      </c>
    </row>
    <row r="27" spans="1:21" x14ac:dyDescent="0.25">
      <c r="A27" s="578" t="s">
        <v>86</v>
      </c>
      <c r="B27" s="578"/>
      <c r="C27" s="143">
        <v>0</v>
      </c>
      <c r="D27" s="143">
        <v>0</v>
      </c>
      <c r="E27" s="116">
        <f t="shared" si="1"/>
        <v>0</v>
      </c>
      <c r="F27" s="663">
        <f>'1461'!F27:G27</f>
        <v>1.1919999999999999</v>
      </c>
      <c r="G27" s="663"/>
      <c r="H27" s="80">
        <f t="shared" si="2"/>
        <v>0</v>
      </c>
      <c r="I27" s="101">
        <f t="shared" si="3"/>
        <v>0</v>
      </c>
      <c r="N27" s="601" t="s">
        <v>86</v>
      </c>
      <c r="O27" s="601"/>
      <c r="P27" s="642">
        <f t="shared" si="0"/>
        <v>0</v>
      </c>
      <c r="Q27" s="642"/>
      <c r="R27" s="647">
        <v>1</v>
      </c>
      <c r="S27" s="647"/>
      <c r="T27" s="95">
        <f t="shared" si="4"/>
        <v>0</v>
      </c>
      <c r="U27" s="473">
        <f t="shared" si="5"/>
        <v>0</v>
      </c>
    </row>
    <row r="28" spans="1:21" x14ac:dyDescent="0.25">
      <c r="A28" s="578" t="s">
        <v>87</v>
      </c>
      <c r="B28" s="578"/>
      <c r="C28" s="143">
        <v>0</v>
      </c>
      <c r="D28" s="143">
        <v>0</v>
      </c>
      <c r="E28" s="116">
        <f t="shared" si="1"/>
        <v>0</v>
      </c>
      <c r="F28" s="663">
        <f>'1461'!F28:G28</f>
        <v>1.1919999999999999</v>
      </c>
      <c r="G28" s="663"/>
      <c r="H28" s="80">
        <f t="shared" si="2"/>
        <v>0</v>
      </c>
      <c r="I28" s="101">
        <f t="shared" si="3"/>
        <v>0</v>
      </c>
      <c r="N28" s="601" t="s">
        <v>87</v>
      </c>
      <c r="O28" s="601"/>
      <c r="P28" s="642">
        <f t="shared" si="0"/>
        <v>0</v>
      </c>
      <c r="Q28" s="642"/>
      <c r="R28" s="647">
        <v>1</v>
      </c>
      <c r="S28" s="647"/>
      <c r="T28" s="95">
        <f t="shared" si="4"/>
        <v>0</v>
      </c>
      <c r="U28" s="473">
        <f t="shared" si="5"/>
        <v>0</v>
      </c>
    </row>
    <row r="29" spans="1:21" x14ac:dyDescent="0.25">
      <c r="A29" s="578" t="s">
        <v>88</v>
      </c>
      <c r="B29" s="578"/>
      <c r="C29" s="110">
        <v>0</v>
      </c>
      <c r="D29" s="110">
        <v>0</v>
      </c>
      <c r="E29" s="154">
        <f t="shared" si="1"/>
        <v>0</v>
      </c>
      <c r="F29" s="663">
        <f>'1461'!F29:G29</f>
        <v>1.079</v>
      </c>
      <c r="G29" s="663"/>
      <c r="H29" s="93">
        <f t="shared" si="2"/>
        <v>0</v>
      </c>
      <c r="I29" s="94">
        <f t="shared" si="3"/>
        <v>0</v>
      </c>
      <c r="N29" s="616" t="s">
        <v>88</v>
      </c>
      <c r="O29" s="616"/>
      <c r="P29" s="642">
        <f t="shared" si="0"/>
        <v>0</v>
      </c>
      <c r="Q29" s="642"/>
      <c r="R29" s="643">
        <v>1</v>
      </c>
      <c r="S29" s="643"/>
      <c r="T29" s="95">
        <f t="shared" si="4"/>
        <v>0</v>
      </c>
      <c r="U29" s="473">
        <f t="shared" si="5"/>
        <v>0</v>
      </c>
    </row>
    <row r="30" spans="1:21" x14ac:dyDescent="0.25">
      <c r="A30" s="590" t="s">
        <v>5</v>
      </c>
      <c r="B30" s="590"/>
      <c r="C30" s="94">
        <f>SUM(C14:C29)</f>
        <v>11.48</v>
      </c>
      <c r="D30" s="94">
        <f>SUM(D14:D29)</f>
        <v>12.940000000000001</v>
      </c>
      <c r="E30" s="94">
        <f>SUM(E14:E29)</f>
        <v>24.42</v>
      </c>
      <c r="F30" s="582"/>
      <c r="G30" s="582"/>
      <c r="H30" s="99">
        <f>SUM(H14:H29)</f>
        <v>31.235300000000002</v>
      </c>
      <c r="I30" s="94">
        <f>SUM(I14:I29)</f>
        <v>173308.56</v>
      </c>
      <c r="N30" s="644" t="s">
        <v>5</v>
      </c>
      <c r="O30" s="644"/>
      <c r="P30" s="645">
        <f>SUM(P14:P29)</f>
        <v>24.42</v>
      </c>
      <c r="Q30" s="645"/>
      <c r="R30" s="617"/>
      <c r="S30" s="617"/>
      <c r="T30" s="100">
        <f>SUM(T14:T29)</f>
        <v>24.42</v>
      </c>
      <c r="U30" s="473">
        <f>SUM(U14:U29)</f>
        <v>135493.99</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0" t="s">
        <v>233</v>
      </c>
      <c r="G34" s="670"/>
      <c r="H34" s="670"/>
      <c r="I34" s="101"/>
      <c r="N34" s="28"/>
      <c r="O34" s="28"/>
      <c r="P34" s="29"/>
      <c r="Q34" s="29"/>
      <c r="R34" s="30"/>
      <c r="S34" s="30"/>
      <c r="T34" s="102"/>
      <c r="U34" s="103"/>
    </row>
    <row r="35" spans="1:21" hidden="1" x14ac:dyDescent="0.25">
      <c r="A35" s="3"/>
      <c r="B35" s="69"/>
      <c r="C35" s="69"/>
      <c r="D35" s="69"/>
      <c r="E35" s="69"/>
      <c r="F35" s="670"/>
      <c r="G35" s="670"/>
      <c r="H35" s="670"/>
      <c r="I35" s="24" t="s">
        <v>61</v>
      </c>
      <c r="N35" s="627" t="s">
        <v>26</v>
      </c>
      <c r="O35" s="627"/>
      <c r="P35" s="627"/>
      <c r="Q35" s="627"/>
      <c r="R35" s="627"/>
      <c r="S35" s="627"/>
      <c r="T35" s="627"/>
      <c r="U35" s="25" t="str">
        <f>I35</f>
        <v>2015-16</v>
      </c>
    </row>
    <row r="36" spans="1:21" hidden="1" x14ac:dyDescent="0.25">
      <c r="A36" s="26"/>
      <c r="B36" s="26"/>
      <c r="C36" s="88" t="s">
        <v>93</v>
      </c>
      <c r="D36" s="88" t="s">
        <v>94</v>
      </c>
      <c r="E36" s="89" t="s">
        <v>8</v>
      </c>
      <c r="F36" s="670"/>
      <c r="G36" s="670"/>
      <c r="H36" s="670"/>
      <c r="I36" s="24" t="s">
        <v>27</v>
      </c>
      <c r="N36" s="28"/>
      <c r="O36" s="28"/>
      <c r="P36" s="29"/>
      <c r="Q36" s="29"/>
      <c r="R36" s="30"/>
      <c r="S36" s="30"/>
      <c r="T36" s="102"/>
      <c r="U36" s="25" t="s">
        <v>27</v>
      </c>
    </row>
    <row r="37" spans="1:21" ht="26.25" hidden="1" x14ac:dyDescent="0.25">
      <c r="A37" s="572" t="s">
        <v>50</v>
      </c>
      <c r="B37" s="572"/>
      <c r="C37" s="90" t="s">
        <v>2</v>
      </c>
      <c r="D37" s="90" t="s">
        <v>2</v>
      </c>
      <c r="E37" s="90" t="s">
        <v>2</v>
      </c>
      <c r="F37" s="671"/>
      <c r="G37" s="671"/>
      <c r="H37" s="671"/>
      <c r="I37" s="31" t="s">
        <v>395</v>
      </c>
      <c r="N37" s="639" t="s">
        <v>50</v>
      </c>
      <c r="O37" s="639"/>
      <c r="P37" s="640" t="s">
        <v>19</v>
      </c>
      <c r="Q37" s="640"/>
      <c r="R37" s="640"/>
      <c r="S37" s="640"/>
      <c r="T37" s="640"/>
      <c r="U37" s="19" t="str">
        <f>I37</f>
        <v>(WFTE x BSA x CWF x SDF)</v>
      </c>
    </row>
    <row r="38" spans="1:21" hidden="1" x14ac:dyDescent="0.25">
      <c r="A38" s="576" t="s">
        <v>45</v>
      </c>
      <c r="B38" s="576"/>
      <c r="C38" s="147">
        <v>0</v>
      </c>
      <c r="D38" s="147">
        <v>0</v>
      </c>
      <c r="E38" s="187">
        <f t="shared" ref="E38:E43" si="6">IF(D$44=0,C38*2,C38+D38)</f>
        <v>0</v>
      </c>
      <c r="F38" s="148"/>
      <c r="G38" s="148"/>
      <c r="H38" s="148"/>
      <c r="I38" s="111">
        <f>ROUND(ROUND(ROUND(E38*$C$8,4)*($H$8),2)*(MAX($H$9,1)),2)</f>
        <v>0</v>
      </c>
      <c r="N38" s="641" t="s">
        <v>45</v>
      </c>
      <c r="O38" s="641"/>
      <c r="P38" s="608">
        <f t="shared" ref="P38:P43" si="7">IF($H$133=1,E38,0)</f>
        <v>0</v>
      </c>
      <c r="Q38" s="608"/>
      <c r="R38" s="608"/>
      <c r="S38" s="608"/>
      <c r="T38" s="608"/>
      <c r="U38" s="98">
        <f>ROUND(ROUND(ROUND(P38*$C$8,4)*($H$8),2)*(MAX($H$9,1)),2)</f>
        <v>0</v>
      </c>
    </row>
    <row r="39" spans="1:21" hidden="1" x14ac:dyDescent="0.25">
      <c r="A39" s="578" t="s">
        <v>46</v>
      </c>
      <c r="B39" s="578"/>
      <c r="C39" s="150">
        <v>0</v>
      </c>
      <c r="D39" s="150">
        <v>0</v>
      </c>
      <c r="E39" s="116">
        <f t="shared" si="6"/>
        <v>0</v>
      </c>
      <c r="F39" s="151"/>
      <c r="G39" s="151"/>
      <c r="H39" s="151"/>
      <c r="I39" s="101">
        <f t="shared" ref="I39:I43" si="8">ROUND(ROUND(ROUND(E39*$C$8,4)*($H$8),2)*(MAX($H$9,1)),2)</f>
        <v>0</v>
      </c>
      <c r="N39" s="601" t="s">
        <v>46</v>
      </c>
      <c r="O39" s="601"/>
      <c r="P39" s="608">
        <f t="shared" si="7"/>
        <v>0</v>
      </c>
      <c r="Q39" s="608"/>
      <c r="R39" s="608"/>
      <c r="S39" s="608"/>
      <c r="T39" s="608"/>
      <c r="U39" s="98">
        <f t="shared" ref="U39:U43" si="9">ROUND(ROUND(ROUND(P39*$C$8,4)*($H$8),2)*(MAX($H$9,1)),2)</f>
        <v>0</v>
      </c>
    </row>
    <row r="40" spans="1:21" hidden="1" x14ac:dyDescent="0.25">
      <c r="A40" s="583" t="s">
        <v>47</v>
      </c>
      <c r="B40" s="583"/>
      <c r="C40" s="150">
        <v>0</v>
      </c>
      <c r="D40" s="150">
        <v>0</v>
      </c>
      <c r="E40" s="116">
        <f t="shared" si="6"/>
        <v>0</v>
      </c>
      <c r="F40" s="151"/>
      <c r="G40" s="151"/>
      <c r="H40" s="151"/>
      <c r="I40" s="101">
        <f t="shared" si="8"/>
        <v>0</v>
      </c>
      <c r="N40" s="646" t="s">
        <v>47</v>
      </c>
      <c r="O40" s="646"/>
      <c r="P40" s="608">
        <f t="shared" si="7"/>
        <v>0</v>
      </c>
      <c r="Q40" s="608"/>
      <c r="R40" s="608"/>
      <c r="S40" s="608"/>
      <c r="T40" s="608"/>
      <c r="U40" s="98">
        <f t="shared" si="9"/>
        <v>0</v>
      </c>
    </row>
    <row r="41" spans="1:21" hidden="1" x14ac:dyDescent="0.25">
      <c r="A41" s="578" t="s">
        <v>48</v>
      </c>
      <c r="B41" s="578"/>
      <c r="C41" s="150">
        <v>0</v>
      </c>
      <c r="D41" s="150">
        <v>0</v>
      </c>
      <c r="E41" s="116">
        <f t="shared" si="6"/>
        <v>0</v>
      </c>
      <c r="F41" s="151"/>
      <c r="G41" s="151"/>
      <c r="H41" s="151"/>
      <c r="I41" s="101">
        <f t="shared" si="8"/>
        <v>0</v>
      </c>
      <c r="N41" s="601" t="s">
        <v>48</v>
      </c>
      <c r="O41" s="601"/>
      <c r="P41" s="608">
        <f t="shared" si="7"/>
        <v>0</v>
      </c>
      <c r="Q41" s="608"/>
      <c r="R41" s="608"/>
      <c r="S41" s="608"/>
      <c r="T41" s="608"/>
      <c r="U41" s="98">
        <f t="shared" si="9"/>
        <v>0</v>
      </c>
    </row>
    <row r="42" spans="1:21" hidden="1" x14ac:dyDescent="0.25">
      <c r="A42" s="578" t="s">
        <v>49</v>
      </c>
      <c r="B42" s="578"/>
      <c r="C42" s="150">
        <v>0</v>
      </c>
      <c r="D42" s="150">
        <v>0</v>
      </c>
      <c r="E42" s="116">
        <f t="shared" si="6"/>
        <v>0</v>
      </c>
      <c r="F42" s="151"/>
      <c r="G42" s="151"/>
      <c r="H42" s="151"/>
      <c r="I42" s="101">
        <f t="shared" si="8"/>
        <v>0</v>
      </c>
      <c r="N42" s="601" t="s">
        <v>49</v>
      </c>
      <c r="O42" s="601"/>
      <c r="P42" s="608">
        <f t="shared" si="7"/>
        <v>0</v>
      </c>
      <c r="Q42" s="608"/>
      <c r="R42" s="608"/>
      <c r="S42" s="608"/>
      <c r="T42" s="608"/>
      <c r="U42" s="98">
        <f t="shared" si="9"/>
        <v>0</v>
      </c>
    </row>
    <row r="43" spans="1:21" hidden="1" x14ac:dyDescent="0.25">
      <c r="A43" s="578" t="s">
        <v>41</v>
      </c>
      <c r="B43" s="578"/>
      <c r="C43" s="149">
        <v>0</v>
      </c>
      <c r="D43" s="149">
        <v>0</v>
      </c>
      <c r="E43" s="154">
        <f t="shared" si="6"/>
        <v>0</v>
      </c>
      <c r="F43" s="151"/>
      <c r="G43" s="151"/>
      <c r="H43" s="151"/>
      <c r="I43" s="94">
        <f t="shared" si="8"/>
        <v>0</v>
      </c>
      <c r="N43" s="616" t="s">
        <v>41</v>
      </c>
      <c r="O43" s="616"/>
      <c r="P43" s="608">
        <f t="shared" si="7"/>
        <v>0</v>
      </c>
      <c r="Q43" s="608"/>
      <c r="R43" s="608"/>
      <c r="S43" s="608"/>
      <c r="T43" s="60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3" t="s">
        <v>43</v>
      </c>
      <c r="O44" s="603"/>
      <c r="P44" s="603"/>
      <c r="Q44" s="603"/>
      <c r="R44" s="33">
        <f>SUM(P38:R43)</f>
        <v>0</v>
      </c>
      <c r="S44" s="617" t="s">
        <v>51</v>
      </c>
      <c r="T44" s="617"/>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31.235300000000002</v>
      </c>
      <c r="F46" s="34"/>
      <c r="G46" s="106"/>
      <c r="H46" s="107" t="s">
        <v>98</v>
      </c>
      <c r="I46" s="94">
        <f>SUM(I44,I30)</f>
        <v>173308.56</v>
      </c>
      <c r="N46" s="603" t="s">
        <v>44</v>
      </c>
      <c r="O46" s="603"/>
      <c r="P46" s="603"/>
      <c r="Q46" s="603"/>
      <c r="R46" s="35">
        <f>R44+T30</f>
        <v>24.42</v>
      </c>
      <c r="S46" s="617" t="s">
        <v>42</v>
      </c>
      <c r="T46" s="617"/>
      <c r="U46" s="108">
        <f>SUM(U44,U30)</f>
        <v>135493.99</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396</v>
      </c>
      <c r="B48" s="26"/>
      <c r="C48" s="26"/>
      <c r="D48" s="26"/>
      <c r="E48" s="26"/>
      <c r="F48" s="34"/>
      <c r="G48" s="27"/>
      <c r="H48" s="27"/>
      <c r="I48" s="101"/>
      <c r="N48" s="383" t="s">
        <v>396</v>
      </c>
      <c r="O48" s="28"/>
      <c r="P48" s="28"/>
      <c r="Q48" s="28"/>
      <c r="R48" s="35"/>
      <c r="S48" s="30"/>
      <c r="T48" s="30"/>
      <c r="U48" s="402"/>
    </row>
    <row r="49" spans="1:22" s="391" customFormat="1" ht="9" customHeight="1" x14ac:dyDescent="0.2">
      <c r="A49" s="481" t="s">
        <v>397</v>
      </c>
      <c r="F49" s="392"/>
      <c r="G49" s="393"/>
      <c r="H49" s="393"/>
      <c r="I49" s="394"/>
      <c r="N49" s="403" t="s">
        <v>397</v>
      </c>
      <c r="O49" s="395"/>
      <c r="P49" s="395"/>
      <c r="Q49" s="395"/>
      <c r="R49" s="396"/>
      <c r="S49" s="397"/>
      <c r="T49" s="397"/>
      <c r="U49" s="404"/>
    </row>
    <row r="50" spans="1:22" s="391" customFormat="1" ht="11.25" customHeight="1" x14ac:dyDescent="0.2">
      <c r="A50" s="483" t="s">
        <v>398</v>
      </c>
      <c r="F50" s="392"/>
      <c r="G50" s="393"/>
      <c r="H50" s="393"/>
      <c r="I50" s="394"/>
      <c r="N50" s="405" t="s">
        <v>398</v>
      </c>
      <c r="O50" s="395"/>
      <c r="P50" s="395"/>
      <c r="Q50" s="395"/>
      <c r="R50" s="396"/>
      <c r="S50" s="397"/>
      <c r="T50" s="397"/>
      <c r="U50" s="404"/>
    </row>
    <row r="51" spans="1:22" x14ac:dyDescent="0.25">
      <c r="A51" s="389"/>
      <c r="B51" s="399" t="s">
        <v>399</v>
      </c>
      <c r="C51" s="26"/>
      <c r="D51" s="26"/>
      <c r="E51" s="43" t="s">
        <v>400</v>
      </c>
      <c r="F51" s="400">
        <f>I46</f>
        <v>173308.56</v>
      </c>
      <c r="G51" s="109" t="s">
        <v>6</v>
      </c>
      <c r="H51" s="401">
        <v>4.5199999999999997E-2</v>
      </c>
      <c r="I51" s="101">
        <f>ROUND(F51*H51,2)</f>
        <v>7833.55</v>
      </c>
      <c r="N51" s="406"/>
      <c r="O51" s="407" t="s">
        <v>399</v>
      </c>
      <c r="P51" s="28"/>
      <c r="Q51" s="44" t="s">
        <v>400</v>
      </c>
      <c r="R51" s="408">
        <f>U30</f>
        <v>135493.99</v>
      </c>
      <c r="S51" s="409" t="s">
        <v>6</v>
      </c>
      <c r="T51" s="410">
        <v>4.5199999999999997E-2</v>
      </c>
      <c r="U51" s="402">
        <f>ROUND(R51*T51,2)</f>
        <v>6124.33</v>
      </c>
    </row>
    <row r="52" spans="1:22" x14ac:dyDescent="0.25">
      <c r="A52" s="26"/>
      <c r="B52" s="81" t="s">
        <v>401</v>
      </c>
      <c r="C52" s="26"/>
      <c r="D52" s="26"/>
      <c r="E52" s="43" t="s">
        <v>400</v>
      </c>
      <c r="F52" s="400">
        <f>I46</f>
        <v>173308.56</v>
      </c>
      <c r="G52" s="109" t="s">
        <v>6</v>
      </c>
      <c r="H52" s="401">
        <v>1.41E-2</v>
      </c>
      <c r="I52" s="101">
        <f>ROUND(F52*H52,2)</f>
        <v>2443.65</v>
      </c>
      <c r="N52" s="28"/>
      <c r="O52" s="383" t="s">
        <v>401</v>
      </c>
      <c r="P52" s="28"/>
      <c r="Q52" s="44" t="s">
        <v>400</v>
      </c>
      <c r="R52" s="408">
        <f>U30</f>
        <v>135493.99</v>
      </c>
      <c r="S52" s="409" t="s">
        <v>6</v>
      </c>
      <c r="T52" s="410">
        <v>1.41E-2</v>
      </c>
      <c r="U52" s="411">
        <f>ROUND(R52*T52,2)</f>
        <v>1910.47</v>
      </c>
    </row>
    <row r="53" spans="1:22" x14ac:dyDescent="0.25">
      <c r="A53" s="26"/>
      <c r="B53" s="81" t="s">
        <v>402</v>
      </c>
      <c r="C53" s="26"/>
      <c r="D53" s="26"/>
      <c r="E53" s="43"/>
      <c r="F53" s="400"/>
      <c r="G53" s="109"/>
      <c r="H53" s="401"/>
      <c r="I53" s="97">
        <f>SUM(I51:I52)</f>
        <v>10277.200000000001</v>
      </c>
      <c r="N53" s="28"/>
      <c r="O53" s="383" t="s">
        <v>402</v>
      </c>
      <c r="P53" s="28"/>
      <c r="Q53" s="44"/>
      <c r="R53" s="408"/>
      <c r="S53" s="409"/>
      <c r="T53" s="410"/>
      <c r="U53" s="402">
        <f>SUM(U51:U52)</f>
        <v>8034.8</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440</v>
      </c>
      <c r="G55" s="109" t="s">
        <v>441</v>
      </c>
      <c r="H55" s="454" t="s">
        <v>442</v>
      </c>
      <c r="I55" s="101"/>
      <c r="N55" s="448"/>
      <c r="O55" s="448"/>
      <c r="P55" s="464"/>
      <c r="Q55" s="465"/>
      <c r="R55" s="466"/>
      <c r="S55" s="468" t="s">
        <v>441</v>
      </c>
      <c r="T55" s="469" t="s">
        <v>442</v>
      </c>
      <c r="U55" s="467"/>
      <c r="V55" s="424"/>
    </row>
    <row r="56" spans="1:22" x14ac:dyDescent="0.25">
      <c r="A56" s="36" t="s">
        <v>443</v>
      </c>
      <c r="B56" s="36"/>
      <c r="C56" s="324" t="str">
        <f>'1461'!C56</f>
        <v>FTE</v>
      </c>
      <c r="D56" s="324" t="str">
        <f>'1461'!D56</f>
        <v>FTE</v>
      </c>
      <c r="E56" s="90" t="s">
        <v>2</v>
      </c>
      <c r="F56" s="439" t="s">
        <v>444</v>
      </c>
      <c r="G56" s="441" t="s">
        <v>444</v>
      </c>
      <c r="H56" s="455" t="s">
        <v>445</v>
      </c>
      <c r="I56" s="36"/>
      <c r="N56" s="459" t="s">
        <v>443</v>
      </c>
      <c r="O56" s="459"/>
      <c r="P56" s="620" t="s">
        <v>2</v>
      </c>
      <c r="Q56" s="620"/>
      <c r="R56" s="459" t="s">
        <v>449</v>
      </c>
      <c r="S56" s="450" t="s">
        <v>444</v>
      </c>
      <c r="T56" s="470" t="s">
        <v>445</v>
      </c>
      <c r="U56" s="459"/>
      <c r="V56" s="458"/>
    </row>
    <row r="57" spans="1:22" x14ac:dyDescent="0.25">
      <c r="A57" s="588" t="s">
        <v>447</v>
      </c>
      <c r="B57" s="588"/>
      <c r="C57" s="143">
        <v>0</v>
      </c>
      <c r="D57" s="143">
        <v>0</v>
      </c>
      <c r="E57" s="116">
        <f t="shared" ref="E57:E65" si="10">IF(D$66=0,C57*2,C57+D57)</f>
        <v>0</v>
      </c>
      <c r="F57" s="443" t="s">
        <v>439</v>
      </c>
      <c r="G57" s="443">
        <v>251</v>
      </c>
      <c r="H57" s="457">
        <f>'1461'!H57</f>
        <v>1047</v>
      </c>
      <c r="I57" s="101">
        <f>ROUND(E57*H57,2)</f>
        <v>0</v>
      </c>
      <c r="N57" s="618" t="s">
        <v>447</v>
      </c>
      <c r="O57" s="618"/>
      <c r="P57" s="621"/>
      <c r="Q57" s="621"/>
      <c r="R57" s="449" t="s">
        <v>439</v>
      </c>
      <c r="S57" s="449">
        <v>251</v>
      </c>
      <c r="T57" s="460">
        <f>H57</f>
        <v>1047</v>
      </c>
      <c r="U57" s="474">
        <f>ROUND(P57*T57,2)</f>
        <v>0</v>
      </c>
      <c r="V57" s="424"/>
    </row>
    <row r="58" spans="1:22" x14ac:dyDescent="0.25">
      <c r="A58" s="589"/>
      <c r="B58" s="589"/>
      <c r="C58" s="143">
        <v>0</v>
      </c>
      <c r="D58" s="143">
        <v>0</v>
      </c>
      <c r="E58" s="116">
        <f t="shared" si="10"/>
        <v>0</v>
      </c>
      <c r="F58" s="443" t="s">
        <v>439</v>
      </c>
      <c r="G58" s="443">
        <v>252</v>
      </c>
      <c r="H58" s="457">
        <f>'1461'!H58</f>
        <v>3380</v>
      </c>
      <c r="I58" s="101">
        <f t="shared" ref="I58:I65" si="11">ROUND(E58*H58,2)</f>
        <v>0</v>
      </c>
      <c r="N58" s="619"/>
      <c r="O58" s="619"/>
      <c r="P58" s="622"/>
      <c r="Q58" s="622"/>
      <c r="R58" s="449" t="s">
        <v>439</v>
      </c>
      <c r="S58" s="449">
        <v>252</v>
      </c>
      <c r="T58" s="460">
        <f t="shared" ref="T58:T65" si="12">H58</f>
        <v>3380</v>
      </c>
      <c r="U58" s="474">
        <f t="shared" ref="U58:U65" si="13">ROUND(P58*T58,2)</f>
        <v>0</v>
      </c>
      <c r="V58" s="424"/>
    </row>
    <row r="59" spans="1:22" x14ac:dyDescent="0.25">
      <c r="A59" s="589"/>
      <c r="B59" s="589"/>
      <c r="C59" s="143">
        <v>0</v>
      </c>
      <c r="D59" s="143">
        <v>0</v>
      </c>
      <c r="E59" s="116">
        <f t="shared" si="10"/>
        <v>0</v>
      </c>
      <c r="F59" s="443" t="s">
        <v>439</v>
      </c>
      <c r="G59" s="443">
        <v>253</v>
      </c>
      <c r="H59" s="457">
        <f>'1461'!H59</f>
        <v>6896</v>
      </c>
      <c r="I59" s="101">
        <f t="shared" si="11"/>
        <v>0</v>
      </c>
      <c r="N59" s="619"/>
      <c r="O59" s="619"/>
      <c r="P59" s="622"/>
      <c r="Q59" s="622"/>
      <c r="R59" s="449" t="s">
        <v>439</v>
      </c>
      <c r="S59" s="449">
        <v>253</v>
      </c>
      <c r="T59" s="460">
        <f t="shared" si="12"/>
        <v>6896</v>
      </c>
      <c r="U59" s="474">
        <f t="shared" si="13"/>
        <v>0</v>
      </c>
      <c r="V59" s="424"/>
    </row>
    <row r="60" spans="1:22" x14ac:dyDescent="0.25">
      <c r="A60" s="589"/>
      <c r="B60" s="589"/>
      <c r="C60" s="143">
        <v>0</v>
      </c>
      <c r="D60" s="143">
        <v>0</v>
      </c>
      <c r="E60" s="116">
        <f t="shared" si="10"/>
        <v>0</v>
      </c>
      <c r="F60" s="444" t="s">
        <v>13</v>
      </c>
      <c r="G60" s="443">
        <v>251</v>
      </c>
      <c r="H60" s="457">
        <f>'1461'!H60</f>
        <v>1173</v>
      </c>
      <c r="I60" s="101">
        <f t="shared" si="11"/>
        <v>0</v>
      </c>
      <c r="N60" s="619"/>
      <c r="O60" s="619"/>
      <c r="P60" s="622"/>
      <c r="Q60" s="622"/>
      <c r="R60" s="40" t="s">
        <v>13</v>
      </c>
      <c r="S60" s="449">
        <v>251</v>
      </c>
      <c r="T60" s="460">
        <f t="shared" si="12"/>
        <v>1173</v>
      </c>
      <c r="U60" s="474">
        <f t="shared" si="13"/>
        <v>0</v>
      </c>
      <c r="V60" s="424"/>
    </row>
    <row r="61" spans="1:22" x14ac:dyDescent="0.25">
      <c r="A61" s="589"/>
      <c r="B61" s="589"/>
      <c r="C61" s="143">
        <v>0</v>
      </c>
      <c r="D61" s="143">
        <v>0.48</v>
      </c>
      <c r="E61" s="116">
        <f t="shared" si="10"/>
        <v>0.48</v>
      </c>
      <c r="F61" s="444" t="s">
        <v>13</v>
      </c>
      <c r="G61" s="443">
        <v>252</v>
      </c>
      <c r="H61" s="457">
        <f>'1461'!H61</f>
        <v>3506</v>
      </c>
      <c r="I61" s="101">
        <f t="shared" si="11"/>
        <v>1682.88</v>
      </c>
      <c r="N61" s="619"/>
      <c r="O61" s="619"/>
      <c r="P61" s="622"/>
      <c r="Q61" s="622"/>
      <c r="R61" s="40" t="s">
        <v>13</v>
      </c>
      <c r="S61" s="449">
        <v>252</v>
      </c>
      <c r="T61" s="460">
        <f t="shared" si="12"/>
        <v>3506</v>
      </c>
      <c r="U61" s="474">
        <f t="shared" si="13"/>
        <v>0</v>
      </c>
      <c r="V61" s="424"/>
    </row>
    <row r="62" spans="1:22" x14ac:dyDescent="0.25">
      <c r="A62" s="589"/>
      <c r="B62" s="589"/>
      <c r="C62" s="143">
        <v>0.5</v>
      </c>
      <c r="D62" s="143">
        <v>0.48</v>
      </c>
      <c r="E62" s="116">
        <f t="shared" si="10"/>
        <v>0.98</v>
      </c>
      <c r="F62" s="444" t="s">
        <v>13</v>
      </c>
      <c r="G62" s="443">
        <v>253</v>
      </c>
      <c r="H62" s="457">
        <f>'1461'!H62</f>
        <v>7023</v>
      </c>
      <c r="I62" s="101">
        <f t="shared" si="11"/>
        <v>6882.54</v>
      </c>
      <c r="N62" s="619"/>
      <c r="O62" s="619"/>
      <c r="P62" s="622"/>
      <c r="Q62" s="622"/>
      <c r="R62" s="40" t="s">
        <v>13</v>
      </c>
      <c r="S62" s="449">
        <v>253</v>
      </c>
      <c r="T62" s="460">
        <f t="shared" si="12"/>
        <v>7023</v>
      </c>
      <c r="U62" s="474">
        <f t="shared" si="13"/>
        <v>0</v>
      </c>
      <c r="V62" s="424"/>
    </row>
    <row r="63" spans="1:22" x14ac:dyDescent="0.25">
      <c r="A63" s="589"/>
      <c r="B63" s="589"/>
      <c r="C63" s="143">
        <v>0</v>
      </c>
      <c r="D63" s="143">
        <v>0</v>
      </c>
      <c r="E63" s="116">
        <f t="shared" si="10"/>
        <v>0</v>
      </c>
      <c r="F63" s="444" t="s">
        <v>14</v>
      </c>
      <c r="G63" s="443">
        <v>251</v>
      </c>
      <c r="H63" s="457">
        <f>'1461'!H63</f>
        <v>835</v>
      </c>
      <c r="I63" s="101">
        <f t="shared" si="11"/>
        <v>0</v>
      </c>
      <c r="N63" s="619"/>
      <c r="O63" s="619"/>
      <c r="P63" s="622"/>
      <c r="Q63" s="622"/>
      <c r="R63" s="40" t="s">
        <v>14</v>
      </c>
      <c r="S63" s="449">
        <v>251</v>
      </c>
      <c r="T63" s="460">
        <f t="shared" si="12"/>
        <v>835</v>
      </c>
      <c r="U63" s="474">
        <f t="shared" si="13"/>
        <v>0</v>
      </c>
      <c r="V63" s="424"/>
    </row>
    <row r="64" spans="1:22" x14ac:dyDescent="0.25">
      <c r="A64" s="589"/>
      <c r="B64" s="589"/>
      <c r="C64" s="143">
        <v>0</v>
      </c>
      <c r="D64" s="143">
        <v>0</v>
      </c>
      <c r="E64" s="116">
        <f t="shared" si="10"/>
        <v>0</v>
      </c>
      <c r="F64" s="444" t="s">
        <v>14</v>
      </c>
      <c r="G64" s="443">
        <v>252</v>
      </c>
      <c r="H64" s="457">
        <f>'1461'!H64</f>
        <v>3168</v>
      </c>
      <c r="I64" s="101">
        <f t="shared" si="11"/>
        <v>0</v>
      </c>
      <c r="N64" s="619"/>
      <c r="O64" s="619"/>
      <c r="P64" s="622"/>
      <c r="Q64" s="622"/>
      <c r="R64" s="40" t="s">
        <v>14</v>
      </c>
      <c r="S64" s="449">
        <v>252</v>
      </c>
      <c r="T64" s="460">
        <f t="shared" si="12"/>
        <v>3168</v>
      </c>
      <c r="U64" s="474">
        <f t="shared" si="13"/>
        <v>0</v>
      </c>
      <c r="V64" s="424"/>
    </row>
    <row r="65" spans="1:22" ht="16.5" thickBot="1" x14ac:dyDescent="0.3">
      <c r="A65" s="589"/>
      <c r="B65" s="589"/>
      <c r="C65" s="143">
        <v>10.5</v>
      </c>
      <c r="D65" s="143">
        <v>11</v>
      </c>
      <c r="E65" s="116">
        <f t="shared" si="10"/>
        <v>21.5</v>
      </c>
      <c r="F65" s="444" t="s">
        <v>14</v>
      </c>
      <c r="G65" s="443">
        <v>253</v>
      </c>
      <c r="H65" s="457">
        <f>'1461'!H65</f>
        <v>6685</v>
      </c>
      <c r="I65" s="101">
        <f t="shared" si="11"/>
        <v>143727.5</v>
      </c>
      <c r="N65" s="619"/>
      <c r="O65" s="619"/>
      <c r="P65" s="623"/>
      <c r="Q65" s="623"/>
      <c r="R65" s="40" t="s">
        <v>14</v>
      </c>
      <c r="S65" s="449">
        <v>253</v>
      </c>
      <c r="T65" s="460">
        <f t="shared" si="12"/>
        <v>6685</v>
      </c>
      <c r="U65" s="475">
        <f t="shared" si="13"/>
        <v>0</v>
      </c>
      <c r="V65" s="424"/>
    </row>
    <row r="66" spans="1:22" ht="16.5" thickBot="1" x14ac:dyDescent="0.3">
      <c r="A66" s="440"/>
      <c r="C66" s="97">
        <f>SUM(C57:C65)</f>
        <v>11</v>
      </c>
      <c r="D66" s="97">
        <f>SUM(D57:D65)</f>
        <v>11.96</v>
      </c>
      <c r="E66" s="97">
        <f>SUM(E57:E65)</f>
        <v>22.96</v>
      </c>
      <c r="F66" s="590" t="s">
        <v>448</v>
      </c>
      <c r="G66" s="590"/>
      <c r="H66" s="590"/>
      <c r="I66" s="97">
        <f>SUM(I57:I65)</f>
        <v>152292.92000000001</v>
      </c>
      <c r="N66" s="446"/>
      <c r="O66" s="51"/>
      <c r="P66" s="602">
        <f>SUM(P57:P65)</f>
        <v>0</v>
      </c>
      <c r="Q66" s="602"/>
      <c r="R66" s="603" t="s">
        <v>448</v>
      </c>
      <c r="S66" s="603"/>
      <c r="T66" s="603"/>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450</v>
      </c>
      <c r="N68" s="453" t="s">
        <v>458</v>
      </c>
      <c r="O68" s="51"/>
      <c r="P68" s="51"/>
      <c r="Q68" s="51"/>
      <c r="R68" s="51"/>
      <c r="S68" s="51"/>
      <c r="T68" s="51"/>
      <c r="U68" s="51"/>
    </row>
    <row r="69" spans="1:22" x14ac:dyDescent="0.25">
      <c r="A69" s="584" t="s">
        <v>403</v>
      </c>
      <c r="B69" s="578"/>
      <c r="C69" s="112">
        <f>E30</f>
        <v>24.42</v>
      </c>
      <c r="D69" s="565" t="s">
        <v>414</v>
      </c>
      <c r="E69" s="565"/>
      <c r="F69" s="565"/>
      <c r="G69" s="565"/>
      <c r="H69" s="300">
        <f>'1461'!H69</f>
        <v>210228.91</v>
      </c>
      <c r="I69" s="113"/>
      <c r="N69" s="600" t="s">
        <v>407</v>
      </c>
      <c r="O69" s="601"/>
      <c r="P69" s="41">
        <f>P30</f>
        <v>24.42</v>
      </c>
      <c r="Q69" s="606" t="s">
        <v>409</v>
      </c>
      <c r="R69" s="607"/>
      <c r="S69" s="607"/>
      <c r="T69" s="604">
        <f>H69</f>
        <v>210228.91</v>
      </c>
      <c r="U69" s="604"/>
    </row>
    <row r="70" spans="1:22" x14ac:dyDescent="0.25">
      <c r="B70" s="69"/>
      <c r="G70" s="42" t="s">
        <v>12</v>
      </c>
      <c r="H70" s="114">
        <f>ROUND(C69/H69,6)</f>
        <v>1.16E-4</v>
      </c>
      <c r="I70" s="115"/>
      <c r="N70" s="601"/>
      <c r="O70" s="601"/>
      <c r="P70" s="601"/>
      <c r="Q70" s="601"/>
      <c r="R70" s="601"/>
      <c r="S70" s="601"/>
      <c r="T70" s="605">
        <f>ROUND(P69/T69,6)</f>
        <v>1.16E-4</v>
      </c>
      <c r="U70" s="605"/>
    </row>
    <row r="71" spans="1:22" x14ac:dyDescent="0.25">
      <c r="A71" s="442" t="s">
        <v>451</v>
      </c>
      <c r="N71" s="453" t="s">
        <v>459</v>
      </c>
      <c r="O71" s="51"/>
      <c r="P71" s="51"/>
      <c r="Q71" s="51"/>
      <c r="R71" s="51"/>
      <c r="S71" s="51"/>
      <c r="T71" s="51"/>
      <c r="U71" s="51"/>
    </row>
    <row r="72" spans="1:22" x14ac:dyDescent="0.25">
      <c r="A72" s="584" t="s">
        <v>404</v>
      </c>
      <c r="B72" s="578"/>
      <c r="C72" s="112">
        <f>H30</f>
        <v>31.235300000000002</v>
      </c>
      <c r="D72" s="565" t="s">
        <v>415</v>
      </c>
      <c r="E72" s="565"/>
      <c r="F72" s="565"/>
      <c r="G72" s="565"/>
      <c r="H72" s="301">
        <f>'1461'!H72</f>
        <v>234891.44</v>
      </c>
      <c r="I72" s="116"/>
      <c r="N72" s="600" t="s">
        <v>408</v>
      </c>
      <c r="O72" s="601"/>
      <c r="P72" s="41">
        <f>T30</f>
        <v>24.42</v>
      </c>
      <c r="Q72" s="606" t="s">
        <v>410</v>
      </c>
      <c r="R72" s="607"/>
      <c r="S72" s="607"/>
      <c r="T72" s="604">
        <f>H72</f>
        <v>234891.44</v>
      </c>
      <c r="U72" s="604"/>
    </row>
    <row r="73" spans="1:22" x14ac:dyDescent="0.25">
      <c r="G73" s="42" t="s">
        <v>12</v>
      </c>
      <c r="H73" s="114">
        <f>ROUND(C72/H72,6)</f>
        <v>1.3300000000000001E-4</v>
      </c>
      <c r="I73" s="114"/>
      <c r="N73" s="601"/>
      <c r="O73" s="601"/>
      <c r="P73" s="601"/>
      <c r="Q73" s="601"/>
      <c r="R73" s="601"/>
      <c r="S73" s="601"/>
      <c r="T73" s="605">
        <f>ROUND(P72/T72,6)</f>
        <v>1.0399999999999999E-4</v>
      </c>
      <c r="U73" s="605"/>
    </row>
    <row r="74" spans="1:22" x14ac:dyDescent="0.25">
      <c r="A74" s="417" t="s">
        <v>452</v>
      </c>
      <c r="B74" s="414"/>
      <c r="C74" s="414"/>
      <c r="D74" s="414"/>
      <c r="E74" s="414"/>
      <c r="F74" s="414"/>
      <c r="G74" s="414"/>
      <c r="H74" s="414"/>
      <c r="I74" s="414"/>
      <c r="N74" s="416" t="s">
        <v>460</v>
      </c>
      <c r="O74" s="415"/>
      <c r="P74" s="415"/>
      <c r="Q74" s="415"/>
      <c r="R74" s="415"/>
      <c r="S74" s="415"/>
      <c r="T74" s="415"/>
      <c r="U74" s="415"/>
      <c r="V74" s="414"/>
    </row>
    <row r="75" spans="1:22" x14ac:dyDescent="0.25">
      <c r="A75" s="584" t="s">
        <v>405</v>
      </c>
      <c r="B75" s="578"/>
      <c r="C75" s="112">
        <f>E30</f>
        <v>24.42</v>
      </c>
      <c r="D75" s="557" t="s">
        <v>416</v>
      </c>
      <c r="E75" s="557"/>
      <c r="F75" s="557"/>
      <c r="G75" s="557"/>
      <c r="H75" s="300">
        <f>'1461'!H75</f>
        <v>187665.41</v>
      </c>
      <c r="I75" s="113"/>
      <c r="N75" s="600" t="s">
        <v>406</v>
      </c>
      <c r="O75" s="601"/>
      <c r="P75" s="41">
        <f>P30</f>
        <v>24.42</v>
      </c>
      <c r="Q75" s="636" t="s">
        <v>411</v>
      </c>
      <c r="R75" s="637"/>
      <c r="S75" s="637"/>
      <c r="T75" s="604">
        <f>H75</f>
        <v>187665.41</v>
      </c>
      <c r="U75" s="604"/>
    </row>
    <row r="76" spans="1:22" x14ac:dyDescent="0.25">
      <c r="B76" s="69"/>
      <c r="G76" s="42" t="s">
        <v>12</v>
      </c>
      <c r="H76" s="114">
        <f>ROUND(C75/H75,6)</f>
        <v>1.2999999999999999E-4</v>
      </c>
      <c r="I76" s="115"/>
      <c r="N76" s="601"/>
      <c r="O76" s="601"/>
      <c r="P76" s="601"/>
      <c r="Q76" s="601"/>
      <c r="R76" s="601"/>
      <c r="S76" s="601"/>
      <c r="T76" s="605">
        <f>ROUND(P75/T75,6)</f>
        <v>1.2999999999999999E-4</v>
      </c>
      <c r="U76" s="605"/>
    </row>
    <row r="77" spans="1:22" x14ac:dyDescent="0.25">
      <c r="A77" s="417" t="s">
        <v>453</v>
      </c>
      <c r="B77" s="414"/>
      <c r="C77" s="414"/>
      <c r="D77" s="414"/>
      <c r="E77" s="414"/>
      <c r="F77" s="414"/>
      <c r="G77" s="414"/>
      <c r="H77" s="414"/>
      <c r="I77" s="414"/>
      <c r="N77" s="416" t="s">
        <v>461</v>
      </c>
      <c r="O77" s="415"/>
      <c r="P77" s="415"/>
      <c r="Q77" s="415"/>
      <c r="R77" s="415"/>
      <c r="S77" s="415"/>
      <c r="T77" s="415"/>
      <c r="U77" s="415"/>
      <c r="V77" s="414"/>
    </row>
    <row r="78" spans="1:22" x14ac:dyDescent="0.25">
      <c r="A78" s="584" t="s">
        <v>405</v>
      </c>
      <c r="B78" s="578"/>
      <c r="C78" s="112">
        <f>E30</f>
        <v>24.42</v>
      </c>
      <c r="D78" s="585" t="s">
        <v>417</v>
      </c>
      <c r="E78" s="585"/>
      <c r="F78" s="585"/>
      <c r="G78" s="585"/>
      <c r="H78" s="300">
        <f>'1461'!H78</f>
        <v>209892.26</v>
      </c>
      <c r="I78" s="113"/>
      <c r="N78" s="600" t="s">
        <v>406</v>
      </c>
      <c r="O78" s="601"/>
      <c r="P78" s="41">
        <f>P30</f>
        <v>24.42</v>
      </c>
      <c r="Q78" s="634" t="s">
        <v>412</v>
      </c>
      <c r="R78" s="635"/>
      <c r="S78" s="635"/>
      <c r="T78" s="604">
        <f>H78</f>
        <v>209892.26</v>
      </c>
      <c r="U78" s="604"/>
    </row>
    <row r="79" spans="1:22" x14ac:dyDescent="0.25">
      <c r="B79" s="69"/>
      <c r="G79" s="42" t="s">
        <v>12</v>
      </c>
      <c r="H79" s="114">
        <f>ROUND(C78/H78,6)</f>
        <v>1.16E-4</v>
      </c>
      <c r="I79" s="115"/>
      <c r="N79" s="601"/>
      <c r="O79" s="601"/>
      <c r="P79" s="601"/>
      <c r="Q79" s="601"/>
      <c r="R79" s="601"/>
      <c r="S79" s="601"/>
      <c r="T79" s="605">
        <f>ROUND(P78/T78,6)</f>
        <v>1.16E-4</v>
      </c>
      <c r="U79" s="605"/>
    </row>
    <row r="80" spans="1:22" x14ac:dyDescent="0.25">
      <c r="A80" s="417" t="s">
        <v>454</v>
      </c>
      <c r="B80" s="414"/>
      <c r="C80" s="414"/>
      <c r="D80" s="414"/>
      <c r="E80" s="414"/>
      <c r="F80" s="414"/>
      <c r="G80" s="414"/>
      <c r="H80" s="414"/>
      <c r="I80" s="414"/>
      <c r="N80" s="416" t="s">
        <v>462</v>
      </c>
      <c r="O80" s="415"/>
      <c r="P80" s="415"/>
      <c r="Q80" s="415"/>
      <c r="R80" s="415"/>
      <c r="S80" s="415"/>
      <c r="T80" s="415"/>
      <c r="U80" s="415"/>
      <c r="V80" s="414"/>
    </row>
    <row r="81" spans="1:21" x14ac:dyDescent="0.25">
      <c r="A81" s="584" t="s">
        <v>413</v>
      </c>
      <c r="B81" s="578"/>
      <c r="C81" s="112">
        <f>E30</f>
        <v>24.42</v>
      </c>
      <c r="D81" s="557" t="s">
        <v>418</v>
      </c>
      <c r="E81" s="557"/>
      <c r="F81" s="557"/>
      <c r="G81" s="557"/>
      <c r="H81" s="300">
        <f>'1461'!H81</f>
        <v>187328.76</v>
      </c>
      <c r="I81" s="113"/>
      <c r="N81" s="600" t="s">
        <v>419</v>
      </c>
      <c r="O81" s="601"/>
      <c r="P81" s="41">
        <f>P30</f>
        <v>24.42</v>
      </c>
      <c r="Q81" s="636" t="s">
        <v>420</v>
      </c>
      <c r="R81" s="637"/>
      <c r="S81" s="637"/>
      <c r="T81" s="604">
        <f>H81</f>
        <v>187328.76</v>
      </c>
      <c r="U81" s="604"/>
    </row>
    <row r="82" spans="1:21" x14ac:dyDescent="0.25">
      <c r="B82" s="69"/>
      <c r="G82" s="42" t="s">
        <v>12</v>
      </c>
      <c r="H82" s="114">
        <f>ROUND(C81/H81,6)</f>
        <v>1.2999999999999999E-4</v>
      </c>
      <c r="I82" s="115"/>
      <c r="N82" s="601"/>
      <c r="O82" s="601"/>
      <c r="P82" s="601"/>
      <c r="Q82" s="601"/>
      <c r="R82" s="601"/>
      <c r="S82" s="601"/>
      <c r="T82" s="605">
        <f>ROUND(P81/T81,6)</f>
        <v>1.2999999999999999E-4</v>
      </c>
      <c r="U82" s="605"/>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455</v>
      </c>
      <c r="D85" s="69"/>
      <c r="E85" s="43" t="s">
        <v>299</v>
      </c>
      <c r="F85" s="302">
        <f>'1461'!F85</f>
        <v>46163704</v>
      </c>
      <c r="G85" s="37" t="s">
        <v>6</v>
      </c>
      <c r="H85" s="422">
        <f>H79</f>
        <v>1.16E-4</v>
      </c>
      <c r="I85" s="101">
        <f>ROUND(F85*H85,2)</f>
        <v>5354.99</v>
      </c>
      <c r="N85" s="453" t="s">
        <v>455</v>
      </c>
      <c r="O85" s="51"/>
      <c r="P85" s="51"/>
      <c r="Q85" s="44"/>
      <c r="R85" s="419">
        <f>F85</f>
        <v>46163704</v>
      </c>
      <c r="S85" s="38" t="s">
        <v>6</v>
      </c>
      <c r="T85" s="421">
        <f>T79</f>
        <v>1.16E-4</v>
      </c>
      <c r="U85" s="473">
        <f>ROUND(R85*T85,2)</f>
        <v>5354.99</v>
      </c>
    </row>
    <row r="86" spans="1:21" x14ac:dyDescent="0.25">
      <c r="A86" s="399"/>
      <c r="D86" s="69"/>
      <c r="E86" s="43"/>
      <c r="F86" s="117"/>
      <c r="G86" s="37"/>
      <c r="H86" s="422"/>
      <c r="I86" s="101"/>
      <c r="N86" s="51"/>
      <c r="O86" s="51"/>
      <c r="P86" s="51"/>
      <c r="Q86" s="44"/>
      <c r="R86" s="420"/>
      <c r="S86" s="38"/>
      <c r="T86" s="421"/>
      <c r="U86" s="477"/>
    </row>
    <row r="87" spans="1:21" x14ac:dyDescent="0.25">
      <c r="A87" s="587" t="s">
        <v>71</v>
      </c>
      <c r="B87" s="578"/>
      <c r="C87" s="578"/>
      <c r="D87" s="69"/>
      <c r="E87" s="43"/>
      <c r="F87" s="117"/>
      <c r="G87" s="37"/>
      <c r="H87" s="422"/>
      <c r="I87" s="101"/>
      <c r="N87" s="600" t="s">
        <v>463</v>
      </c>
      <c r="O87" s="601"/>
      <c r="P87" s="601"/>
      <c r="Q87" s="51"/>
      <c r="R87" s="420"/>
      <c r="S87" s="51"/>
      <c r="T87" s="38"/>
      <c r="U87" s="478"/>
    </row>
    <row r="88" spans="1:21" x14ac:dyDescent="0.25">
      <c r="A88" s="587" t="s">
        <v>99</v>
      </c>
      <c r="B88" s="578"/>
      <c r="C88" s="578"/>
      <c r="D88" s="69"/>
      <c r="E88" s="43" t="s">
        <v>3</v>
      </c>
      <c r="F88" s="302">
        <f>'1461'!F88</f>
        <v>0</v>
      </c>
      <c r="G88" s="37" t="s">
        <v>6</v>
      </c>
      <c r="H88" s="422">
        <f>H70</f>
        <v>1.16E-4</v>
      </c>
      <c r="I88" s="101">
        <f>ROUND(F88*H88,2)</f>
        <v>0</v>
      </c>
      <c r="N88" s="638" t="s">
        <v>99</v>
      </c>
      <c r="O88" s="601"/>
      <c r="P88" s="601"/>
      <c r="Q88" s="44"/>
      <c r="R88" s="419">
        <f>F88</f>
        <v>0</v>
      </c>
      <c r="S88" s="38" t="s">
        <v>6</v>
      </c>
      <c r="T88" s="421">
        <f>T70</f>
        <v>1.16E-4</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456</v>
      </c>
      <c r="D90" s="69"/>
      <c r="E90" s="43" t="s">
        <v>421</v>
      </c>
      <c r="F90" s="302">
        <f>'1461'!F90</f>
        <v>19042026</v>
      </c>
      <c r="G90" s="37" t="s">
        <v>6</v>
      </c>
      <c r="H90" s="422">
        <f>H82</f>
        <v>1.2999999999999999E-4</v>
      </c>
      <c r="I90" s="101">
        <f>ROUND(F90*H90,2)</f>
        <v>2475.46</v>
      </c>
      <c r="N90" s="453" t="s">
        <v>456</v>
      </c>
      <c r="O90" s="51"/>
      <c r="P90" s="51"/>
      <c r="Q90" s="44"/>
      <c r="R90" s="419">
        <f>F90</f>
        <v>19042026</v>
      </c>
      <c r="S90" s="38" t="s">
        <v>6</v>
      </c>
      <c r="T90" s="421">
        <f>T82</f>
        <v>1.2999999999999999E-4</v>
      </c>
      <c r="U90" s="473">
        <f>ROUND(R90*T90,2)</f>
        <v>2475.46</v>
      </c>
    </row>
    <row r="91" spans="1:21" x14ac:dyDescent="0.25">
      <c r="A91" s="399"/>
      <c r="D91" s="69"/>
      <c r="E91" s="43"/>
      <c r="F91" s="117"/>
      <c r="G91" s="37"/>
      <c r="H91" s="422"/>
      <c r="I91" s="101"/>
      <c r="N91" s="407"/>
      <c r="O91" s="51"/>
      <c r="P91" s="51"/>
      <c r="Q91" s="44"/>
      <c r="R91" s="419"/>
      <c r="S91" s="38"/>
      <c r="T91" s="421"/>
      <c r="U91" s="473"/>
    </row>
    <row r="92" spans="1:21" x14ac:dyDescent="0.25">
      <c r="A92" s="451" t="s">
        <v>457</v>
      </c>
      <c r="D92" s="69"/>
      <c r="E92" s="43" t="s">
        <v>3</v>
      </c>
      <c r="F92" s="302">
        <f>'1461'!F92</f>
        <v>11441151</v>
      </c>
      <c r="G92" s="37" t="s">
        <v>6</v>
      </c>
      <c r="H92" s="422">
        <f>H76</f>
        <v>1.2999999999999999E-4</v>
      </c>
      <c r="I92" s="101">
        <f t="shared" ref="I92:I96" si="14">ROUND(F92*H92,2)</f>
        <v>1487.35</v>
      </c>
      <c r="N92" s="453" t="s">
        <v>457</v>
      </c>
      <c r="O92" s="51"/>
      <c r="P92" s="51"/>
      <c r="Q92" s="44"/>
      <c r="R92" s="419">
        <f t="shared" ref="R92:R96" si="15">F92</f>
        <v>11441151</v>
      </c>
      <c r="S92" s="38" t="s">
        <v>6</v>
      </c>
      <c r="T92" s="421">
        <f>T76</f>
        <v>1.2999999999999999E-4</v>
      </c>
      <c r="U92" s="473">
        <f>ROUND(R92*T92,2)</f>
        <v>1487.35</v>
      </c>
    </row>
    <row r="93" spans="1:21" x14ac:dyDescent="0.25">
      <c r="A93" s="81"/>
      <c r="D93" s="69"/>
      <c r="E93" s="43"/>
      <c r="F93" s="117"/>
      <c r="G93" s="37"/>
      <c r="H93" s="422"/>
      <c r="I93" s="101"/>
      <c r="N93" s="383"/>
      <c r="O93" s="51"/>
      <c r="P93" s="51"/>
      <c r="Q93" s="44"/>
      <c r="R93" s="420"/>
      <c r="S93" s="38"/>
      <c r="T93" s="421"/>
      <c r="U93" s="477"/>
    </row>
    <row r="94" spans="1:21" x14ac:dyDescent="0.25">
      <c r="A94" s="584" t="s">
        <v>422</v>
      </c>
      <c r="B94" s="578"/>
      <c r="C94" s="578"/>
      <c r="D94" s="69"/>
      <c r="E94" s="43" t="s">
        <v>4</v>
      </c>
      <c r="F94" s="302">
        <f>'1461'!F94</f>
        <v>247265670</v>
      </c>
      <c r="G94" s="37" t="s">
        <v>6</v>
      </c>
      <c r="H94" s="422">
        <f>H73</f>
        <v>1.3300000000000001E-4</v>
      </c>
      <c r="I94" s="101">
        <f t="shared" si="14"/>
        <v>32886.33</v>
      </c>
      <c r="N94" s="601" t="s">
        <v>422</v>
      </c>
      <c r="O94" s="601"/>
      <c r="P94" s="601"/>
      <c r="Q94" s="44"/>
      <c r="R94" s="419">
        <f t="shared" si="15"/>
        <v>247265670</v>
      </c>
      <c r="S94" s="38" t="s">
        <v>6</v>
      </c>
      <c r="T94" s="421">
        <f>T73</f>
        <v>1.0399999999999999E-4</v>
      </c>
      <c r="U94" s="473">
        <f>ROUND(R94*T94,2)</f>
        <v>25715.63</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4" t="s">
        <v>423</v>
      </c>
      <c r="B96" s="578"/>
      <c r="C96" s="578"/>
      <c r="D96" s="69"/>
      <c r="E96" s="43" t="s">
        <v>4</v>
      </c>
      <c r="F96" s="302">
        <f>'1461'!F96</f>
        <v>0</v>
      </c>
      <c r="G96" s="37" t="s">
        <v>6</v>
      </c>
      <c r="H96" s="422">
        <f>H73</f>
        <v>1.3300000000000001E-4</v>
      </c>
      <c r="I96" s="101">
        <f t="shared" si="14"/>
        <v>0</v>
      </c>
      <c r="N96" s="600" t="s">
        <v>423</v>
      </c>
      <c r="O96" s="601"/>
      <c r="P96" s="601"/>
      <c r="Q96" s="44"/>
      <c r="R96" s="419">
        <f t="shared" si="15"/>
        <v>0</v>
      </c>
      <c r="S96" s="38" t="s">
        <v>6</v>
      </c>
      <c r="T96" s="421">
        <f>T73</f>
        <v>1.0399999999999999E-4</v>
      </c>
      <c r="U96" s="473">
        <f>ROUND(R96*T96,2)</f>
        <v>0</v>
      </c>
    </row>
    <row r="97" spans="1:21" x14ac:dyDescent="0.25">
      <c r="A97" s="530"/>
      <c r="B97" s="529"/>
      <c r="C97" s="529"/>
      <c r="D97" s="529"/>
      <c r="E97" s="527"/>
      <c r="F97" s="117"/>
      <c r="G97" s="528"/>
      <c r="H97" s="422"/>
      <c r="I97" s="101"/>
      <c r="N97" s="533"/>
      <c r="O97" s="532"/>
      <c r="P97" s="532"/>
      <c r="Q97" s="44"/>
      <c r="R97" s="535"/>
      <c r="S97" s="534"/>
      <c r="T97" s="421"/>
      <c r="U97" s="477"/>
    </row>
    <row r="98" spans="1:21" x14ac:dyDescent="0.25">
      <c r="A98" s="530" t="s">
        <v>497</v>
      </c>
      <c r="B98" s="529"/>
      <c r="C98" s="529"/>
      <c r="D98" s="529"/>
      <c r="E98" s="527" t="s">
        <v>3</v>
      </c>
      <c r="F98" s="290">
        <v>0</v>
      </c>
      <c r="G98" s="528" t="s">
        <v>6</v>
      </c>
      <c r="H98" s="422">
        <f>H70</f>
        <v>1.16E-4</v>
      </c>
      <c r="I98" s="101">
        <f t="shared" ref="I98" si="16">ROUND(F98*H98,2)</f>
        <v>0</v>
      </c>
      <c r="N98" s="533" t="s">
        <v>497</v>
      </c>
      <c r="O98" s="533"/>
      <c r="P98" s="533"/>
      <c r="Q98" s="44"/>
      <c r="R98" s="536">
        <f>F98</f>
        <v>0</v>
      </c>
      <c r="S98" s="534" t="s">
        <v>6</v>
      </c>
      <c r="T98" s="421">
        <f>T70</f>
        <v>1.16E-4</v>
      </c>
      <c r="U98" s="473">
        <f>ROUND(R98*T98,2)</f>
        <v>0</v>
      </c>
    </row>
    <row r="99" spans="1:21" x14ac:dyDescent="0.25">
      <c r="A99" s="530"/>
      <c r="B99" s="529"/>
      <c r="C99" s="529"/>
      <c r="D99" s="529"/>
      <c r="E99" s="527"/>
      <c r="F99" s="276"/>
      <c r="G99" s="528"/>
      <c r="H99" s="422"/>
      <c r="I99" s="101"/>
      <c r="N99" s="533"/>
      <c r="O99" s="533"/>
      <c r="P99" s="533"/>
      <c r="Q99" s="44"/>
      <c r="R99" s="535"/>
      <c r="S99" s="534"/>
      <c r="T99" s="421"/>
      <c r="U99" s="477"/>
    </row>
    <row r="100" spans="1:21" x14ac:dyDescent="0.25">
      <c r="A100" s="530"/>
      <c r="B100" s="529"/>
      <c r="C100" s="529"/>
      <c r="D100" s="529"/>
      <c r="E100" s="527"/>
      <c r="F100" s="276"/>
      <c r="G100" s="528"/>
      <c r="H100" s="422"/>
      <c r="I100" s="101"/>
      <c r="N100" s="533"/>
      <c r="O100" s="533"/>
      <c r="P100" s="533"/>
      <c r="Q100" s="44"/>
      <c r="R100" s="420"/>
      <c r="S100" s="534"/>
      <c r="T100" s="421"/>
      <c r="U100" s="103"/>
    </row>
    <row r="101" spans="1:21" x14ac:dyDescent="0.25">
      <c r="A101" s="399" t="s">
        <v>498</v>
      </c>
      <c r="N101" s="407" t="s">
        <v>498</v>
      </c>
      <c r="O101" s="51"/>
      <c r="P101" s="51"/>
      <c r="Q101" s="51"/>
      <c r="R101" s="51"/>
      <c r="S101" s="51"/>
      <c r="T101" s="51"/>
      <c r="U101" s="51"/>
    </row>
    <row r="102" spans="1:21" x14ac:dyDescent="0.25">
      <c r="B102" s="69"/>
      <c r="C102" s="563" t="s">
        <v>60</v>
      </c>
      <c r="D102" s="563"/>
      <c r="E102" s="69"/>
      <c r="F102" s="39" t="s">
        <v>28</v>
      </c>
      <c r="G102" s="69"/>
      <c r="H102" s="69"/>
      <c r="I102" s="69"/>
      <c r="N102" s="45"/>
      <c r="O102" s="45"/>
      <c r="P102" s="45"/>
      <c r="Q102" s="45"/>
      <c r="R102" s="45"/>
      <c r="S102" s="45"/>
      <c r="T102" s="45"/>
      <c r="U102" s="45"/>
    </row>
    <row r="103" spans="1:21" x14ac:dyDescent="0.25">
      <c r="A103" s="3"/>
      <c r="B103" s="118"/>
      <c r="C103" s="564" t="s">
        <v>101</v>
      </c>
      <c r="D103" s="564"/>
      <c r="E103" s="423" t="s">
        <v>426</v>
      </c>
      <c r="F103" s="120" t="s">
        <v>106</v>
      </c>
      <c r="G103" s="121"/>
      <c r="H103" s="121"/>
      <c r="I103" s="121"/>
      <c r="N103" s="631" t="s">
        <v>35</v>
      </c>
      <c r="O103" s="631"/>
      <c r="P103" s="672" t="s">
        <v>428</v>
      </c>
      <c r="Q103" s="633"/>
      <c r="R103" s="604" t="s">
        <v>31</v>
      </c>
      <c r="S103" s="604"/>
      <c r="T103" s="604"/>
      <c r="U103" s="604"/>
    </row>
    <row r="104" spans="1:21" x14ac:dyDescent="0.25">
      <c r="A104" s="26"/>
      <c r="B104" s="52" t="s">
        <v>105</v>
      </c>
      <c r="C104" s="596">
        <f>H14+H15+H20+H23+H26</f>
        <v>0</v>
      </c>
      <c r="D104" s="596"/>
      <c r="E104" s="46">
        <f>H8</f>
        <v>1.0407999999999999</v>
      </c>
      <c r="F104" s="303">
        <f>'1461'!F104</f>
        <v>950.92</v>
      </c>
      <c r="G104" s="39" t="s">
        <v>12</v>
      </c>
      <c r="H104" s="101">
        <f>ROUND(C104*E104*F104,2)</f>
        <v>0</v>
      </c>
      <c r="I104" s="104"/>
      <c r="N104" s="28" t="s">
        <v>17</v>
      </c>
      <c r="O104" s="47">
        <f>T14+T15+T20+T23+T26</f>
        <v>0</v>
      </c>
      <c r="P104" s="611">
        <f>T8</f>
        <v>1.0407999999999999</v>
      </c>
      <c r="Q104" s="611"/>
      <c r="R104" s="48">
        <f>F104</f>
        <v>950.92</v>
      </c>
      <c r="S104" s="40" t="s">
        <v>12</v>
      </c>
      <c r="T104" s="479">
        <f>ROUND(O104*P104*R104,2)</f>
        <v>0</v>
      </c>
      <c r="U104" s="102"/>
    </row>
    <row r="105" spans="1:21" x14ac:dyDescent="0.25">
      <c r="A105" s="49"/>
      <c r="B105" s="49" t="s">
        <v>104</v>
      </c>
      <c r="C105" s="596">
        <f>H16+H17+H21+H24+H27</f>
        <v>1.46</v>
      </c>
      <c r="D105" s="596"/>
      <c r="E105" s="46">
        <f>H8</f>
        <v>1.0407999999999999</v>
      </c>
      <c r="F105" s="303">
        <f>'1461'!F105</f>
        <v>907.92</v>
      </c>
      <c r="G105" s="39" t="s">
        <v>12</v>
      </c>
      <c r="H105" s="101">
        <f>ROUND(C105*E105*F105,2)</f>
        <v>1379.65</v>
      </c>
      <c r="N105" s="50" t="s">
        <v>13</v>
      </c>
      <c r="O105" s="47">
        <f>T16+T17+T21+T24+T27</f>
        <v>1.46</v>
      </c>
      <c r="P105" s="611">
        <f>T8</f>
        <v>1.0407999999999999</v>
      </c>
      <c r="Q105" s="611"/>
      <c r="R105" s="48">
        <f>F105</f>
        <v>907.92</v>
      </c>
      <c r="S105" s="40" t="s">
        <v>12</v>
      </c>
      <c r="T105" s="479">
        <f>ROUND(O105*P105*R105,2)</f>
        <v>1379.65</v>
      </c>
      <c r="U105" s="51"/>
    </row>
    <row r="106" spans="1:21" ht="16.5" thickBot="1" x14ac:dyDescent="0.3">
      <c r="A106" s="52"/>
      <c r="B106" s="52" t="s">
        <v>103</v>
      </c>
      <c r="C106" s="596">
        <f>H18+H19+H22+H25+H28+H29</f>
        <v>29.775300000000001</v>
      </c>
      <c r="D106" s="596"/>
      <c r="E106" s="46">
        <f>H8</f>
        <v>1.0407999999999999</v>
      </c>
      <c r="F106" s="303">
        <f>'1461'!F106</f>
        <v>910.12</v>
      </c>
      <c r="G106" s="39" t="s">
        <v>12</v>
      </c>
      <c r="H106" s="94">
        <f>ROUND(C106*E106*F106,2)</f>
        <v>28204.74</v>
      </c>
      <c r="N106" s="53" t="s">
        <v>14</v>
      </c>
      <c r="O106" s="54">
        <f>T18+T19+T22+T25+T28+T29</f>
        <v>22.96</v>
      </c>
      <c r="P106" s="611">
        <f>T8</f>
        <v>1.0407999999999999</v>
      </c>
      <c r="Q106" s="611"/>
      <c r="R106" s="48">
        <f>F106</f>
        <v>910.12</v>
      </c>
      <c r="S106" s="40" t="s">
        <v>12</v>
      </c>
      <c r="T106" s="479">
        <f>ROUND(O106*P106*R106,2)</f>
        <v>21748.93</v>
      </c>
      <c r="U106" s="51"/>
    </row>
    <row r="107" spans="1:21" ht="16.5" thickBot="1" x14ac:dyDescent="0.3">
      <c r="A107" s="55"/>
      <c r="B107" s="122" t="s">
        <v>102</v>
      </c>
      <c r="C107" s="586">
        <f>SUM(C104:C106)</f>
        <v>31.235300000000002</v>
      </c>
      <c r="D107" s="586"/>
      <c r="E107" s="123"/>
      <c r="F107" s="123"/>
      <c r="G107" s="123"/>
      <c r="H107" s="124" t="s">
        <v>100</v>
      </c>
      <c r="I107" s="101">
        <f>IF(A1=75,0,H106+H105+H104)</f>
        <v>29584.390000000003</v>
      </c>
      <c r="N107" s="56" t="s">
        <v>89</v>
      </c>
      <c r="O107" s="57">
        <f>SUM(O104:O106)</f>
        <v>24.42</v>
      </c>
      <c r="P107" s="612" t="s">
        <v>16</v>
      </c>
      <c r="Q107" s="613"/>
      <c r="R107" s="613"/>
      <c r="S107" s="613"/>
      <c r="T107" s="613"/>
      <c r="U107" s="473">
        <f>IF(N1=75,0,T106+T105+T104)</f>
        <v>23128.58</v>
      </c>
    </row>
    <row r="108" spans="1:21" ht="16.5" thickTop="1" x14ac:dyDescent="0.25">
      <c r="A108" s="555" t="s">
        <v>65</v>
      </c>
      <c r="B108" s="555"/>
      <c r="C108" s="555"/>
      <c r="D108" s="555"/>
      <c r="E108" s="555"/>
      <c r="F108" s="555"/>
      <c r="G108" s="555"/>
      <c r="H108" s="555"/>
      <c r="I108" s="555"/>
      <c r="N108" s="614" t="s">
        <v>65</v>
      </c>
      <c r="O108" s="614"/>
      <c r="P108" s="614"/>
      <c r="Q108" s="614"/>
      <c r="R108" s="614"/>
      <c r="S108" s="614"/>
      <c r="T108" s="614"/>
      <c r="U108" s="614"/>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0" t="s">
        <v>499</v>
      </c>
      <c r="C110" s="43"/>
      <c r="D110" s="69"/>
      <c r="E110" s="43" t="s">
        <v>32</v>
      </c>
      <c r="F110" s="556"/>
      <c r="G110" s="556"/>
      <c r="H110" s="556"/>
      <c r="I110" s="556"/>
      <c r="N110" s="600" t="s">
        <v>499</v>
      </c>
      <c r="O110" s="601"/>
      <c r="P110" s="601"/>
      <c r="Q110" s="615"/>
      <c r="R110" s="615"/>
      <c r="S110" s="615"/>
      <c r="T110" s="615"/>
      <c r="U110" s="103"/>
    </row>
    <row r="111" spans="1:21" x14ac:dyDescent="0.25">
      <c r="B111" s="69"/>
      <c r="C111" s="88" t="s">
        <v>494</v>
      </c>
      <c r="D111" s="333" t="s">
        <v>495</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57" t="s">
        <v>381</v>
      </c>
      <c r="B113" s="558"/>
      <c r="C113" s="143">
        <v>21</v>
      </c>
      <c r="D113" s="143">
        <v>21</v>
      </c>
      <c r="E113" s="116">
        <f>(C113+D113)/2</f>
        <v>21</v>
      </c>
      <c r="F113" s="126" t="s">
        <v>30</v>
      </c>
      <c r="G113" s="304">
        <f>'1461'!G113</f>
        <v>576</v>
      </c>
      <c r="I113" s="101">
        <f>ROUND(G113*E113,2)</f>
        <v>12096</v>
      </c>
      <c r="N113" s="630" t="s">
        <v>52</v>
      </c>
      <c r="O113" s="630"/>
      <c r="P113" s="610">
        <f>IF(H133=1,E113,0)</f>
        <v>21</v>
      </c>
      <c r="Q113" s="610"/>
      <c r="R113" s="610"/>
      <c r="S113" s="83" t="s">
        <v>30</v>
      </c>
      <c r="T113" s="58">
        <f>G113</f>
        <v>576</v>
      </c>
      <c r="U113" s="473">
        <f>ROUND(T113*P113,2)</f>
        <v>12096</v>
      </c>
    </row>
    <row r="114" spans="1:21" x14ac:dyDescent="0.25">
      <c r="A114" s="557" t="s">
        <v>382</v>
      </c>
      <c r="B114" s="558"/>
      <c r="C114" s="143">
        <v>0</v>
      </c>
      <c r="D114" s="143">
        <v>0</v>
      </c>
      <c r="E114" s="116">
        <f>(C114+D114)/2</f>
        <v>0</v>
      </c>
      <c r="F114" s="126" t="s">
        <v>30</v>
      </c>
      <c r="G114" s="304">
        <f>'1461'!G114</f>
        <v>1823</v>
      </c>
      <c r="I114" s="101">
        <f>ROUND(G114*E114,2)</f>
        <v>0</v>
      </c>
      <c r="N114" s="630" t="s">
        <v>64</v>
      </c>
      <c r="O114" s="630"/>
      <c r="P114" s="608"/>
      <c r="Q114" s="608"/>
      <c r="R114" s="608"/>
      <c r="S114" s="83" t="s">
        <v>30</v>
      </c>
      <c r="T114" s="58">
        <f>G114</f>
        <v>1823</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4" t="s">
        <v>430</v>
      </c>
      <c r="B117" s="578"/>
      <c r="C117" s="578"/>
      <c r="D117" s="69"/>
      <c r="E117" s="39" t="s">
        <v>300</v>
      </c>
      <c r="F117" s="563"/>
      <c r="G117" s="563"/>
      <c r="H117" s="563"/>
      <c r="I117" s="563"/>
      <c r="N117" s="600" t="s">
        <v>431</v>
      </c>
      <c r="O117" s="601"/>
      <c r="P117" s="601"/>
      <c r="Q117" s="601"/>
      <c r="R117" s="601"/>
      <c r="S117" s="601"/>
      <c r="T117" s="601"/>
      <c r="U117" s="601"/>
    </row>
    <row r="118" spans="1:21" hidden="1" x14ac:dyDescent="0.25">
      <c r="B118" s="69"/>
      <c r="C118" s="564" t="s">
        <v>66</v>
      </c>
      <c r="D118" s="564"/>
      <c r="E118" s="564"/>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5" t="s">
        <v>109</v>
      </c>
      <c r="G119" s="563"/>
      <c r="H119" s="37" t="s">
        <v>29</v>
      </c>
      <c r="I119" s="37"/>
      <c r="N119" s="45"/>
      <c r="O119" s="45"/>
      <c r="P119" s="45"/>
      <c r="Q119" s="45"/>
      <c r="R119" s="45"/>
      <c r="S119" s="45"/>
      <c r="T119" s="45"/>
      <c r="U119" s="45"/>
    </row>
    <row r="120" spans="1:21" hidden="1" x14ac:dyDescent="0.25">
      <c r="A120" s="564" t="s">
        <v>69</v>
      </c>
      <c r="B120" s="564"/>
      <c r="C120" s="90" t="s">
        <v>2</v>
      </c>
      <c r="D120" s="90" t="s">
        <v>2</v>
      </c>
      <c r="E120" s="59" t="s">
        <v>2</v>
      </c>
      <c r="F120" s="564" t="s">
        <v>28</v>
      </c>
      <c r="G120" s="564"/>
      <c r="H120" s="59" t="s">
        <v>28</v>
      </c>
      <c r="I120" s="59" t="s">
        <v>8</v>
      </c>
      <c r="N120" s="609" t="s">
        <v>53</v>
      </c>
      <c r="O120" s="609"/>
      <c r="P120" s="610" t="s">
        <v>66</v>
      </c>
      <c r="Q120" s="610"/>
      <c r="R120" s="609" t="s">
        <v>54</v>
      </c>
      <c r="S120" s="609"/>
      <c r="T120" s="60" t="s">
        <v>55</v>
      </c>
      <c r="U120" s="60" t="s">
        <v>8</v>
      </c>
    </row>
    <row r="121" spans="1:21" hidden="1" x14ac:dyDescent="0.25">
      <c r="A121" s="561" t="s">
        <v>56</v>
      </c>
      <c r="B121" s="561"/>
      <c r="C121" s="141">
        <v>0</v>
      </c>
      <c r="D121" s="141">
        <v>0</v>
      </c>
      <c r="E121" s="187">
        <f>IF(D30=0,C121*2,C121+D121)</f>
        <v>0</v>
      </c>
      <c r="F121" s="562">
        <v>0</v>
      </c>
      <c r="G121" s="562"/>
      <c r="H121" s="224">
        <f>IF(C121=0,0,125)</f>
        <v>0</v>
      </c>
      <c r="I121" s="101">
        <f>ROUND((H121+F121)*E121,2)</f>
        <v>0</v>
      </c>
      <c r="N121" s="601" t="s">
        <v>56</v>
      </c>
      <c r="O121" s="601"/>
      <c r="P121" s="608">
        <f>IF(H$133=1,C121,0)</f>
        <v>0</v>
      </c>
      <c r="Q121" s="608"/>
      <c r="R121" s="628">
        <f>F121</f>
        <v>0</v>
      </c>
      <c r="S121" s="628"/>
      <c r="T121" s="62">
        <f>H121</f>
        <v>0</v>
      </c>
      <c r="U121" s="96">
        <f>ROUND((T121+R121)*P121,0)</f>
        <v>0</v>
      </c>
    </row>
    <row r="122" spans="1:21" hidden="1" x14ac:dyDescent="0.25">
      <c r="A122" s="581" t="s">
        <v>57</v>
      </c>
      <c r="B122" s="581"/>
      <c r="C122" s="143">
        <v>0</v>
      </c>
      <c r="D122" s="143">
        <v>0</v>
      </c>
      <c r="E122" s="116">
        <f>IF(D31=0,C122*2,C122+D122)</f>
        <v>0</v>
      </c>
      <c r="F122" s="598">
        <f>ROUND(F121/2,2)</f>
        <v>0</v>
      </c>
      <c r="G122" s="598"/>
      <c r="H122" s="224">
        <f>IF(C122=0,0,62.5)</f>
        <v>0</v>
      </c>
      <c r="I122" s="101">
        <f>ROUND((H122+F122)*E122,2)</f>
        <v>0</v>
      </c>
      <c r="N122" s="601" t="s">
        <v>57</v>
      </c>
      <c r="O122" s="601"/>
      <c r="P122" s="608">
        <f>IF(H$133=1,C122,0)</f>
        <v>0</v>
      </c>
      <c r="Q122" s="608"/>
      <c r="R122" s="629">
        <f>ROUND(R121/2,2)</f>
        <v>0</v>
      </c>
      <c r="S122" s="629"/>
      <c r="T122" s="62">
        <f>H122</f>
        <v>0</v>
      </c>
      <c r="U122" s="96">
        <f>ROUND((T122+R122)*P122,0)</f>
        <v>0</v>
      </c>
    </row>
    <row r="123" spans="1:21" ht="16.5" hidden="1" thickBot="1" x14ac:dyDescent="0.3">
      <c r="A123" s="581" t="s">
        <v>58</v>
      </c>
      <c r="B123" s="581"/>
      <c r="C123" s="143">
        <v>0</v>
      </c>
      <c r="D123" s="143">
        <v>0</v>
      </c>
      <c r="E123" s="116">
        <f>IF(D32=0,C123*2,C123+D123)</f>
        <v>0</v>
      </c>
      <c r="F123" s="599"/>
      <c r="G123" s="599"/>
      <c r="H123" s="225">
        <f>IF(H121&gt;0,436,0)</f>
        <v>0</v>
      </c>
      <c r="I123" s="101">
        <f>ROUND(H123*E123,2)</f>
        <v>0</v>
      </c>
      <c r="N123" s="616" t="s">
        <v>58</v>
      </c>
      <c r="O123" s="616"/>
      <c r="P123" s="608">
        <f>IF(H$133=1,C123,0)</f>
        <v>0</v>
      </c>
      <c r="Q123" s="608"/>
      <c r="R123" s="609"/>
      <c r="S123" s="609"/>
      <c r="T123" s="64">
        <f>H123</f>
        <v>0</v>
      </c>
      <c r="U123" s="103">
        <f>ROUND(T123*P123,0)</f>
        <v>0</v>
      </c>
    </row>
    <row r="124" spans="1:21" ht="16.5" hidden="1" thickBot="1" x14ac:dyDescent="0.3">
      <c r="A124" s="563" t="s">
        <v>8</v>
      </c>
      <c r="B124" s="563"/>
      <c r="C124" s="65"/>
      <c r="D124" s="65"/>
      <c r="E124" s="65"/>
      <c r="F124" s="65"/>
      <c r="G124" s="65"/>
      <c r="H124" s="65"/>
      <c r="I124" s="97">
        <f>SUM(I121:I123)</f>
        <v>0</v>
      </c>
      <c r="N124" s="627" t="s">
        <v>8</v>
      </c>
      <c r="O124" s="627"/>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4" t="s">
        <v>432</v>
      </c>
      <c r="B126" s="578"/>
      <c r="C126" s="578"/>
      <c r="D126" s="69"/>
      <c r="E126" s="68" t="s">
        <v>34</v>
      </c>
      <c r="F126" s="597"/>
      <c r="G126" s="597"/>
      <c r="H126" s="597"/>
      <c r="I126" s="154">
        <v>0</v>
      </c>
      <c r="N126" s="600" t="s">
        <v>432</v>
      </c>
      <c r="O126" s="601"/>
      <c r="P126" s="601"/>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90" t="s">
        <v>8</v>
      </c>
      <c r="B128" s="590"/>
      <c r="C128" s="590"/>
      <c r="D128" s="590"/>
      <c r="E128" s="590"/>
      <c r="F128" s="590"/>
      <c r="G128" s="590"/>
      <c r="H128" s="590"/>
      <c r="I128" s="94">
        <f>SUM(I46,I66,I85,I88,I90,I92,I94,I96,I107,I113,I114,I124,I126)</f>
        <v>409486</v>
      </c>
      <c r="N128" s="453"/>
      <c r="O128" s="452"/>
      <c r="P128" s="452"/>
      <c r="Q128" s="306"/>
      <c r="R128" s="306"/>
      <c r="S128" s="306"/>
      <c r="T128" s="306"/>
      <c r="U128" s="480">
        <f>SUM(U30,U85,U88,U90,U92,U94,U96,U107,U113,U114,U124,U126)</f>
        <v>205752</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434</v>
      </c>
      <c r="B130" s="26"/>
      <c r="C130" s="26"/>
      <c r="D130" s="26"/>
      <c r="E130" s="26"/>
      <c r="F130" s="26"/>
      <c r="G130" s="26"/>
      <c r="H130" s="26"/>
      <c r="I130" s="101">
        <f>I128-I53</f>
        <v>399208.8</v>
      </c>
      <c r="N130" s="601" t="s">
        <v>434</v>
      </c>
      <c r="O130" s="601"/>
      <c r="P130" s="601"/>
      <c r="Q130" s="601"/>
      <c r="R130" s="601"/>
      <c r="S130" s="601"/>
      <c r="T130" s="601"/>
      <c r="U130" s="132">
        <f>U128-U53</f>
        <v>197717.2</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4" t="s">
        <v>502</v>
      </c>
      <c r="B132" s="578"/>
      <c r="C132" s="578"/>
      <c r="D132" s="578"/>
      <c r="E132" s="578"/>
      <c r="F132" s="578"/>
      <c r="G132" s="578"/>
      <c r="H132" s="81" t="s">
        <v>333</v>
      </c>
      <c r="I132" s="134"/>
      <c r="N132" s="600" t="s">
        <v>502</v>
      </c>
      <c r="O132" s="601"/>
      <c r="P132" s="601"/>
      <c r="Q132" s="601"/>
      <c r="R132" s="601"/>
      <c r="S132" s="601"/>
      <c r="T132" s="601"/>
      <c r="U132" s="138"/>
    </row>
    <row r="133" spans="1:21" x14ac:dyDescent="0.25">
      <c r="A133" s="578" t="s">
        <v>70</v>
      </c>
      <c r="B133" s="578"/>
      <c r="C133" s="578"/>
      <c r="D133" s="578"/>
      <c r="E133" s="578"/>
      <c r="F133" s="578"/>
      <c r="G133" s="578"/>
      <c r="H133" s="70">
        <v>1</v>
      </c>
      <c r="I133" s="116">
        <f>U130</f>
        <v>197717.2</v>
      </c>
      <c r="N133" s="601" t="s">
        <v>70</v>
      </c>
      <c r="O133" s="601"/>
      <c r="P133" s="601"/>
      <c r="Q133" s="601"/>
      <c r="R133" s="601"/>
      <c r="S133" s="601"/>
      <c r="T133" s="601"/>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197717.2</v>
      </c>
      <c r="I135" s="94">
        <f>ROUND(IF(E30=0,0,IF(E30&gt;250,-(((250/E30)*H135)*IF(G135="H",0.02,0.05)),IF(G135="H",-0.02*H135,-0.05*H135))),2)</f>
        <v>-9885.86</v>
      </c>
      <c r="N135" s="626"/>
      <c r="O135" s="626"/>
      <c r="P135" s="626"/>
      <c r="Q135" s="626"/>
      <c r="R135" s="626"/>
      <c r="S135" s="626"/>
      <c r="T135" s="626"/>
      <c r="U135" s="626"/>
    </row>
    <row r="136" spans="1:21" x14ac:dyDescent="0.25">
      <c r="B136" s="69"/>
      <c r="C136" s="69"/>
      <c r="D136" s="69"/>
      <c r="E136" s="69"/>
      <c r="F136" s="69"/>
      <c r="G136" s="69"/>
      <c r="H136" s="65"/>
      <c r="I136" s="101"/>
      <c r="N136" s="624" t="s">
        <v>7</v>
      </c>
      <c r="O136" s="624"/>
      <c r="P136" s="624"/>
      <c r="Q136" s="624"/>
      <c r="R136" s="624"/>
      <c r="S136" s="624"/>
      <c r="T136" s="624"/>
      <c r="U136" s="624"/>
    </row>
    <row r="137" spans="1:21" x14ac:dyDescent="0.25">
      <c r="A137" s="309" t="s">
        <v>74</v>
      </c>
      <c r="B137" s="310"/>
      <c r="C137" s="310"/>
      <c r="D137" s="310"/>
      <c r="E137" s="310"/>
      <c r="F137" s="310"/>
      <c r="G137" s="310"/>
      <c r="H137" s="311"/>
      <c r="I137" s="312">
        <f>I128+I135</f>
        <v>399600.14</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Payments'!Q80</f>
        <v>0</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399600.14</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33300.01</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372</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373</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374</v>
      </c>
      <c r="B155" s="252"/>
      <c r="C155" s="252"/>
      <c r="D155" s="252"/>
      <c r="E155" s="252"/>
      <c r="F155" s="252"/>
      <c r="G155" s="252"/>
      <c r="H155" s="252"/>
      <c r="I155" s="252"/>
      <c r="N155" s="625"/>
      <c r="O155" s="625"/>
      <c r="P155" s="625"/>
      <c r="Q155" s="625"/>
      <c r="R155" s="625"/>
      <c r="S155" s="625"/>
      <c r="T155" s="625"/>
      <c r="U155" s="625"/>
    </row>
    <row r="156" spans="1:21" s="76" customFormat="1" x14ac:dyDescent="0.2">
      <c r="A156" s="320" t="s">
        <v>375</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376</v>
      </c>
      <c r="B157" s="252"/>
      <c r="C157" s="252"/>
      <c r="D157" s="252"/>
      <c r="E157" s="252"/>
      <c r="F157" s="252"/>
      <c r="G157" s="252"/>
      <c r="H157" s="252"/>
      <c r="I157" s="252"/>
      <c r="N157" s="78"/>
      <c r="O157" s="79"/>
      <c r="P157" s="79"/>
      <c r="Q157" s="79"/>
      <c r="R157" s="79"/>
      <c r="S157" s="79"/>
      <c r="T157" s="79"/>
      <c r="U157" s="79"/>
    </row>
    <row r="158" spans="1:21" s="76" customFormat="1" x14ac:dyDescent="0.2">
      <c r="A158" s="320" t="s">
        <v>377</v>
      </c>
      <c r="B158" s="252"/>
      <c r="C158" s="252"/>
      <c r="D158" s="252"/>
      <c r="E158" s="252"/>
      <c r="F158" s="252"/>
      <c r="G158" s="252"/>
      <c r="H158" s="252"/>
      <c r="I158" s="252"/>
      <c r="N158" s="78"/>
    </row>
    <row r="159" spans="1:21" s="76" customFormat="1" x14ac:dyDescent="0.2">
      <c r="A159" s="320" t="s">
        <v>379</v>
      </c>
      <c r="B159" s="252"/>
      <c r="C159" s="252"/>
      <c r="D159" s="252"/>
      <c r="E159" s="252"/>
      <c r="F159" s="252"/>
      <c r="G159" s="252"/>
      <c r="H159" s="252"/>
      <c r="I159" s="252"/>
      <c r="N159" s="78"/>
    </row>
    <row r="160" spans="1:21" s="76" customFormat="1" x14ac:dyDescent="0.2">
      <c r="A160" s="385" t="s">
        <v>378</v>
      </c>
      <c r="B160" s="252"/>
      <c r="C160" s="252"/>
      <c r="D160" s="252"/>
      <c r="E160" s="252"/>
      <c r="F160" s="252"/>
      <c r="G160" s="252"/>
      <c r="H160" s="252"/>
      <c r="I160" s="252"/>
      <c r="N160" s="78"/>
    </row>
    <row r="161" spans="1:14" s="76" customFormat="1" x14ac:dyDescent="0.2">
      <c r="A161" s="320" t="s">
        <v>380</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383</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385</v>
      </c>
      <c r="B165" s="293"/>
      <c r="C165" s="293"/>
      <c r="D165" s="293"/>
      <c r="E165" s="293"/>
      <c r="F165" s="293"/>
      <c r="G165" s="293"/>
      <c r="H165" s="293"/>
      <c r="I165" s="293"/>
      <c r="N165" s="78"/>
    </row>
    <row r="166" spans="1:14" s="76" customFormat="1" ht="15.75" customHeight="1" x14ac:dyDescent="0.2">
      <c r="A166" s="351" t="s">
        <v>384</v>
      </c>
      <c r="B166" s="293"/>
      <c r="C166" s="293"/>
      <c r="D166" s="293"/>
      <c r="E166" s="293"/>
      <c r="F166" s="293"/>
      <c r="G166" s="293"/>
      <c r="H166" s="293"/>
      <c r="I166" s="293"/>
      <c r="N166" s="78"/>
    </row>
    <row r="167" spans="1:14" s="76" customFormat="1" ht="15.75" customHeight="1" x14ac:dyDescent="0.2">
      <c r="A167" s="320" t="s">
        <v>386</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388</v>
      </c>
      <c r="B169" s="343"/>
      <c r="C169" s="343"/>
      <c r="D169" s="343"/>
      <c r="E169" s="343"/>
      <c r="F169" s="343"/>
      <c r="G169" s="343"/>
      <c r="H169" s="343"/>
      <c r="I169" s="343"/>
      <c r="N169" s="78"/>
    </row>
    <row r="170" spans="1:14" s="76" customFormat="1" ht="15.75" customHeight="1" x14ac:dyDescent="0.2">
      <c r="A170" s="351" t="s">
        <v>387</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389</v>
      </c>
      <c r="B175" s="293"/>
      <c r="C175" s="293"/>
      <c r="D175" s="293"/>
      <c r="E175" s="293"/>
      <c r="F175" s="293"/>
      <c r="G175" s="293"/>
      <c r="H175" s="293"/>
      <c r="I175" s="293"/>
      <c r="J175" s="3"/>
      <c r="K175" s="3"/>
      <c r="L175" s="3"/>
      <c r="M175" s="3"/>
      <c r="N175" s="78"/>
    </row>
    <row r="176" spans="1:14" s="76" customFormat="1" ht="15.75" customHeight="1" x14ac:dyDescent="0.2">
      <c r="A176" s="361" t="s">
        <v>390</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N135:U135"/>
    <mergeCell ref="N126:P126"/>
    <mergeCell ref="A126:C126"/>
    <mergeCell ref="F126:H126"/>
    <mergeCell ref="N130:T130"/>
    <mergeCell ref="A128:H128"/>
    <mergeCell ref="A132:G132"/>
    <mergeCell ref="A12:B12"/>
    <mergeCell ref="A133:G133"/>
    <mergeCell ref="N136:U136"/>
    <mergeCell ref="A123:B123"/>
    <mergeCell ref="F123:G123"/>
    <mergeCell ref="N123:O123"/>
    <mergeCell ref="P123:Q123"/>
    <mergeCell ref="R123:S123"/>
    <mergeCell ref="A124:B124"/>
    <mergeCell ref="N124:O124"/>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96:C96"/>
    <mergeCell ref="N96:P96"/>
    <mergeCell ref="C102:D102"/>
    <mergeCell ref="C103:D103"/>
    <mergeCell ref="N103:O103"/>
    <mergeCell ref="P103:Q103"/>
    <mergeCell ref="N88:P88"/>
    <mergeCell ref="R103:U103"/>
    <mergeCell ref="C104:D104"/>
    <mergeCell ref="P104:Q104"/>
    <mergeCell ref="A94:C94"/>
    <mergeCell ref="A88:C88"/>
    <mergeCell ref="N94:P94"/>
    <mergeCell ref="N73:S73"/>
    <mergeCell ref="T73:U73"/>
    <mergeCell ref="N76:S76"/>
    <mergeCell ref="T76:U76"/>
    <mergeCell ref="A78:B78"/>
    <mergeCell ref="D78:G78"/>
    <mergeCell ref="N78:O78"/>
    <mergeCell ref="Q78:S78"/>
    <mergeCell ref="T78:U78"/>
    <mergeCell ref="N79:S79"/>
    <mergeCell ref="T79:U79"/>
    <mergeCell ref="A81:B81"/>
    <mergeCell ref="D81:G81"/>
    <mergeCell ref="N81:O81"/>
    <mergeCell ref="Q81:S81"/>
    <mergeCell ref="T81:U81"/>
    <mergeCell ref="N82:S82"/>
    <mergeCell ref="A87:C87"/>
    <mergeCell ref="N87:P87"/>
    <mergeCell ref="T82:U8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A30:B30"/>
    <mergeCell ref="F30:G30"/>
    <mergeCell ref="N30:O30"/>
    <mergeCell ref="P30:Q30"/>
    <mergeCell ref="R30:S30"/>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A13:B13"/>
    <mergeCell ref="A15:B15"/>
    <mergeCell ref="F15:G15"/>
    <mergeCell ref="N15:O15"/>
    <mergeCell ref="P15:Q15"/>
    <mergeCell ref="R15:S15"/>
    <mergeCell ref="B1:I1"/>
    <mergeCell ref="O1:U1"/>
    <mergeCell ref="N2:U2"/>
    <mergeCell ref="N3:U3"/>
    <mergeCell ref="A4:B4"/>
    <mergeCell ref="C4:E4"/>
    <mergeCell ref="N4:O4"/>
    <mergeCell ref="P4:Q4"/>
    <mergeCell ref="A7:I7"/>
    <mergeCell ref="N7:U7"/>
    <mergeCell ref="N132:T132"/>
    <mergeCell ref="N133:T133"/>
    <mergeCell ref="N8:O8"/>
    <mergeCell ref="P8:Q8"/>
    <mergeCell ref="R8:S8"/>
    <mergeCell ref="T8:U8"/>
    <mergeCell ref="F11:G11"/>
    <mergeCell ref="R11:S11"/>
    <mergeCell ref="F12:G12"/>
    <mergeCell ref="N12:O12"/>
    <mergeCell ref="P12:Q12"/>
    <mergeCell ref="R12:S12"/>
    <mergeCell ref="T9:U9"/>
    <mergeCell ref="F13:G13"/>
    <mergeCell ref="N13:O13"/>
    <mergeCell ref="P13:Q13"/>
    <mergeCell ref="R13:S13"/>
    <mergeCell ref="P60:Q60"/>
    <mergeCell ref="P61:Q61"/>
    <mergeCell ref="P62:Q62"/>
    <mergeCell ref="P63:Q63"/>
    <mergeCell ref="P64:Q64"/>
    <mergeCell ref="T72:U72"/>
    <mergeCell ref="R66:T66"/>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6" t="s">
        <v>15</v>
      </c>
      <c r="C1" s="567"/>
      <c r="D1" s="567"/>
      <c r="E1" s="567"/>
      <c r="F1" s="567"/>
      <c r="G1" s="567"/>
      <c r="H1" s="567"/>
      <c r="I1" s="567"/>
      <c r="J1" s="135"/>
      <c r="K1" s="135"/>
      <c r="L1" s="135"/>
      <c r="N1" s="82">
        <f>A1</f>
        <v>0</v>
      </c>
      <c r="O1" s="658" t="s">
        <v>15</v>
      </c>
      <c r="P1" s="659"/>
      <c r="Q1" s="659"/>
      <c r="R1" s="659"/>
      <c r="S1" s="659"/>
      <c r="T1" s="659"/>
      <c r="U1" s="659"/>
    </row>
    <row r="2" spans="1:21" ht="21" x14ac:dyDescent="0.35">
      <c r="A2" s="1" t="s">
        <v>119</v>
      </c>
      <c r="B2" s="2"/>
      <c r="C2" s="2"/>
      <c r="D2" s="2"/>
      <c r="E2" s="2"/>
      <c r="F2" s="2"/>
      <c r="G2" s="2"/>
      <c r="H2" s="2"/>
      <c r="I2" s="2"/>
      <c r="N2" s="660" t="s">
        <v>18</v>
      </c>
      <c r="O2" s="660"/>
      <c r="P2" s="660"/>
      <c r="Q2" s="660"/>
      <c r="R2" s="660"/>
      <c r="S2" s="660"/>
      <c r="T2" s="660"/>
      <c r="U2" s="660"/>
    </row>
    <row r="3" spans="1:21" x14ac:dyDescent="0.25">
      <c r="A3" s="81" t="str">
        <f>'1461'!A3</f>
        <v>Based on the FLDOE 2024-25 Conference Calculation</v>
      </c>
      <c r="N3" s="627" t="str">
        <f>A3</f>
        <v>Based on the FLDOE 2024-25 Conference Calculation</v>
      </c>
      <c r="O3" s="627"/>
      <c r="P3" s="627"/>
      <c r="Q3" s="627"/>
      <c r="R3" s="627"/>
      <c r="S3" s="627"/>
      <c r="T3" s="627"/>
      <c r="U3" s="627"/>
    </row>
    <row r="4" spans="1:21" x14ac:dyDescent="0.25">
      <c r="A4" s="568" t="s">
        <v>0</v>
      </c>
      <c r="B4" s="568"/>
      <c r="C4" s="569" t="s">
        <v>9</v>
      </c>
      <c r="D4" s="569"/>
      <c r="E4" s="569"/>
      <c r="F4" s="4" t="str">
        <f>'1461'!F4</f>
        <v>July 2024</v>
      </c>
      <c r="G4" s="4"/>
      <c r="H4" s="4"/>
      <c r="I4" s="4"/>
      <c r="N4" s="661" t="s">
        <v>0</v>
      </c>
      <c r="O4" s="661"/>
      <c r="P4" s="662" t="str">
        <f>C4</f>
        <v>Palm Beach</v>
      </c>
      <c r="Q4" s="662"/>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70" t="s">
        <v>433</v>
      </c>
      <c r="B7" s="664"/>
      <c r="C7" s="664"/>
      <c r="D7" s="664"/>
      <c r="E7" s="664"/>
      <c r="F7" s="664"/>
      <c r="G7" s="664"/>
      <c r="H7" s="664"/>
      <c r="I7" s="664"/>
      <c r="N7" s="661" t="str">
        <f>A7</f>
        <v>1A.   2023-24 FEFP State and Local Funding</v>
      </c>
      <c r="O7" s="661"/>
      <c r="P7" s="661"/>
      <c r="Q7" s="661"/>
      <c r="R7" s="661"/>
      <c r="S7" s="661"/>
      <c r="T7" s="661"/>
      <c r="U7" s="661"/>
    </row>
    <row r="8" spans="1:21" x14ac:dyDescent="0.25">
      <c r="A8" s="84"/>
      <c r="B8" s="85" t="s">
        <v>92</v>
      </c>
      <c r="C8" s="299">
        <f>'1461'!C8</f>
        <v>5330.98</v>
      </c>
      <c r="D8" s="86"/>
      <c r="E8" s="87"/>
      <c r="F8" s="84"/>
      <c r="G8" s="85" t="s">
        <v>393</v>
      </c>
      <c r="H8" s="287">
        <f>'1461'!H8</f>
        <v>1.0407999999999999</v>
      </c>
      <c r="I8" s="75"/>
      <c r="N8" s="665" t="s">
        <v>10</v>
      </c>
      <c r="O8" s="665"/>
      <c r="P8" s="666">
        <f>C8</f>
        <v>5330.98</v>
      </c>
      <c r="Q8" s="666"/>
      <c r="R8" s="648" t="s">
        <v>394</v>
      </c>
      <c r="S8" s="649"/>
      <c r="T8" s="650">
        <f>H8</f>
        <v>1.0407999999999999</v>
      </c>
      <c r="U8" s="650"/>
    </row>
    <row r="9" spans="1:21" x14ac:dyDescent="0.25">
      <c r="A9" s="84"/>
      <c r="B9" s="85"/>
      <c r="C9" s="222"/>
      <c r="D9" s="86"/>
      <c r="E9" s="87"/>
      <c r="F9" s="84"/>
      <c r="G9" s="85" t="s">
        <v>391</v>
      </c>
      <c r="H9" s="287">
        <f>'1461'!H9</f>
        <v>1</v>
      </c>
      <c r="I9" s="75"/>
      <c r="N9" s="12"/>
      <c r="O9" s="12"/>
      <c r="P9" s="13"/>
      <c r="Q9" s="13"/>
      <c r="R9" s="387" t="s">
        <v>392</v>
      </c>
      <c r="S9" s="384"/>
      <c r="T9" s="650">
        <f>H9</f>
        <v>1</v>
      </c>
      <c r="U9" s="650"/>
    </row>
    <row r="10" spans="1:21" x14ac:dyDescent="0.25">
      <c r="A10" s="7"/>
      <c r="B10" s="42" t="s">
        <v>310</v>
      </c>
      <c r="C10" s="456" t="str">
        <f>'1461'!C10</f>
        <v xml:space="preserve"> </v>
      </c>
      <c r="D10" s="88" t="str">
        <f>'1461'!D10</f>
        <v xml:space="preserve"> </v>
      </c>
      <c r="E10" s="8"/>
      <c r="F10" s="9"/>
      <c r="G10" s="9"/>
      <c r="H10" s="10"/>
      <c r="I10" s="305" t="str">
        <f>'1461'!I10</f>
        <v>2024-25</v>
      </c>
      <c r="N10" s="12"/>
      <c r="O10" s="12"/>
      <c r="P10" s="13"/>
      <c r="Q10" s="13"/>
      <c r="R10" s="14"/>
      <c r="S10" s="14"/>
      <c r="T10" s="15"/>
      <c r="U10" s="366" t="str">
        <f>I10</f>
        <v>2024-25</v>
      </c>
    </row>
    <row r="11" spans="1:21" x14ac:dyDescent="0.25">
      <c r="A11" s="7"/>
      <c r="B11" s="7"/>
      <c r="C11" s="88" t="str">
        <f>'1461'!C11</f>
        <v>Oct 2023</v>
      </c>
      <c r="D11" s="333" t="str">
        <f>'1461'!D11</f>
        <v>Feb 2024</v>
      </c>
      <c r="E11" s="89" t="s">
        <v>8</v>
      </c>
      <c r="F11" s="571" t="s">
        <v>1</v>
      </c>
      <c r="G11" s="571"/>
      <c r="H11" s="10" t="s">
        <v>60</v>
      </c>
      <c r="I11" s="11" t="s">
        <v>27</v>
      </c>
      <c r="N11" s="12"/>
      <c r="O11" s="12"/>
      <c r="P11" s="13"/>
      <c r="Q11" s="13"/>
      <c r="R11" s="651" t="s">
        <v>1</v>
      </c>
      <c r="S11" s="651"/>
      <c r="T11" s="15" t="s">
        <v>60</v>
      </c>
      <c r="U11" s="16" t="s">
        <v>27</v>
      </c>
    </row>
    <row r="12" spans="1:21" ht="15.75" customHeight="1" x14ac:dyDescent="0.25">
      <c r="A12" s="572" t="s">
        <v>1</v>
      </c>
      <c r="B12" s="572"/>
      <c r="C12" s="324" t="str">
        <f>'1461'!C12</f>
        <v>FTE</v>
      </c>
      <c r="D12" s="324" t="str">
        <f>'1461'!D12</f>
        <v>FTE</v>
      </c>
      <c r="E12" s="324" t="s">
        <v>2</v>
      </c>
      <c r="F12" s="573" t="s">
        <v>63</v>
      </c>
      <c r="G12" s="573"/>
      <c r="H12" s="17" t="s">
        <v>59</v>
      </c>
      <c r="I12" s="388" t="s">
        <v>395</v>
      </c>
      <c r="N12" s="639" t="s">
        <v>1</v>
      </c>
      <c r="O12" s="639"/>
      <c r="P12" s="652" t="s">
        <v>19</v>
      </c>
      <c r="Q12" s="652"/>
      <c r="R12" s="653" t="s">
        <v>63</v>
      </c>
      <c r="S12" s="653"/>
      <c r="T12" s="18" t="s">
        <v>59</v>
      </c>
      <c r="U12" s="19" t="str">
        <f>I12</f>
        <v>(WFTE x BSA x CWF x SDF)</v>
      </c>
    </row>
    <row r="13" spans="1:21" x14ac:dyDescent="0.25">
      <c r="A13" s="574" t="s">
        <v>36</v>
      </c>
      <c r="B13" s="574"/>
      <c r="C13" s="91"/>
      <c r="D13" s="91"/>
      <c r="E13" s="92" t="s">
        <v>37</v>
      </c>
      <c r="F13" s="575" t="s">
        <v>38</v>
      </c>
      <c r="G13" s="575"/>
      <c r="H13" s="20" t="s">
        <v>39</v>
      </c>
      <c r="I13" s="21" t="s">
        <v>40</v>
      </c>
      <c r="N13" s="654" t="s">
        <v>36</v>
      </c>
      <c r="O13" s="654"/>
      <c r="P13" s="655" t="s">
        <v>37</v>
      </c>
      <c r="Q13" s="655"/>
      <c r="R13" s="656" t="s">
        <v>38</v>
      </c>
      <c r="S13" s="656"/>
      <c r="T13" s="22" t="s">
        <v>39</v>
      </c>
      <c r="U13" s="23" t="s">
        <v>40</v>
      </c>
    </row>
    <row r="14" spans="1:21" x14ac:dyDescent="0.25">
      <c r="A14" s="576" t="s">
        <v>20</v>
      </c>
      <c r="B14" s="576"/>
      <c r="C14" s="143">
        <v>38.71</v>
      </c>
      <c r="D14" s="141">
        <v>34.619999999999997</v>
      </c>
      <c r="E14" s="187">
        <f>IF(D$30=0,C14*2,C14+D14)</f>
        <v>73.33</v>
      </c>
      <c r="F14" s="667">
        <f>'1461'!F14:G14</f>
        <v>1.1180000000000001</v>
      </c>
      <c r="G14" s="667"/>
      <c r="H14" s="145">
        <f>ROUND(E14*F14,4)</f>
        <v>81.982900000000001</v>
      </c>
      <c r="I14" s="111">
        <f>ROUND(ROUND(ROUND(H14*$C$8,4)*($H$8),2)*(MAX($H$9,1)),2)</f>
        <v>454880.81</v>
      </c>
      <c r="N14" s="641" t="s">
        <v>20</v>
      </c>
      <c r="O14" s="641"/>
      <c r="P14" s="642">
        <f t="shared" ref="P14:P29" si="0">IF($H$133=1,E14,0)</f>
        <v>0</v>
      </c>
      <c r="Q14" s="642"/>
      <c r="R14" s="657">
        <v>1</v>
      </c>
      <c r="S14" s="657"/>
      <c r="T14" s="95">
        <f>ROUND(P14*R14,4)</f>
        <v>0</v>
      </c>
      <c r="U14" s="473">
        <f>ROUND(ROUND(ROUND(T14*$C$8,4)*($H$8),2)*(MAX($H$9,1)),2)</f>
        <v>0</v>
      </c>
    </row>
    <row r="15" spans="1:21" x14ac:dyDescent="0.25">
      <c r="A15" s="578" t="s">
        <v>21</v>
      </c>
      <c r="B15" s="578"/>
      <c r="C15" s="143">
        <v>4.5</v>
      </c>
      <c r="D15" s="143">
        <v>4.5</v>
      </c>
      <c r="E15" s="116">
        <f t="shared" ref="E15:E29" si="1">IF(D$30=0,C15*2,C15+D15)</f>
        <v>9</v>
      </c>
      <c r="F15" s="663">
        <f>'1461'!F15:G15</f>
        <v>1.1180000000000001</v>
      </c>
      <c r="G15" s="663"/>
      <c r="H15" s="80">
        <f t="shared" ref="H15:H29" si="2">ROUND(E15*F15,4)</f>
        <v>10.061999999999999</v>
      </c>
      <c r="I15" s="101">
        <f t="shared" ref="I15:I29" si="3">ROUND(ROUND(ROUND(H15*$C$8,4)*($H$8),2)*(MAX($H$9,1)),2)</f>
        <v>55828.85</v>
      </c>
      <c r="J15" s="65" t="str">
        <f>IF(ROUND(E15,2)=ROUND(SUM(E57:E59),2)," ","CHECK PK-3 LINES BELOW")</f>
        <v xml:space="preserve"> </v>
      </c>
      <c r="N15" s="601" t="s">
        <v>21</v>
      </c>
      <c r="O15" s="601"/>
      <c r="P15" s="642">
        <f t="shared" si="0"/>
        <v>0</v>
      </c>
      <c r="Q15" s="642"/>
      <c r="R15" s="647">
        <v>1</v>
      </c>
      <c r="S15" s="647"/>
      <c r="T15" s="95">
        <f t="shared" ref="T15:T29" si="4">ROUND(P15*R15,4)</f>
        <v>0</v>
      </c>
      <c r="U15" s="473">
        <f t="shared" ref="U15:U29" si="5">ROUND(ROUND(ROUND(T15*$C$8,4)*($H$8),2)*(MAX($H$9,1)),2)</f>
        <v>0</v>
      </c>
    </row>
    <row r="16" spans="1:21" x14ac:dyDescent="0.25">
      <c r="A16" s="578" t="s">
        <v>22</v>
      </c>
      <c r="B16" s="578"/>
      <c r="C16" s="143">
        <v>18.63</v>
      </c>
      <c r="D16" s="143">
        <v>18.68</v>
      </c>
      <c r="E16" s="116">
        <f t="shared" si="1"/>
        <v>37.31</v>
      </c>
      <c r="F16" s="663">
        <f>'1461'!F16:G16</f>
        <v>1</v>
      </c>
      <c r="G16" s="663"/>
      <c r="H16" s="80">
        <f t="shared" si="2"/>
        <v>37.31</v>
      </c>
      <c r="I16" s="101">
        <f t="shared" si="3"/>
        <v>207013.94</v>
      </c>
      <c r="N16" s="601" t="s">
        <v>22</v>
      </c>
      <c r="O16" s="601"/>
      <c r="P16" s="642">
        <f t="shared" si="0"/>
        <v>0</v>
      </c>
      <c r="Q16" s="642"/>
      <c r="R16" s="647">
        <v>1</v>
      </c>
      <c r="S16" s="647"/>
      <c r="T16" s="95">
        <f t="shared" si="4"/>
        <v>0</v>
      </c>
      <c r="U16" s="473">
        <f t="shared" si="5"/>
        <v>0</v>
      </c>
    </row>
    <row r="17" spans="1:21" x14ac:dyDescent="0.25">
      <c r="A17" s="578" t="s">
        <v>23</v>
      </c>
      <c r="B17" s="578"/>
      <c r="C17" s="143">
        <v>3.5</v>
      </c>
      <c r="D17" s="143">
        <v>3.5</v>
      </c>
      <c r="E17" s="116">
        <f t="shared" si="1"/>
        <v>7</v>
      </c>
      <c r="F17" s="663">
        <f>'1461'!F17:G17</f>
        <v>1</v>
      </c>
      <c r="G17" s="663"/>
      <c r="H17" s="80">
        <f t="shared" si="2"/>
        <v>7</v>
      </c>
      <c r="I17" s="101">
        <f t="shared" si="3"/>
        <v>38839.39</v>
      </c>
      <c r="J17" s="65" t="str">
        <f>IF(ROUND(E17,2)=ROUND(SUM(E60:E62),2)," ","CHECK 4-8 LINES BELOW")</f>
        <v xml:space="preserve"> </v>
      </c>
      <c r="N17" s="601" t="s">
        <v>23</v>
      </c>
      <c r="O17" s="601"/>
      <c r="P17" s="642">
        <f t="shared" si="0"/>
        <v>0</v>
      </c>
      <c r="Q17" s="642"/>
      <c r="R17" s="647">
        <v>1</v>
      </c>
      <c r="S17" s="647"/>
      <c r="T17" s="95">
        <f t="shared" si="4"/>
        <v>0</v>
      </c>
      <c r="U17" s="473">
        <f t="shared" si="5"/>
        <v>0</v>
      </c>
    </row>
    <row r="18" spans="1:21" x14ac:dyDescent="0.25">
      <c r="A18" s="578" t="s">
        <v>24</v>
      </c>
      <c r="B18" s="578"/>
      <c r="C18" s="143">
        <v>0</v>
      </c>
      <c r="D18" s="143">
        <v>0</v>
      </c>
      <c r="E18" s="116">
        <f t="shared" si="1"/>
        <v>0</v>
      </c>
      <c r="F18" s="663">
        <f>'1461'!F18:G18</f>
        <v>0.97799999999999998</v>
      </c>
      <c r="G18" s="663"/>
      <c r="H18" s="80">
        <f t="shared" si="2"/>
        <v>0</v>
      </c>
      <c r="I18" s="101">
        <f t="shared" si="3"/>
        <v>0</v>
      </c>
      <c r="N18" s="601" t="s">
        <v>24</v>
      </c>
      <c r="O18" s="601"/>
      <c r="P18" s="642">
        <f t="shared" si="0"/>
        <v>0</v>
      </c>
      <c r="Q18" s="642"/>
      <c r="R18" s="647">
        <v>1</v>
      </c>
      <c r="S18" s="647"/>
      <c r="T18" s="95">
        <f t="shared" si="4"/>
        <v>0</v>
      </c>
      <c r="U18" s="473">
        <f t="shared" si="5"/>
        <v>0</v>
      </c>
    </row>
    <row r="19" spans="1:21" x14ac:dyDescent="0.25">
      <c r="A19" s="578" t="s">
        <v>25</v>
      </c>
      <c r="B19" s="578"/>
      <c r="C19" s="143">
        <v>0</v>
      </c>
      <c r="D19" s="143">
        <v>0</v>
      </c>
      <c r="E19" s="116">
        <f t="shared" si="1"/>
        <v>0</v>
      </c>
      <c r="F19" s="663">
        <f>'1461'!F19:G19</f>
        <v>0.97799999999999998</v>
      </c>
      <c r="G19" s="663"/>
      <c r="H19" s="80">
        <f t="shared" si="2"/>
        <v>0</v>
      </c>
      <c r="I19" s="101">
        <f t="shared" si="3"/>
        <v>0</v>
      </c>
      <c r="J19" s="65" t="str">
        <f>IF(ROUND(E19,2)=ROUND(SUM(E63:E65),2)," ","CHECK 4-8 LINES BELOW")</f>
        <v xml:space="preserve"> </v>
      </c>
      <c r="N19" s="601" t="s">
        <v>25</v>
      </c>
      <c r="O19" s="601"/>
      <c r="P19" s="642">
        <f t="shared" si="0"/>
        <v>0</v>
      </c>
      <c r="Q19" s="642"/>
      <c r="R19" s="647">
        <v>1</v>
      </c>
      <c r="S19" s="647"/>
      <c r="T19" s="95">
        <f t="shared" si="4"/>
        <v>0</v>
      </c>
      <c r="U19" s="472">
        <f t="shared" si="5"/>
        <v>0</v>
      </c>
    </row>
    <row r="20" spans="1:21" x14ac:dyDescent="0.25">
      <c r="A20" s="578" t="s">
        <v>79</v>
      </c>
      <c r="B20" s="578"/>
      <c r="C20" s="143">
        <v>0</v>
      </c>
      <c r="D20" s="143">
        <v>0</v>
      </c>
      <c r="E20" s="116">
        <f t="shared" si="1"/>
        <v>0</v>
      </c>
      <c r="F20" s="663">
        <f>'1461'!F20:G20</f>
        <v>3.6970000000000001</v>
      </c>
      <c r="G20" s="663"/>
      <c r="H20" s="80">
        <f t="shared" si="2"/>
        <v>0</v>
      </c>
      <c r="I20" s="101">
        <f t="shared" si="3"/>
        <v>0</v>
      </c>
      <c r="N20" s="601" t="s">
        <v>79</v>
      </c>
      <c r="O20" s="601"/>
      <c r="P20" s="642">
        <f t="shared" si="0"/>
        <v>0</v>
      </c>
      <c r="Q20" s="642"/>
      <c r="R20" s="647">
        <v>1</v>
      </c>
      <c r="S20" s="647"/>
      <c r="T20" s="95">
        <f t="shared" si="4"/>
        <v>0</v>
      </c>
      <c r="U20" s="473">
        <f t="shared" si="5"/>
        <v>0</v>
      </c>
    </row>
    <row r="21" spans="1:21" x14ac:dyDescent="0.25">
      <c r="A21" s="578" t="s">
        <v>80</v>
      </c>
      <c r="B21" s="578"/>
      <c r="C21" s="143">
        <v>0</v>
      </c>
      <c r="D21" s="143">
        <v>0</v>
      </c>
      <c r="E21" s="116">
        <f t="shared" si="1"/>
        <v>0</v>
      </c>
      <c r="F21" s="663">
        <f>'1461'!F21:G21</f>
        <v>3.6970000000000001</v>
      </c>
      <c r="G21" s="663"/>
      <c r="H21" s="80">
        <f t="shared" si="2"/>
        <v>0</v>
      </c>
      <c r="I21" s="101">
        <f t="shared" si="3"/>
        <v>0</v>
      </c>
      <c r="N21" s="601" t="s">
        <v>80</v>
      </c>
      <c r="O21" s="601"/>
      <c r="P21" s="642">
        <f t="shared" si="0"/>
        <v>0</v>
      </c>
      <c r="Q21" s="642"/>
      <c r="R21" s="647">
        <v>1</v>
      </c>
      <c r="S21" s="647"/>
      <c r="T21" s="95">
        <f t="shared" si="4"/>
        <v>0</v>
      </c>
      <c r="U21" s="473">
        <f t="shared" si="5"/>
        <v>0</v>
      </c>
    </row>
    <row r="22" spans="1:21" x14ac:dyDescent="0.25">
      <c r="A22" s="578" t="s">
        <v>81</v>
      </c>
      <c r="B22" s="578"/>
      <c r="C22" s="143">
        <v>0</v>
      </c>
      <c r="D22" s="143">
        <v>0</v>
      </c>
      <c r="E22" s="116">
        <f t="shared" si="1"/>
        <v>0</v>
      </c>
      <c r="F22" s="663">
        <f>'1461'!F22:G22</f>
        <v>3.6970000000000001</v>
      </c>
      <c r="G22" s="663"/>
      <c r="H22" s="80">
        <f t="shared" si="2"/>
        <v>0</v>
      </c>
      <c r="I22" s="101">
        <f t="shared" si="3"/>
        <v>0</v>
      </c>
      <c r="N22" s="601" t="s">
        <v>81</v>
      </c>
      <c r="O22" s="601"/>
      <c r="P22" s="642">
        <f t="shared" si="0"/>
        <v>0</v>
      </c>
      <c r="Q22" s="642"/>
      <c r="R22" s="647">
        <v>1</v>
      </c>
      <c r="S22" s="647"/>
      <c r="T22" s="95">
        <f t="shared" si="4"/>
        <v>0</v>
      </c>
      <c r="U22" s="473">
        <f t="shared" si="5"/>
        <v>0</v>
      </c>
    </row>
    <row r="23" spans="1:21" x14ac:dyDescent="0.25">
      <c r="A23" s="578" t="s">
        <v>82</v>
      </c>
      <c r="B23" s="578"/>
      <c r="C23" s="143">
        <v>0</v>
      </c>
      <c r="D23" s="143">
        <v>0</v>
      </c>
      <c r="E23" s="116">
        <f t="shared" si="1"/>
        <v>0</v>
      </c>
      <c r="F23" s="663">
        <f>'1461'!F23:G23</f>
        <v>5.992</v>
      </c>
      <c r="G23" s="663"/>
      <c r="H23" s="80">
        <f t="shared" si="2"/>
        <v>0</v>
      </c>
      <c r="I23" s="101">
        <f t="shared" si="3"/>
        <v>0</v>
      </c>
      <c r="N23" s="601" t="s">
        <v>82</v>
      </c>
      <c r="O23" s="601"/>
      <c r="P23" s="642">
        <f t="shared" si="0"/>
        <v>0</v>
      </c>
      <c r="Q23" s="642"/>
      <c r="R23" s="647">
        <v>1</v>
      </c>
      <c r="S23" s="647"/>
      <c r="T23" s="95">
        <f t="shared" si="4"/>
        <v>0</v>
      </c>
      <c r="U23" s="473">
        <f t="shared" si="5"/>
        <v>0</v>
      </c>
    </row>
    <row r="24" spans="1:21" x14ac:dyDescent="0.25">
      <c r="A24" s="578" t="s">
        <v>83</v>
      </c>
      <c r="B24" s="578"/>
      <c r="C24" s="143">
        <v>0</v>
      </c>
      <c r="D24" s="143">
        <v>0</v>
      </c>
      <c r="E24" s="116">
        <f t="shared" si="1"/>
        <v>0</v>
      </c>
      <c r="F24" s="663">
        <f>'1461'!F24:G24</f>
        <v>5.992</v>
      </c>
      <c r="G24" s="663"/>
      <c r="H24" s="80">
        <f t="shared" si="2"/>
        <v>0</v>
      </c>
      <c r="I24" s="101">
        <f t="shared" si="3"/>
        <v>0</v>
      </c>
      <c r="N24" s="601" t="s">
        <v>83</v>
      </c>
      <c r="O24" s="601"/>
      <c r="P24" s="642">
        <f t="shared" si="0"/>
        <v>0</v>
      </c>
      <c r="Q24" s="642"/>
      <c r="R24" s="647">
        <v>1</v>
      </c>
      <c r="S24" s="647"/>
      <c r="T24" s="95">
        <f t="shared" si="4"/>
        <v>0</v>
      </c>
      <c r="U24" s="473">
        <f t="shared" si="5"/>
        <v>0</v>
      </c>
    </row>
    <row r="25" spans="1:21" x14ac:dyDescent="0.25">
      <c r="A25" s="578" t="s">
        <v>84</v>
      </c>
      <c r="B25" s="578"/>
      <c r="C25" s="143">
        <v>0</v>
      </c>
      <c r="D25" s="143">
        <v>0</v>
      </c>
      <c r="E25" s="116">
        <f t="shared" si="1"/>
        <v>0</v>
      </c>
      <c r="F25" s="663">
        <f>'1461'!F25:G25</f>
        <v>5.992</v>
      </c>
      <c r="G25" s="663"/>
      <c r="H25" s="80">
        <f t="shared" si="2"/>
        <v>0</v>
      </c>
      <c r="I25" s="101">
        <f t="shared" si="3"/>
        <v>0</v>
      </c>
      <c r="N25" s="601" t="s">
        <v>84</v>
      </c>
      <c r="O25" s="601"/>
      <c r="P25" s="642">
        <f t="shared" si="0"/>
        <v>0</v>
      </c>
      <c r="Q25" s="642"/>
      <c r="R25" s="647">
        <v>1</v>
      </c>
      <c r="S25" s="647"/>
      <c r="T25" s="95">
        <f t="shared" si="4"/>
        <v>0</v>
      </c>
      <c r="U25" s="473">
        <f t="shared" si="5"/>
        <v>0</v>
      </c>
    </row>
    <row r="26" spans="1:21" x14ac:dyDescent="0.25">
      <c r="A26" s="578" t="s">
        <v>85</v>
      </c>
      <c r="B26" s="578"/>
      <c r="C26" s="143">
        <v>29.79</v>
      </c>
      <c r="D26" s="143">
        <v>31.24</v>
      </c>
      <c r="E26" s="116">
        <f t="shared" si="1"/>
        <v>61.03</v>
      </c>
      <c r="F26" s="663">
        <f>'1461'!F26:G26</f>
        <v>1.1919999999999999</v>
      </c>
      <c r="G26" s="663"/>
      <c r="H26" s="80">
        <f t="shared" si="2"/>
        <v>72.747799999999998</v>
      </c>
      <c r="I26" s="101">
        <f t="shared" si="3"/>
        <v>403640</v>
      </c>
      <c r="N26" s="601" t="s">
        <v>85</v>
      </c>
      <c r="O26" s="601"/>
      <c r="P26" s="642">
        <f t="shared" si="0"/>
        <v>0</v>
      </c>
      <c r="Q26" s="642"/>
      <c r="R26" s="647">
        <v>1</v>
      </c>
      <c r="S26" s="647"/>
      <c r="T26" s="95">
        <f t="shared" si="4"/>
        <v>0</v>
      </c>
      <c r="U26" s="473">
        <f t="shared" si="5"/>
        <v>0</v>
      </c>
    </row>
    <row r="27" spans="1:21" x14ac:dyDescent="0.25">
      <c r="A27" s="578" t="s">
        <v>86</v>
      </c>
      <c r="B27" s="578"/>
      <c r="C27" s="143">
        <v>6.37</v>
      </c>
      <c r="D27" s="143">
        <v>6.86</v>
      </c>
      <c r="E27" s="116">
        <f t="shared" si="1"/>
        <v>13.23</v>
      </c>
      <c r="F27" s="663">
        <f>'1461'!F27:G27</f>
        <v>1.1919999999999999</v>
      </c>
      <c r="G27" s="663"/>
      <c r="H27" s="80">
        <f t="shared" si="2"/>
        <v>15.770200000000001</v>
      </c>
      <c r="I27" s="101">
        <f t="shared" si="3"/>
        <v>87500.7</v>
      </c>
      <c r="N27" s="601" t="s">
        <v>86</v>
      </c>
      <c r="O27" s="601"/>
      <c r="P27" s="642">
        <f t="shared" si="0"/>
        <v>0</v>
      </c>
      <c r="Q27" s="642"/>
      <c r="R27" s="647">
        <v>1</v>
      </c>
      <c r="S27" s="647"/>
      <c r="T27" s="95">
        <f t="shared" si="4"/>
        <v>0</v>
      </c>
      <c r="U27" s="473">
        <f t="shared" si="5"/>
        <v>0</v>
      </c>
    </row>
    <row r="28" spans="1:21" x14ac:dyDescent="0.25">
      <c r="A28" s="578" t="s">
        <v>87</v>
      </c>
      <c r="B28" s="578"/>
      <c r="C28" s="143">
        <v>0</v>
      </c>
      <c r="D28" s="143">
        <v>0</v>
      </c>
      <c r="E28" s="116">
        <f t="shared" si="1"/>
        <v>0</v>
      </c>
      <c r="F28" s="663">
        <f>'1461'!F28:G28</f>
        <v>1.1919999999999999</v>
      </c>
      <c r="G28" s="663"/>
      <c r="H28" s="80">
        <f t="shared" si="2"/>
        <v>0</v>
      </c>
      <c r="I28" s="101">
        <f t="shared" si="3"/>
        <v>0</v>
      </c>
      <c r="N28" s="601" t="s">
        <v>87</v>
      </c>
      <c r="O28" s="601"/>
      <c r="P28" s="642">
        <f t="shared" si="0"/>
        <v>0</v>
      </c>
      <c r="Q28" s="642"/>
      <c r="R28" s="647">
        <v>1</v>
      </c>
      <c r="S28" s="647"/>
      <c r="T28" s="95">
        <f t="shared" si="4"/>
        <v>0</v>
      </c>
      <c r="U28" s="473">
        <f t="shared" si="5"/>
        <v>0</v>
      </c>
    </row>
    <row r="29" spans="1:21" x14ac:dyDescent="0.25">
      <c r="A29" s="578" t="s">
        <v>88</v>
      </c>
      <c r="B29" s="578"/>
      <c r="C29" s="110">
        <v>0</v>
      </c>
      <c r="D29" s="110">
        <v>0</v>
      </c>
      <c r="E29" s="154">
        <f t="shared" si="1"/>
        <v>0</v>
      </c>
      <c r="F29" s="663">
        <f>'1461'!F29:G29</f>
        <v>1.079</v>
      </c>
      <c r="G29" s="663"/>
      <c r="H29" s="93">
        <f t="shared" si="2"/>
        <v>0</v>
      </c>
      <c r="I29" s="94">
        <f t="shared" si="3"/>
        <v>0</v>
      </c>
      <c r="N29" s="616" t="s">
        <v>88</v>
      </c>
      <c r="O29" s="616"/>
      <c r="P29" s="642">
        <f t="shared" si="0"/>
        <v>0</v>
      </c>
      <c r="Q29" s="642"/>
      <c r="R29" s="643">
        <v>1</v>
      </c>
      <c r="S29" s="643"/>
      <c r="T29" s="95">
        <f t="shared" si="4"/>
        <v>0</v>
      </c>
      <c r="U29" s="473">
        <f t="shared" si="5"/>
        <v>0</v>
      </c>
    </row>
    <row r="30" spans="1:21" x14ac:dyDescent="0.25">
      <c r="A30" s="590" t="s">
        <v>5</v>
      </c>
      <c r="B30" s="590"/>
      <c r="C30" s="94">
        <f>SUM(C14:C29)</f>
        <v>101.5</v>
      </c>
      <c r="D30" s="94">
        <f>SUM(D14:D29)</f>
        <v>99.399999999999991</v>
      </c>
      <c r="E30" s="94">
        <f>SUM(E14:E29)</f>
        <v>200.9</v>
      </c>
      <c r="F30" s="582"/>
      <c r="G30" s="582"/>
      <c r="H30" s="99">
        <f>SUM(H14:H29)</f>
        <v>224.87289999999996</v>
      </c>
      <c r="I30" s="94">
        <f>SUM(I14:I29)</f>
        <v>1247703.69</v>
      </c>
      <c r="N30" s="644" t="s">
        <v>5</v>
      </c>
      <c r="O30" s="644"/>
      <c r="P30" s="645">
        <f>SUM(P14:P29)</f>
        <v>0</v>
      </c>
      <c r="Q30" s="645"/>
      <c r="R30" s="617"/>
      <c r="S30" s="617"/>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0" t="s">
        <v>233</v>
      </c>
      <c r="G34" s="670"/>
      <c r="H34" s="670"/>
      <c r="I34" s="101"/>
      <c r="N34" s="28"/>
      <c r="O34" s="28"/>
      <c r="P34" s="29"/>
      <c r="Q34" s="29"/>
      <c r="R34" s="30"/>
      <c r="S34" s="30"/>
      <c r="T34" s="102"/>
      <c r="U34" s="103"/>
    </row>
    <row r="35" spans="1:21" hidden="1" x14ac:dyDescent="0.25">
      <c r="A35" s="3"/>
      <c r="B35" s="69"/>
      <c r="C35" s="69"/>
      <c r="D35" s="69"/>
      <c r="E35" s="69"/>
      <c r="F35" s="670"/>
      <c r="G35" s="670"/>
      <c r="H35" s="670"/>
      <c r="I35" s="24" t="s">
        <v>61</v>
      </c>
      <c r="N35" s="627" t="s">
        <v>26</v>
      </c>
      <c r="O35" s="627"/>
      <c r="P35" s="627"/>
      <c r="Q35" s="627"/>
      <c r="R35" s="627"/>
      <c r="S35" s="627"/>
      <c r="T35" s="627"/>
      <c r="U35" s="25" t="str">
        <f>I35</f>
        <v>2015-16</v>
      </c>
    </row>
    <row r="36" spans="1:21" hidden="1" x14ac:dyDescent="0.25">
      <c r="A36" s="26"/>
      <c r="B36" s="26"/>
      <c r="C36" s="88" t="s">
        <v>93</v>
      </c>
      <c r="D36" s="88" t="s">
        <v>94</v>
      </c>
      <c r="E36" s="89" t="s">
        <v>8</v>
      </c>
      <c r="F36" s="670"/>
      <c r="G36" s="670"/>
      <c r="H36" s="670"/>
      <c r="I36" s="24" t="s">
        <v>27</v>
      </c>
      <c r="N36" s="28"/>
      <c r="O36" s="28"/>
      <c r="P36" s="29"/>
      <c r="Q36" s="29"/>
      <c r="R36" s="30"/>
      <c r="S36" s="30"/>
      <c r="T36" s="102"/>
      <c r="U36" s="25" t="s">
        <v>27</v>
      </c>
    </row>
    <row r="37" spans="1:21" ht="26.25" hidden="1" x14ac:dyDescent="0.25">
      <c r="A37" s="572" t="s">
        <v>50</v>
      </c>
      <c r="B37" s="572"/>
      <c r="C37" s="90" t="s">
        <v>2</v>
      </c>
      <c r="D37" s="90" t="s">
        <v>2</v>
      </c>
      <c r="E37" s="90" t="s">
        <v>2</v>
      </c>
      <c r="F37" s="671"/>
      <c r="G37" s="671"/>
      <c r="H37" s="671"/>
      <c r="I37" s="31" t="s">
        <v>395</v>
      </c>
      <c r="N37" s="639" t="s">
        <v>50</v>
      </c>
      <c r="O37" s="639"/>
      <c r="P37" s="640" t="s">
        <v>19</v>
      </c>
      <c r="Q37" s="640"/>
      <c r="R37" s="640"/>
      <c r="S37" s="640"/>
      <c r="T37" s="640"/>
      <c r="U37" s="19" t="str">
        <f>I37</f>
        <v>(WFTE x BSA x CWF x SDF)</v>
      </c>
    </row>
    <row r="38" spans="1:21" hidden="1" x14ac:dyDescent="0.25">
      <c r="A38" s="576" t="s">
        <v>45</v>
      </c>
      <c r="B38" s="576"/>
      <c r="C38" s="147">
        <v>0</v>
      </c>
      <c r="D38" s="147">
        <v>0</v>
      </c>
      <c r="E38" s="187">
        <f t="shared" ref="E38:E43" si="6">IF(D$44=0,C38*2,C38+D38)</f>
        <v>0</v>
      </c>
      <c r="F38" s="148"/>
      <c r="G38" s="148"/>
      <c r="H38" s="148"/>
      <c r="I38" s="111">
        <f>ROUND(ROUND(ROUND(E38*$C$8,4)*($H$8),2)*(MAX($H$9,1)),2)</f>
        <v>0</v>
      </c>
      <c r="N38" s="641" t="s">
        <v>45</v>
      </c>
      <c r="O38" s="641"/>
      <c r="P38" s="608">
        <f t="shared" ref="P38:P43" si="7">IF($H$133=1,E38,0)</f>
        <v>0</v>
      </c>
      <c r="Q38" s="608"/>
      <c r="R38" s="608"/>
      <c r="S38" s="608"/>
      <c r="T38" s="608"/>
      <c r="U38" s="98">
        <f>ROUND(ROUND(ROUND(P38*$C$8,4)*($H$8),2)*(MAX($H$9,1)),2)</f>
        <v>0</v>
      </c>
    </row>
    <row r="39" spans="1:21" hidden="1" x14ac:dyDescent="0.25">
      <c r="A39" s="578" t="s">
        <v>46</v>
      </c>
      <c r="B39" s="578"/>
      <c r="C39" s="150">
        <v>0</v>
      </c>
      <c r="D39" s="150">
        <v>0</v>
      </c>
      <c r="E39" s="116">
        <f t="shared" si="6"/>
        <v>0</v>
      </c>
      <c r="F39" s="151"/>
      <c r="G39" s="151"/>
      <c r="H39" s="151"/>
      <c r="I39" s="101">
        <f t="shared" ref="I39:I43" si="8">ROUND(ROUND(ROUND(E39*$C$8,4)*($H$8),2)*(MAX($H$9,1)),2)</f>
        <v>0</v>
      </c>
      <c r="N39" s="601" t="s">
        <v>46</v>
      </c>
      <c r="O39" s="601"/>
      <c r="P39" s="608">
        <f t="shared" si="7"/>
        <v>0</v>
      </c>
      <c r="Q39" s="608"/>
      <c r="R39" s="608"/>
      <c r="S39" s="608"/>
      <c r="T39" s="608"/>
      <c r="U39" s="98">
        <f t="shared" ref="U39:U43" si="9">ROUND(ROUND(ROUND(P39*$C$8,4)*($H$8),2)*(MAX($H$9,1)),2)</f>
        <v>0</v>
      </c>
    </row>
    <row r="40" spans="1:21" hidden="1" x14ac:dyDescent="0.25">
      <c r="A40" s="583" t="s">
        <v>47</v>
      </c>
      <c r="B40" s="583"/>
      <c r="C40" s="150">
        <v>0</v>
      </c>
      <c r="D40" s="150">
        <v>0</v>
      </c>
      <c r="E40" s="116">
        <f t="shared" si="6"/>
        <v>0</v>
      </c>
      <c r="F40" s="151"/>
      <c r="G40" s="151"/>
      <c r="H40" s="151"/>
      <c r="I40" s="101">
        <f t="shared" si="8"/>
        <v>0</v>
      </c>
      <c r="N40" s="646" t="s">
        <v>47</v>
      </c>
      <c r="O40" s="646"/>
      <c r="P40" s="608">
        <f t="shared" si="7"/>
        <v>0</v>
      </c>
      <c r="Q40" s="608"/>
      <c r="R40" s="608"/>
      <c r="S40" s="608"/>
      <c r="T40" s="608"/>
      <c r="U40" s="98">
        <f t="shared" si="9"/>
        <v>0</v>
      </c>
    </row>
    <row r="41" spans="1:21" hidden="1" x14ac:dyDescent="0.25">
      <c r="A41" s="578" t="s">
        <v>48</v>
      </c>
      <c r="B41" s="578"/>
      <c r="C41" s="150">
        <v>0</v>
      </c>
      <c r="D41" s="150">
        <v>0</v>
      </c>
      <c r="E41" s="116">
        <f t="shared" si="6"/>
        <v>0</v>
      </c>
      <c r="F41" s="151"/>
      <c r="G41" s="151"/>
      <c r="H41" s="151"/>
      <c r="I41" s="101">
        <f t="shared" si="8"/>
        <v>0</v>
      </c>
      <c r="N41" s="601" t="s">
        <v>48</v>
      </c>
      <c r="O41" s="601"/>
      <c r="P41" s="608">
        <f t="shared" si="7"/>
        <v>0</v>
      </c>
      <c r="Q41" s="608"/>
      <c r="R41" s="608"/>
      <c r="S41" s="608"/>
      <c r="T41" s="608"/>
      <c r="U41" s="98">
        <f t="shared" si="9"/>
        <v>0</v>
      </c>
    </row>
    <row r="42" spans="1:21" hidden="1" x14ac:dyDescent="0.25">
      <c r="A42" s="578" t="s">
        <v>49</v>
      </c>
      <c r="B42" s="578"/>
      <c r="C42" s="150">
        <v>0</v>
      </c>
      <c r="D42" s="150">
        <v>0</v>
      </c>
      <c r="E42" s="116">
        <f t="shared" si="6"/>
        <v>0</v>
      </c>
      <c r="F42" s="151"/>
      <c r="G42" s="151"/>
      <c r="H42" s="151"/>
      <c r="I42" s="101">
        <f t="shared" si="8"/>
        <v>0</v>
      </c>
      <c r="N42" s="601" t="s">
        <v>49</v>
      </c>
      <c r="O42" s="601"/>
      <c r="P42" s="608">
        <f t="shared" si="7"/>
        <v>0</v>
      </c>
      <c r="Q42" s="608"/>
      <c r="R42" s="608"/>
      <c r="S42" s="608"/>
      <c r="T42" s="608"/>
      <c r="U42" s="98">
        <f t="shared" si="9"/>
        <v>0</v>
      </c>
    </row>
    <row r="43" spans="1:21" hidden="1" x14ac:dyDescent="0.25">
      <c r="A43" s="578" t="s">
        <v>41</v>
      </c>
      <c r="B43" s="578"/>
      <c r="C43" s="149">
        <v>0</v>
      </c>
      <c r="D43" s="149">
        <v>0</v>
      </c>
      <c r="E43" s="154">
        <f t="shared" si="6"/>
        <v>0</v>
      </c>
      <c r="F43" s="151"/>
      <c r="G43" s="151"/>
      <c r="H43" s="151"/>
      <c r="I43" s="94">
        <f t="shared" si="8"/>
        <v>0</v>
      </c>
      <c r="N43" s="616" t="s">
        <v>41</v>
      </c>
      <c r="O43" s="616"/>
      <c r="P43" s="608">
        <f t="shared" si="7"/>
        <v>0</v>
      </c>
      <c r="Q43" s="608"/>
      <c r="R43" s="608"/>
      <c r="S43" s="608"/>
      <c r="T43" s="60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3" t="s">
        <v>43</v>
      </c>
      <c r="O44" s="603"/>
      <c r="P44" s="603"/>
      <c r="Q44" s="603"/>
      <c r="R44" s="33">
        <f>SUM(P38:R43)</f>
        <v>0</v>
      </c>
      <c r="S44" s="617" t="s">
        <v>51</v>
      </c>
      <c r="T44" s="617"/>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224.87289999999996</v>
      </c>
      <c r="F46" s="34"/>
      <c r="G46" s="106"/>
      <c r="H46" s="107" t="s">
        <v>98</v>
      </c>
      <c r="I46" s="94">
        <f>SUM(I44,I30)</f>
        <v>1247703.69</v>
      </c>
      <c r="N46" s="603" t="s">
        <v>44</v>
      </c>
      <c r="O46" s="603"/>
      <c r="P46" s="603"/>
      <c r="Q46" s="603"/>
      <c r="R46" s="35">
        <f>R44+T30</f>
        <v>0</v>
      </c>
      <c r="S46" s="617" t="s">
        <v>42</v>
      </c>
      <c r="T46" s="617"/>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396</v>
      </c>
      <c r="B48" s="26"/>
      <c r="C48" s="26"/>
      <c r="D48" s="26"/>
      <c r="E48" s="26"/>
      <c r="F48" s="34"/>
      <c r="G48" s="27"/>
      <c r="H48" s="27"/>
      <c r="I48" s="101"/>
      <c r="N48" s="383" t="s">
        <v>396</v>
      </c>
      <c r="O48" s="28"/>
      <c r="P48" s="28"/>
      <c r="Q48" s="28"/>
      <c r="R48" s="35"/>
      <c r="S48" s="30"/>
      <c r="T48" s="30"/>
      <c r="U48" s="402"/>
    </row>
    <row r="49" spans="1:22" s="391" customFormat="1" ht="9" customHeight="1" x14ac:dyDescent="0.2">
      <c r="A49" s="481" t="s">
        <v>397</v>
      </c>
      <c r="F49" s="392"/>
      <c r="G49" s="393"/>
      <c r="H49" s="393"/>
      <c r="I49" s="394"/>
      <c r="N49" s="403" t="s">
        <v>397</v>
      </c>
      <c r="O49" s="395"/>
      <c r="P49" s="395"/>
      <c r="Q49" s="395"/>
      <c r="R49" s="396"/>
      <c r="S49" s="397"/>
      <c r="T49" s="397"/>
      <c r="U49" s="404"/>
    </row>
    <row r="50" spans="1:22" s="391" customFormat="1" ht="11.25" customHeight="1" x14ac:dyDescent="0.2">
      <c r="A50" s="483" t="s">
        <v>398</v>
      </c>
      <c r="F50" s="392"/>
      <c r="G50" s="393"/>
      <c r="H50" s="393"/>
      <c r="I50" s="394"/>
      <c r="N50" s="405" t="s">
        <v>398</v>
      </c>
      <c r="O50" s="395"/>
      <c r="P50" s="395"/>
      <c r="Q50" s="395"/>
      <c r="R50" s="396"/>
      <c r="S50" s="397"/>
      <c r="T50" s="397"/>
      <c r="U50" s="404"/>
    </row>
    <row r="51" spans="1:22" x14ac:dyDescent="0.25">
      <c r="A51" s="389"/>
      <c r="B51" s="399" t="s">
        <v>399</v>
      </c>
      <c r="C51" s="26"/>
      <c r="D51" s="26"/>
      <c r="E51" s="43" t="s">
        <v>400</v>
      </c>
      <c r="F51" s="400">
        <f>I46</f>
        <v>1247703.69</v>
      </c>
      <c r="G51" s="109" t="s">
        <v>6</v>
      </c>
      <c r="H51" s="401">
        <v>4.5199999999999997E-2</v>
      </c>
      <c r="I51" s="101">
        <f>ROUND(F51*H51,2)</f>
        <v>56396.21</v>
      </c>
      <c r="N51" s="406"/>
      <c r="O51" s="407" t="s">
        <v>399</v>
      </c>
      <c r="P51" s="28"/>
      <c r="Q51" s="44" t="s">
        <v>400</v>
      </c>
      <c r="R51" s="408">
        <f>U30</f>
        <v>0</v>
      </c>
      <c r="S51" s="409" t="s">
        <v>6</v>
      </c>
      <c r="T51" s="410">
        <v>4.5199999999999997E-2</v>
      </c>
      <c r="U51" s="402">
        <f>ROUND(R51*T51,2)</f>
        <v>0</v>
      </c>
    </row>
    <row r="52" spans="1:22" x14ac:dyDescent="0.25">
      <c r="A52" s="26"/>
      <c r="B52" s="81" t="s">
        <v>401</v>
      </c>
      <c r="C52" s="26"/>
      <c r="D52" s="26"/>
      <c r="E52" s="43" t="s">
        <v>400</v>
      </c>
      <c r="F52" s="400">
        <f>I46</f>
        <v>1247703.69</v>
      </c>
      <c r="G52" s="109" t="s">
        <v>6</v>
      </c>
      <c r="H52" s="401">
        <v>1.41E-2</v>
      </c>
      <c r="I52" s="101">
        <f>ROUND(F52*H52,2)</f>
        <v>17592.62</v>
      </c>
      <c r="N52" s="28"/>
      <c r="O52" s="383" t="s">
        <v>401</v>
      </c>
      <c r="P52" s="28"/>
      <c r="Q52" s="44" t="s">
        <v>400</v>
      </c>
      <c r="R52" s="408">
        <f>U30</f>
        <v>0</v>
      </c>
      <c r="S52" s="409" t="s">
        <v>6</v>
      </c>
      <c r="T52" s="410">
        <v>1.41E-2</v>
      </c>
      <c r="U52" s="411">
        <f>ROUND(R52*T52,2)</f>
        <v>0</v>
      </c>
    </row>
    <row r="53" spans="1:22" x14ac:dyDescent="0.25">
      <c r="A53" s="26"/>
      <c r="B53" s="81" t="s">
        <v>402</v>
      </c>
      <c r="C53" s="26"/>
      <c r="D53" s="26"/>
      <c r="E53" s="43"/>
      <c r="F53" s="400"/>
      <c r="G53" s="109"/>
      <c r="H53" s="401"/>
      <c r="I53" s="97">
        <f>SUM(I51:I52)</f>
        <v>73988.83</v>
      </c>
      <c r="N53" s="28"/>
      <c r="O53" s="383" t="s">
        <v>402</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440</v>
      </c>
      <c r="G55" s="109" t="s">
        <v>441</v>
      </c>
      <c r="H55" s="454" t="s">
        <v>442</v>
      </c>
      <c r="I55" s="101"/>
      <c r="N55" s="448"/>
      <c r="O55" s="448"/>
      <c r="P55" s="464"/>
      <c r="Q55" s="465"/>
      <c r="R55" s="466"/>
      <c r="S55" s="468" t="s">
        <v>441</v>
      </c>
      <c r="T55" s="469" t="s">
        <v>442</v>
      </c>
      <c r="U55" s="467"/>
      <c r="V55" s="424"/>
    </row>
    <row r="56" spans="1:22" x14ac:dyDescent="0.25">
      <c r="A56" s="36" t="s">
        <v>443</v>
      </c>
      <c r="B56" s="36"/>
      <c r="C56" s="324" t="str">
        <f>'1461'!C56</f>
        <v>FTE</v>
      </c>
      <c r="D56" s="324" t="str">
        <f>'1461'!D56</f>
        <v>FTE</v>
      </c>
      <c r="E56" s="90" t="s">
        <v>2</v>
      </c>
      <c r="F56" s="439" t="s">
        <v>444</v>
      </c>
      <c r="G56" s="441" t="s">
        <v>444</v>
      </c>
      <c r="H56" s="455" t="s">
        <v>445</v>
      </c>
      <c r="I56" s="36"/>
      <c r="N56" s="459" t="s">
        <v>443</v>
      </c>
      <c r="O56" s="459"/>
      <c r="P56" s="620" t="s">
        <v>2</v>
      </c>
      <c r="Q56" s="620"/>
      <c r="R56" s="459" t="s">
        <v>449</v>
      </c>
      <c r="S56" s="450" t="s">
        <v>444</v>
      </c>
      <c r="T56" s="470" t="s">
        <v>445</v>
      </c>
      <c r="U56" s="459"/>
      <c r="V56" s="458"/>
    </row>
    <row r="57" spans="1:22" x14ac:dyDescent="0.25">
      <c r="A57" s="588" t="s">
        <v>447</v>
      </c>
      <c r="B57" s="588"/>
      <c r="C57" s="143">
        <v>4</v>
      </c>
      <c r="D57" s="143">
        <v>4.08</v>
      </c>
      <c r="E57" s="116">
        <f t="shared" ref="E57:E65" si="10">IF(D$66=0,C57*2,C57+D57)</f>
        <v>8.08</v>
      </c>
      <c r="F57" s="443" t="s">
        <v>439</v>
      </c>
      <c r="G57" s="443">
        <v>251</v>
      </c>
      <c r="H57" s="457">
        <f>'1461'!H57</f>
        <v>1047</v>
      </c>
      <c r="I57" s="101">
        <f>ROUND(E57*H57,2)</f>
        <v>8459.76</v>
      </c>
      <c r="N57" s="618" t="s">
        <v>447</v>
      </c>
      <c r="O57" s="618"/>
      <c r="P57" s="621"/>
      <c r="Q57" s="621"/>
      <c r="R57" s="449" t="s">
        <v>439</v>
      </c>
      <c r="S57" s="449">
        <v>251</v>
      </c>
      <c r="T57" s="460">
        <f>H57</f>
        <v>1047</v>
      </c>
      <c r="U57" s="474">
        <f>ROUND(P57*T57,2)</f>
        <v>0</v>
      </c>
      <c r="V57" s="424"/>
    </row>
    <row r="58" spans="1:22" x14ac:dyDescent="0.25">
      <c r="A58" s="589"/>
      <c r="B58" s="589"/>
      <c r="C58" s="143">
        <v>0.5</v>
      </c>
      <c r="D58" s="143">
        <v>0.42</v>
      </c>
      <c r="E58" s="116">
        <f t="shared" si="10"/>
        <v>0.91999999999999993</v>
      </c>
      <c r="F58" s="443" t="s">
        <v>439</v>
      </c>
      <c r="G58" s="443">
        <v>252</v>
      </c>
      <c r="H58" s="457">
        <f>'1461'!H58</f>
        <v>3380</v>
      </c>
      <c r="I58" s="101">
        <f t="shared" ref="I58:I65" si="11">ROUND(E58*H58,2)</f>
        <v>3109.6</v>
      </c>
      <c r="N58" s="619"/>
      <c r="O58" s="619"/>
      <c r="P58" s="622"/>
      <c r="Q58" s="622"/>
      <c r="R58" s="449" t="s">
        <v>439</v>
      </c>
      <c r="S58" s="449">
        <v>252</v>
      </c>
      <c r="T58" s="460">
        <f t="shared" ref="T58:T65" si="12">H58</f>
        <v>3380</v>
      </c>
      <c r="U58" s="474">
        <f t="shared" ref="U58:U65" si="13">ROUND(P58*T58,2)</f>
        <v>0</v>
      </c>
      <c r="V58" s="424"/>
    </row>
    <row r="59" spans="1:22" x14ac:dyDescent="0.25">
      <c r="A59" s="589"/>
      <c r="B59" s="589"/>
      <c r="C59" s="143">
        <v>0</v>
      </c>
      <c r="D59" s="143">
        <v>0</v>
      </c>
      <c r="E59" s="116">
        <f t="shared" si="10"/>
        <v>0</v>
      </c>
      <c r="F59" s="443" t="s">
        <v>439</v>
      </c>
      <c r="G59" s="443">
        <v>253</v>
      </c>
      <c r="H59" s="457">
        <f>'1461'!H59</f>
        <v>6896</v>
      </c>
      <c r="I59" s="101">
        <f t="shared" si="11"/>
        <v>0</v>
      </c>
      <c r="N59" s="619"/>
      <c r="O59" s="619"/>
      <c r="P59" s="622"/>
      <c r="Q59" s="622"/>
      <c r="R59" s="449" t="s">
        <v>439</v>
      </c>
      <c r="S59" s="449">
        <v>253</v>
      </c>
      <c r="T59" s="460">
        <f t="shared" si="12"/>
        <v>6896</v>
      </c>
      <c r="U59" s="474">
        <f t="shared" si="13"/>
        <v>0</v>
      </c>
      <c r="V59" s="424"/>
    </row>
    <row r="60" spans="1:22" x14ac:dyDescent="0.25">
      <c r="A60" s="589"/>
      <c r="B60" s="589"/>
      <c r="C60" s="143">
        <v>3.5</v>
      </c>
      <c r="D60" s="143">
        <v>3.08</v>
      </c>
      <c r="E60" s="116">
        <f t="shared" si="10"/>
        <v>6.58</v>
      </c>
      <c r="F60" s="444" t="s">
        <v>13</v>
      </c>
      <c r="G60" s="443">
        <v>251</v>
      </c>
      <c r="H60" s="457">
        <f>'1461'!H60</f>
        <v>1173</v>
      </c>
      <c r="I60" s="101">
        <f t="shared" si="11"/>
        <v>7718.34</v>
      </c>
      <c r="N60" s="619"/>
      <c r="O60" s="619"/>
      <c r="P60" s="622"/>
      <c r="Q60" s="622"/>
      <c r="R60" s="40" t="s">
        <v>13</v>
      </c>
      <c r="S60" s="449">
        <v>251</v>
      </c>
      <c r="T60" s="460">
        <f t="shared" si="12"/>
        <v>1173</v>
      </c>
      <c r="U60" s="474">
        <f t="shared" si="13"/>
        <v>0</v>
      </c>
      <c r="V60" s="424"/>
    </row>
    <row r="61" spans="1:22" x14ac:dyDescent="0.25">
      <c r="A61" s="589"/>
      <c r="B61" s="589"/>
      <c r="C61" s="143">
        <v>0</v>
      </c>
      <c r="D61" s="143">
        <v>0.42</v>
      </c>
      <c r="E61" s="116">
        <f t="shared" si="10"/>
        <v>0.42</v>
      </c>
      <c r="F61" s="444" t="s">
        <v>13</v>
      </c>
      <c r="G61" s="443">
        <v>252</v>
      </c>
      <c r="H61" s="457">
        <f>'1461'!H61</f>
        <v>3506</v>
      </c>
      <c r="I61" s="101">
        <f t="shared" si="11"/>
        <v>1472.52</v>
      </c>
      <c r="N61" s="619"/>
      <c r="O61" s="619"/>
      <c r="P61" s="622"/>
      <c r="Q61" s="622"/>
      <c r="R61" s="40" t="s">
        <v>13</v>
      </c>
      <c r="S61" s="449">
        <v>252</v>
      </c>
      <c r="T61" s="460">
        <f t="shared" si="12"/>
        <v>3506</v>
      </c>
      <c r="U61" s="474">
        <f t="shared" si="13"/>
        <v>0</v>
      </c>
      <c r="V61" s="424"/>
    </row>
    <row r="62" spans="1:22" x14ac:dyDescent="0.25">
      <c r="A62" s="589"/>
      <c r="B62" s="589"/>
      <c r="C62" s="143">
        <v>0</v>
      </c>
      <c r="D62" s="143">
        <v>0</v>
      </c>
      <c r="E62" s="116">
        <f t="shared" si="10"/>
        <v>0</v>
      </c>
      <c r="F62" s="444" t="s">
        <v>13</v>
      </c>
      <c r="G62" s="443">
        <v>253</v>
      </c>
      <c r="H62" s="457">
        <f>'1461'!H62</f>
        <v>7023</v>
      </c>
      <c r="I62" s="101">
        <f t="shared" si="11"/>
        <v>0</v>
      </c>
      <c r="N62" s="619"/>
      <c r="O62" s="619"/>
      <c r="P62" s="622"/>
      <c r="Q62" s="622"/>
      <c r="R62" s="40" t="s">
        <v>13</v>
      </c>
      <c r="S62" s="449">
        <v>253</v>
      </c>
      <c r="T62" s="460">
        <f t="shared" si="12"/>
        <v>7023</v>
      </c>
      <c r="U62" s="474">
        <f t="shared" si="13"/>
        <v>0</v>
      </c>
      <c r="V62" s="424"/>
    </row>
    <row r="63" spans="1:22" x14ac:dyDescent="0.25">
      <c r="A63" s="589"/>
      <c r="B63" s="589"/>
      <c r="C63" s="143">
        <v>0</v>
      </c>
      <c r="D63" s="143">
        <v>0</v>
      </c>
      <c r="E63" s="116">
        <f t="shared" si="10"/>
        <v>0</v>
      </c>
      <c r="F63" s="444" t="s">
        <v>14</v>
      </c>
      <c r="G63" s="443">
        <v>251</v>
      </c>
      <c r="H63" s="457">
        <f>'1461'!H63</f>
        <v>835</v>
      </c>
      <c r="I63" s="101">
        <f t="shared" si="11"/>
        <v>0</v>
      </c>
      <c r="N63" s="619"/>
      <c r="O63" s="619"/>
      <c r="P63" s="622"/>
      <c r="Q63" s="622"/>
      <c r="R63" s="40" t="s">
        <v>14</v>
      </c>
      <c r="S63" s="449">
        <v>251</v>
      </c>
      <c r="T63" s="460">
        <f t="shared" si="12"/>
        <v>835</v>
      </c>
      <c r="U63" s="474">
        <f t="shared" si="13"/>
        <v>0</v>
      </c>
      <c r="V63" s="424"/>
    </row>
    <row r="64" spans="1:22" x14ac:dyDescent="0.25">
      <c r="A64" s="589"/>
      <c r="B64" s="589"/>
      <c r="C64" s="143">
        <v>0</v>
      </c>
      <c r="D64" s="143">
        <v>0</v>
      </c>
      <c r="E64" s="116">
        <f t="shared" si="10"/>
        <v>0</v>
      </c>
      <c r="F64" s="444" t="s">
        <v>14</v>
      </c>
      <c r="G64" s="443">
        <v>252</v>
      </c>
      <c r="H64" s="457">
        <f>'1461'!H64</f>
        <v>3168</v>
      </c>
      <c r="I64" s="101">
        <f t="shared" si="11"/>
        <v>0</v>
      </c>
      <c r="N64" s="619"/>
      <c r="O64" s="619"/>
      <c r="P64" s="622"/>
      <c r="Q64" s="622"/>
      <c r="R64" s="40" t="s">
        <v>14</v>
      </c>
      <c r="S64" s="449">
        <v>252</v>
      </c>
      <c r="T64" s="460">
        <f t="shared" si="12"/>
        <v>3168</v>
      </c>
      <c r="U64" s="474">
        <f t="shared" si="13"/>
        <v>0</v>
      </c>
      <c r="V64" s="424"/>
    </row>
    <row r="65" spans="1:22" ht="16.5" thickBot="1" x14ac:dyDescent="0.3">
      <c r="A65" s="589"/>
      <c r="B65" s="589"/>
      <c r="C65" s="143">
        <v>0</v>
      </c>
      <c r="D65" s="143">
        <v>0</v>
      </c>
      <c r="E65" s="116">
        <f t="shared" si="10"/>
        <v>0</v>
      </c>
      <c r="F65" s="444" t="s">
        <v>14</v>
      </c>
      <c r="G65" s="443">
        <v>253</v>
      </c>
      <c r="H65" s="457">
        <f>'1461'!H65</f>
        <v>6685</v>
      </c>
      <c r="I65" s="101">
        <f t="shared" si="11"/>
        <v>0</v>
      </c>
      <c r="N65" s="619"/>
      <c r="O65" s="619"/>
      <c r="P65" s="623"/>
      <c r="Q65" s="623"/>
      <c r="R65" s="40" t="s">
        <v>14</v>
      </c>
      <c r="S65" s="449">
        <v>253</v>
      </c>
      <c r="T65" s="460">
        <f t="shared" si="12"/>
        <v>6685</v>
      </c>
      <c r="U65" s="475">
        <f t="shared" si="13"/>
        <v>0</v>
      </c>
      <c r="V65" s="424"/>
    </row>
    <row r="66" spans="1:22" ht="16.5" thickBot="1" x14ac:dyDescent="0.3">
      <c r="A66" s="440"/>
      <c r="C66" s="97">
        <f>SUM(C57:C65)</f>
        <v>8</v>
      </c>
      <c r="D66" s="97">
        <f>SUM(D57:D65)</f>
        <v>8</v>
      </c>
      <c r="E66" s="97">
        <f>SUM(E57:E65)</f>
        <v>16</v>
      </c>
      <c r="F66" s="590" t="s">
        <v>448</v>
      </c>
      <c r="G66" s="590"/>
      <c r="H66" s="590"/>
      <c r="I66" s="97">
        <f>SUM(I57:I65)</f>
        <v>20760.22</v>
      </c>
      <c r="N66" s="446"/>
      <c r="O66" s="51"/>
      <c r="P66" s="602">
        <f>SUM(P57:P65)</f>
        <v>0</v>
      </c>
      <c r="Q66" s="602"/>
      <c r="R66" s="603" t="s">
        <v>448</v>
      </c>
      <c r="S66" s="603"/>
      <c r="T66" s="603"/>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450</v>
      </c>
      <c r="N68" s="453" t="s">
        <v>458</v>
      </c>
      <c r="O68" s="51"/>
      <c r="P68" s="51"/>
      <c r="Q68" s="51"/>
      <c r="R68" s="51"/>
      <c r="S68" s="51"/>
      <c r="T68" s="51"/>
      <c r="U68" s="51"/>
    </row>
    <row r="69" spans="1:22" x14ac:dyDescent="0.25">
      <c r="A69" s="584" t="s">
        <v>403</v>
      </c>
      <c r="B69" s="578"/>
      <c r="C69" s="112">
        <f>E30</f>
        <v>200.9</v>
      </c>
      <c r="D69" s="565" t="s">
        <v>414</v>
      </c>
      <c r="E69" s="565"/>
      <c r="F69" s="565"/>
      <c r="G69" s="565"/>
      <c r="H69" s="300">
        <f>'1461'!H69</f>
        <v>210228.91</v>
      </c>
      <c r="I69" s="113"/>
      <c r="N69" s="600" t="s">
        <v>407</v>
      </c>
      <c r="O69" s="601"/>
      <c r="P69" s="41">
        <f>P30</f>
        <v>0</v>
      </c>
      <c r="Q69" s="606" t="s">
        <v>409</v>
      </c>
      <c r="R69" s="607"/>
      <c r="S69" s="607"/>
      <c r="T69" s="604">
        <f>H69</f>
        <v>210228.91</v>
      </c>
      <c r="U69" s="604"/>
    </row>
    <row r="70" spans="1:22" x14ac:dyDescent="0.25">
      <c r="B70" s="69"/>
      <c r="G70" s="42" t="s">
        <v>12</v>
      </c>
      <c r="H70" s="114">
        <f>ROUND(C69/H69,6)</f>
        <v>9.5600000000000004E-4</v>
      </c>
      <c r="I70" s="115"/>
      <c r="N70" s="601"/>
      <c r="O70" s="601"/>
      <c r="P70" s="601"/>
      <c r="Q70" s="601"/>
      <c r="R70" s="601"/>
      <c r="S70" s="601"/>
      <c r="T70" s="605">
        <f>ROUND(P69/T69,6)</f>
        <v>0</v>
      </c>
      <c r="U70" s="605"/>
    </row>
    <row r="71" spans="1:22" x14ac:dyDescent="0.25">
      <c r="A71" s="442" t="s">
        <v>451</v>
      </c>
      <c r="N71" s="453" t="s">
        <v>459</v>
      </c>
      <c r="O71" s="51"/>
      <c r="P71" s="51"/>
      <c r="Q71" s="51"/>
      <c r="R71" s="51"/>
      <c r="S71" s="51"/>
      <c r="T71" s="51"/>
      <c r="U71" s="51"/>
    </row>
    <row r="72" spans="1:22" x14ac:dyDescent="0.25">
      <c r="A72" s="584" t="s">
        <v>404</v>
      </c>
      <c r="B72" s="578"/>
      <c r="C72" s="112">
        <f>H30</f>
        <v>224.87289999999996</v>
      </c>
      <c r="D72" s="565" t="s">
        <v>415</v>
      </c>
      <c r="E72" s="565"/>
      <c r="F72" s="565"/>
      <c r="G72" s="565"/>
      <c r="H72" s="301">
        <f>'1461'!H72</f>
        <v>234891.44</v>
      </c>
      <c r="I72" s="116"/>
      <c r="N72" s="600" t="s">
        <v>408</v>
      </c>
      <c r="O72" s="601"/>
      <c r="P72" s="41">
        <f>T30</f>
        <v>0</v>
      </c>
      <c r="Q72" s="606" t="s">
        <v>410</v>
      </c>
      <c r="R72" s="607"/>
      <c r="S72" s="607"/>
      <c r="T72" s="604">
        <f>H72</f>
        <v>234891.44</v>
      </c>
      <c r="U72" s="604"/>
    </row>
    <row r="73" spans="1:22" x14ac:dyDescent="0.25">
      <c r="G73" s="42" t="s">
        <v>12</v>
      </c>
      <c r="H73" s="114">
        <f>ROUND(C72/H72,6)</f>
        <v>9.5699999999999995E-4</v>
      </c>
      <c r="I73" s="114"/>
      <c r="N73" s="601"/>
      <c r="O73" s="601"/>
      <c r="P73" s="601"/>
      <c r="Q73" s="601"/>
      <c r="R73" s="601"/>
      <c r="S73" s="601"/>
      <c r="T73" s="605">
        <f>ROUND(P72/T72,6)</f>
        <v>0</v>
      </c>
      <c r="U73" s="605"/>
    </row>
    <row r="74" spans="1:22" x14ac:dyDescent="0.25">
      <c r="A74" s="417" t="s">
        <v>452</v>
      </c>
      <c r="B74" s="414"/>
      <c r="C74" s="414"/>
      <c r="D74" s="414"/>
      <c r="E74" s="414"/>
      <c r="F74" s="414"/>
      <c r="G74" s="414"/>
      <c r="H74" s="414"/>
      <c r="I74" s="414"/>
      <c r="N74" s="416" t="s">
        <v>460</v>
      </c>
      <c r="O74" s="415"/>
      <c r="P74" s="415"/>
      <c r="Q74" s="415"/>
      <c r="R74" s="415"/>
      <c r="S74" s="415"/>
      <c r="T74" s="415"/>
      <c r="U74" s="415"/>
      <c r="V74" s="414"/>
    </row>
    <row r="75" spans="1:22" x14ac:dyDescent="0.25">
      <c r="A75" s="584" t="s">
        <v>405</v>
      </c>
      <c r="B75" s="578"/>
      <c r="C75" s="112">
        <f>E30</f>
        <v>200.9</v>
      </c>
      <c r="D75" s="557" t="s">
        <v>416</v>
      </c>
      <c r="E75" s="557"/>
      <c r="F75" s="557"/>
      <c r="G75" s="557"/>
      <c r="H75" s="300">
        <f>'1461'!H75</f>
        <v>187665.41</v>
      </c>
      <c r="I75" s="113"/>
      <c r="N75" s="600" t="s">
        <v>406</v>
      </c>
      <c r="O75" s="601"/>
      <c r="P75" s="41">
        <f>P30</f>
        <v>0</v>
      </c>
      <c r="Q75" s="636" t="s">
        <v>411</v>
      </c>
      <c r="R75" s="637"/>
      <c r="S75" s="637"/>
      <c r="T75" s="604">
        <f>H75</f>
        <v>187665.41</v>
      </c>
      <c r="U75" s="604"/>
    </row>
    <row r="76" spans="1:22" x14ac:dyDescent="0.25">
      <c r="B76" s="69"/>
      <c r="G76" s="42" t="s">
        <v>12</v>
      </c>
      <c r="H76" s="114">
        <f>ROUND(C75/H75,6)</f>
        <v>1.0709999999999999E-3</v>
      </c>
      <c r="I76" s="115"/>
      <c r="N76" s="601"/>
      <c r="O76" s="601"/>
      <c r="P76" s="601"/>
      <c r="Q76" s="601"/>
      <c r="R76" s="601"/>
      <c r="S76" s="601"/>
      <c r="T76" s="605">
        <f>ROUND(P75/T75,6)</f>
        <v>0</v>
      </c>
      <c r="U76" s="605"/>
    </row>
    <row r="77" spans="1:22" x14ac:dyDescent="0.25">
      <c r="A77" s="417" t="s">
        <v>453</v>
      </c>
      <c r="B77" s="414"/>
      <c r="C77" s="414"/>
      <c r="D77" s="414"/>
      <c r="E77" s="414"/>
      <c r="F77" s="414"/>
      <c r="G77" s="414"/>
      <c r="H77" s="414"/>
      <c r="I77" s="414"/>
      <c r="N77" s="416" t="s">
        <v>461</v>
      </c>
      <c r="O77" s="415"/>
      <c r="P77" s="415"/>
      <c r="Q77" s="415"/>
      <c r="R77" s="415"/>
      <c r="S77" s="415"/>
      <c r="T77" s="415"/>
      <c r="U77" s="415"/>
      <c r="V77" s="414"/>
    </row>
    <row r="78" spans="1:22" x14ac:dyDescent="0.25">
      <c r="A78" s="584" t="s">
        <v>405</v>
      </c>
      <c r="B78" s="578"/>
      <c r="C78" s="112">
        <f>E30</f>
        <v>200.9</v>
      </c>
      <c r="D78" s="585" t="s">
        <v>417</v>
      </c>
      <c r="E78" s="585"/>
      <c r="F78" s="585"/>
      <c r="G78" s="585"/>
      <c r="H78" s="300">
        <f>'1461'!H78</f>
        <v>209892.26</v>
      </c>
      <c r="I78" s="113"/>
      <c r="N78" s="600" t="s">
        <v>406</v>
      </c>
      <c r="O78" s="601"/>
      <c r="P78" s="41">
        <f>P30</f>
        <v>0</v>
      </c>
      <c r="Q78" s="634" t="s">
        <v>412</v>
      </c>
      <c r="R78" s="635"/>
      <c r="S78" s="635"/>
      <c r="T78" s="604">
        <f>H78</f>
        <v>209892.26</v>
      </c>
      <c r="U78" s="604"/>
    </row>
    <row r="79" spans="1:22" x14ac:dyDescent="0.25">
      <c r="B79" s="69"/>
      <c r="G79" s="42" t="s">
        <v>12</v>
      </c>
      <c r="H79" s="114">
        <f>ROUND(C78/H78,6)</f>
        <v>9.5699999999999995E-4</v>
      </c>
      <c r="I79" s="115"/>
      <c r="N79" s="601"/>
      <c r="O79" s="601"/>
      <c r="P79" s="601"/>
      <c r="Q79" s="601"/>
      <c r="R79" s="601"/>
      <c r="S79" s="601"/>
      <c r="T79" s="605">
        <f>ROUND(P78/T78,6)</f>
        <v>0</v>
      </c>
      <c r="U79" s="605"/>
    </row>
    <row r="80" spans="1:22" x14ac:dyDescent="0.25">
      <c r="A80" s="417" t="s">
        <v>454</v>
      </c>
      <c r="B80" s="414"/>
      <c r="C80" s="414"/>
      <c r="D80" s="414"/>
      <c r="E80" s="414"/>
      <c r="F80" s="414"/>
      <c r="G80" s="414"/>
      <c r="H80" s="414"/>
      <c r="I80" s="414"/>
      <c r="N80" s="416" t="s">
        <v>462</v>
      </c>
      <c r="O80" s="415"/>
      <c r="P80" s="415"/>
      <c r="Q80" s="415"/>
      <c r="R80" s="415"/>
      <c r="S80" s="415"/>
      <c r="T80" s="415"/>
      <c r="U80" s="415"/>
      <c r="V80" s="414"/>
    </row>
    <row r="81" spans="1:21" x14ac:dyDescent="0.25">
      <c r="A81" s="584" t="s">
        <v>413</v>
      </c>
      <c r="B81" s="578"/>
      <c r="C81" s="112">
        <f>E30</f>
        <v>200.9</v>
      </c>
      <c r="D81" s="557" t="s">
        <v>418</v>
      </c>
      <c r="E81" s="557"/>
      <c r="F81" s="557"/>
      <c r="G81" s="557"/>
      <c r="H81" s="300">
        <f>'1461'!H81</f>
        <v>187328.76</v>
      </c>
      <c r="I81" s="113"/>
      <c r="N81" s="600" t="s">
        <v>419</v>
      </c>
      <c r="O81" s="601"/>
      <c r="P81" s="41">
        <f>P30</f>
        <v>0</v>
      </c>
      <c r="Q81" s="636" t="s">
        <v>420</v>
      </c>
      <c r="R81" s="637"/>
      <c r="S81" s="637"/>
      <c r="T81" s="604">
        <f>H81</f>
        <v>187328.76</v>
      </c>
      <c r="U81" s="604"/>
    </row>
    <row r="82" spans="1:21" x14ac:dyDescent="0.25">
      <c r="B82" s="69"/>
      <c r="G82" s="42" t="s">
        <v>12</v>
      </c>
      <c r="H82" s="114">
        <f>ROUND(C81/H81,6)</f>
        <v>1.072E-3</v>
      </c>
      <c r="I82" s="115"/>
      <c r="N82" s="601"/>
      <c r="O82" s="601"/>
      <c r="P82" s="601"/>
      <c r="Q82" s="601"/>
      <c r="R82" s="601"/>
      <c r="S82" s="601"/>
      <c r="T82" s="605">
        <f>ROUND(P81/T81,6)</f>
        <v>0</v>
      </c>
      <c r="U82" s="605"/>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455</v>
      </c>
      <c r="D85" s="69"/>
      <c r="E85" s="43" t="s">
        <v>299</v>
      </c>
      <c r="F85" s="302">
        <f>'1461'!F85</f>
        <v>46163704</v>
      </c>
      <c r="G85" s="37" t="s">
        <v>6</v>
      </c>
      <c r="H85" s="422">
        <f>H79</f>
        <v>9.5699999999999995E-4</v>
      </c>
      <c r="I85" s="101">
        <f>ROUND(F85*H85,2)</f>
        <v>44178.66</v>
      </c>
      <c r="N85" s="453" t="s">
        <v>455</v>
      </c>
      <c r="O85" s="51"/>
      <c r="P85" s="51"/>
      <c r="Q85" s="44"/>
      <c r="R85" s="419">
        <f>F85</f>
        <v>46163704</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87" t="s">
        <v>71</v>
      </c>
      <c r="B87" s="578"/>
      <c r="C87" s="578"/>
      <c r="D87" s="69"/>
      <c r="E87" s="43"/>
      <c r="F87" s="117"/>
      <c r="G87" s="37"/>
      <c r="H87" s="422"/>
      <c r="I87" s="101"/>
      <c r="N87" s="600" t="s">
        <v>463</v>
      </c>
      <c r="O87" s="601"/>
      <c r="P87" s="601"/>
      <c r="Q87" s="51"/>
      <c r="R87" s="420"/>
      <c r="S87" s="51"/>
      <c r="T87" s="38"/>
      <c r="U87" s="478"/>
    </row>
    <row r="88" spans="1:21" x14ac:dyDescent="0.25">
      <c r="A88" s="587" t="s">
        <v>99</v>
      </c>
      <c r="B88" s="578"/>
      <c r="C88" s="578"/>
      <c r="D88" s="69"/>
      <c r="E88" s="43" t="s">
        <v>3</v>
      </c>
      <c r="F88" s="302">
        <f>'1461'!F88</f>
        <v>0</v>
      </c>
      <c r="G88" s="37" t="s">
        <v>6</v>
      </c>
      <c r="H88" s="422">
        <f>H70</f>
        <v>9.5600000000000004E-4</v>
      </c>
      <c r="I88" s="101">
        <f>ROUND(F88*H88,2)</f>
        <v>0</v>
      </c>
      <c r="N88" s="638" t="s">
        <v>99</v>
      </c>
      <c r="O88" s="601"/>
      <c r="P88" s="601"/>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456</v>
      </c>
      <c r="D90" s="69"/>
      <c r="E90" s="43" t="s">
        <v>421</v>
      </c>
      <c r="F90" s="302">
        <f>'1461'!F90</f>
        <v>19042026</v>
      </c>
      <c r="G90" s="37" t="s">
        <v>6</v>
      </c>
      <c r="H90" s="422">
        <f>H82</f>
        <v>1.072E-3</v>
      </c>
      <c r="I90" s="101">
        <f>ROUND(F90*H90,2)</f>
        <v>20413.05</v>
      </c>
      <c r="N90" s="453" t="s">
        <v>456</v>
      </c>
      <c r="O90" s="51"/>
      <c r="P90" s="51"/>
      <c r="Q90" s="44"/>
      <c r="R90" s="419">
        <f>F90</f>
        <v>19042026</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457</v>
      </c>
      <c r="D92" s="69"/>
      <c r="E92" s="43" t="s">
        <v>3</v>
      </c>
      <c r="F92" s="302">
        <f>'1461'!F92</f>
        <v>11441151</v>
      </c>
      <c r="G92" s="37" t="s">
        <v>6</v>
      </c>
      <c r="H92" s="422">
        <f>H76</f>
        <v>1.0709999999999999E-3</v>
      </c>
      <c r="I92" s="101">
        <f t="shared" ref="I92:I96" si="14">ROUND(F92*H92,2)</f>
        <v>12253.47</v>
      </c>
      <c r="N92" s="453" t="s">
        <v>457</v>
      </c>
      <c r="O92" s="51"/>
      <c r="P92" s="51"/>
      <c r="Q92" s="44"/>
      <c r="R92" s="419">
        <f t="shared" ref="R92:R96" si="15">F92</f>
        <v>11441151</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84" t="s">
        <v>422</v>
      </c>
      <c r="B94" s="578"/>
      <c r="C94" s="578"/>
      <c r="D94" s="69"/>
      <c r="E94" s="43" t="s">
        <v>4</v>
      </c>
      <c r="F94" s="302">
        <f>'1461'!F94</f>
        <v>247265670</v>
      </c>
      <c r="G94" s="37" t="s">
        <v>6</v>
      </c>
      <c r="H94" s="422">
        <f>H73</f>
        <v>9.5699999999999995E-4</v>
      </c>
      <c r="I94" s="101">
        <f t="shared" si="14"/>
        <v>236633.25</v>
      </c>
      <c r="N94" s="601" t="s">
        <v>422</v>
      </c>
      <c r="O94" s="601"/>
      <c r="P94" s="601"/>
      <c r="Q94" s="44"/>
      <c r="R94" s="419">
        <f t="shared" si="15"/>
        <v>247265670</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4" t="s">
        <v>423</v>
      </c>
      <c r="B96" s="578"/>
      <c r="C96" s="578"/>
      <c r="D96" s="69"/>
      <c r="E96" s="43" t="s">
        <v>4</v>
      </c>
      <c r="F96" s="302">
        <f>'1461'!F96</f>
        <v>0</v>
      </c>
      <c r="G96" s="37" t="s">
        <v>6</v>
      </c>
      <c r="H96" s="422">
        <f>H73</f>
        <v>9.5699999999999995E-4</v>
      </c>
      <c r="I96" s="101">
        <f t="shared" si="14"/>
        <v>0</v>
      </c>
      <c r="N96" s="600" t="s">
        <v>423</v>
      </c>
      <c r="O96" s="601"/>
      <c r="P96" s="601"/>
      <c r="Q96" s="44"/>
      <c r="R96" s="419">
        <f t="shared" si="15"/>
        <v>0</v>
      </c>
      <c r="S96" s="38" t="s">
        <v>6</v>
      </c>
      <c r="T96" s="421">
        <f>T73</f>
        <v>0</v>
      </c>
      <c r="U96" s="473">
        <f>ROUND(R96*T96,2)</f>
        <v>0</v>
      </c>
    </row>
    <row r="97" spans="1:21" x14ac:dyDescent="0.25">
      <c r="A97" s="530"/>
      <c r="B97" s="529"/>
      <c r="C97" s="529"/>
      <c r="D97" s="529"/>
      <c r="E97" s="527"/>
      <c r="F97" s="117"/>
      <c r="G97" s="528"/>
      <c r="H97" s="422"/>
      <c r="I97" s="101"/>
      <c r="N97" s="533"/>
      <c r="O97" s="532"/>
      <c r="P97" s="532"/>
      <c r="Q97" s="44"/>
      <c r="R97" s="535"/>
      <c r="S97" s="534"/>
      <c r="T97" s="421"/>
      <c r="U97" s="477"/>
    </row>
    <row r="98" spans="1:21" x14ac:dyDescent="0.25">
      <c r="A98" s="530" t="s">
        <v>497</v>
      </c>
      <c r="B98" s="529"/>
      <c r="C98" s="529"/>
      <c r="D98" s="529"/>
      <c r="E98" s="527" t="s">
        <v>3</v>
      </c>
      <c r="F98" s="290">
        <v>0</v>
      </c>
      <c r="G98" s="528" t="s">
        <v>6</v>
      </c>
      <c r="H98" s="422">
        <f>H70</f>
        <v>9.5600000000000004E-4</v>
      </c>
      <c r="I98" s="101">
        <f t="shared" ref="I98" si="16">ROUND(F98*H98,2)</f>
        <v>0</v>
      </c>
      <c r="N98" s="533" t="s">
        <v>497</v>
      </c>
      <c r="O98" s="533"/>
      <c r="P98" s="533"/>
      <c r="Q98" s="44"/>
      <c r="R98" s="536">
        <f>F98</f>
        <v>0</v>
      </c>
      <c r="S98" s="534" t="s">
        <v>6</v>
      </c>
      <c r="T98" s="421">
        <f>T70</f>
        <v>0</v>
      </c>
      <c r="U98" s="473">
        <f>ROUND(R98*T98,2)</f>
        <v>0</v>
      </c>
    </row>
    <row r="99" spans="1:21" x14ac:dyDescent="0.25">
      <c r="A99" s="530"/>
      <c r="B99" s="529"/>
      <c r="C99" s="529"/>
      <c r="D99" s="529"/>
      <c r="E99" s="527"/>
      <c r="F99" s="276"/>
      <c r="G99" s="528"/>
      <c r="H99" s="422"/>
      <c r="I99" s="101"/>
      <c r="N99" s="533"/>
      <c r="O99" s="533"/>
      <c r="P99" s="533"/>
      <c r="Q99" s="44"/>
      <c r="R99" s="535"/>
      <c r="S99" s="534"/>
      <c r="T99" s="421"/>
      <c r="U99" s="477"/>
    </row>
    <row r="100" spans="1:21" x14ac:dyDescent="0.25">
      <c r="A100" s="530"/>
      <c r="B100" s="529"/>
      <c r="C100" s="529"/>
      <c r="D100" s="529"/>
      <c r="E100" s="527"/>
      <c r="F100" s="276"/>
      <c r="G100" s="528"/>
      <c r="H100" s="422"/>
      <c r="I100" s="101"/>
      <c r="N100" s="533"/>
      <c r="O100" s="533"/>
      <c r="P100" s="533"/>
      <c r="Q100" s="44"/>
      <c r="R100" s="420"/>
      <c r="S100" s="534"/>
      <c r="T100" s="421"/>
      <c r="U100" s="103"/>
    </row>
    <row r="101" spans="1:21" x14ac:dyDescent="0.25">
      <c r="A101" s="399" t="s">
        <v>498</v>
      </c>
      <c r="N101" s="407" t="s">
        <v>498</v>
      </c>
      <c r="O101" s="51"/>
      <c r="P101" s="51"/>
      <c r="Q101" s="51"/>
      <c r="R101" s="51"/>
      <c r="S101" s="51"/>
      <c r="T101" s="51"/>
      <c r="U101" s="51"/>
    </row>
    <row r="102" spans="1:21" x14ac:dyDescent="0.25">
      <c r="B102" s="69"/>
      <c r="C102" s="563" t="s">
        <v>60</v>
      </c>
      <c r="D102" s="563"/>
      <c r="E102" s="69"/>
      <c r="F102" s="39" t="s">
        <v>28</v>
      </c>
      <c r="G102" s="69"/>
      <c r="H102" s="69"/>
      <c r="I102" s="69"/>
      <c r="N102" s="45"/>
      <c r="O102" s="45"/>
      <c r="P102" s="45"/>
      <c r="Q102" s="45"/>
      <c r="R102" s="45"/>
      <c r="S102" s="45"/>
      <c r="T102" s="45"/>
      <c r="U102" s="45"/>
    </row>
    <row r="103" spans="1:21" x14ac:dyDescent="0.25">
      <c r="A103" s="3"/>
      <c r="B103" s="118"/>
      <c r="C103" s="564" t="s">
        <v>101</v>
      </c>
      <c r="D103" s="564"/>
      <c r="E103" s="423" t="s">
        <v>426</v>
      </c>
      <c r="F103" s="120" t="s">
        <v>106</v>
      </c>
      <c r="G103" s="121"/>
      <c r="H103" s="121"/>
      <c r="I103" s="121"/>
      <c r="N103" s="631" t="s">
        <v>35</v>
      </c>
      <c r="O103" s="631"/>
      <c r="P103" s="672" t="s">
        <v>428</v>
      </c>
      <c r="Q103" s="633"/>
      <c r="R103" s="604" t="s">
        <v>31</v>
      </c>
      <c r="S103" s="604"/>
      <c r="T103" s="604"/>
      <c r="U103" s="604"/>
    </row>
    <row r="104" spans="1:21" x14ac:dyDescent="0.25">
      <c r="A104" s="26"/>
      <c r="B104" s="52" t="s">
        <v>105</v>
      </c>
      <c r="C104" s="596">
        <f>H14+H15+H20+H23+H26</f>
        <v>164.7927</v>
      </c>
      <c r="D104" s="596"/>
      <c r="E104" s="46">
        <f>H8</f>
        <v>1.0407999999999999</v>
      </c>
      <c r="F104" s="303">
        <f>'1461'!F104</f>
        <v>950.92</v>
      </c>
      <c r="G104" s="39" t="s">
        <v>12</v>
      </c>
      <c r="H104" s="101">
        <f>ROUND(C104*E104*F104,2)</f>
        <v>163098.22</v>
      </c>
      <c r="I104" s="104"/>
      <c r="N104" s="28" t="s">
        <v>17</v>
      </c>
      <c r="O104" s="47">
        <f>T14+T15+T20+T23+T26</f>
        <v>0</v>
      </c>
      <c r="P104" s="611">
        <f>T8</f>
        <v>1.0407999999999999</v>
      </c>
      <c r="Q104" s="611"/>
      <c r="R104" s="48">
        <f>F104</f>
        <v>950.92</v>
      </c>
      <c r="S104" s="40" t="s">
        <v>12</v>
      </c>
      <c r="T104" s="479">
        <f>ROUND(O104*P104*R104,2)</f>
        <v>0</v>
      </c>
      <c r="U104" s="102"/>
    </row>
    <row r="105" spans="1:21" x14ac:dyDescent="0.25">
      <c r="A105" s="49"/>
      <c r="B105" s="49" t="s">
        <v>104</v>
      </c>
      <c r="C105" s="596">
        <f>H16+H17+H21+H24+H27</f>
        <v>60.080200000000005</v>
      </c>
      <c r="D105" s="596"/>
      <c r="E105" s="46">
        <f>H8</f>
        <v>1.0407999999999999</v>
      </c>
      <c r="F105" s="303">
        <f>'1461'!F105</f>
        <v>907.92</v>
      </c>
      <c r="G105" s="39" t="s">
        <v>12</v>
      </c>
      <c r="H105" s="101">
        <f>ROUND(C105*E105*F105,2)</f>
        <v>56773.57</v>
      </c>
      <c r="N105" s="50" t="s">
        <v>13</v>
      </c>
      <c r="O105" s="47">
        <f>T16+T17+T21+T24+T27</f>
        <v>0</v>
      </c>
      <c r="P105" s="611">
        <f>T8</f>
        <v>1.0407999999999999</v>
      </c>
      <c r="Q105" s="611"/>
      <c r="R105" s="48">
        <f>F105</f>
        <v>907.92</v>
      </c>
      <c r="S105" s="40" t="s">
        <v>12</v>
      </c>
      <c r="T105" s="479">
        <f>ROUND(O105*P105*R105,2)</f>
        <v>0</v>
      </c>
      <c r="U105" s="51"/>
    </row>
    <row r="106" spans="1:21" ht="16.5" thickBot="1" x14ac:dyDescent="0.3">
      <c r="A106" s="52"/>
      <c r="B106" s="52" t="s">
        <v>103</v>
      </c>
      <c r="C106" s="596">
        <f>H18+H19+H22+H25+H28+H29</f>
        <v>0</v>
      </c>
      <c r="D106" s="596"/>
      <c r="E106" s="46">
        <f>H8</f>
        <v>1.0407999999999999</v>
      </c>
      <c r="F106" s="303">
        <f>'1461'!F106</f>
        <v>910.12</v>
      </c>
      <c r="G106" s="39" t="s">
        <v>12</v>
      </c>
      <c r="H106" s="94">
        <f>ROUND(C106*E106*F106,2)</f>
        <v>0</v>
      </c>
      <c r="N106" s="53" t="s">
        <v>14</v>
      </c>
      <c r="O106" s="54">
        <f>T18+T19+T22+T25+T28+T29</f>
        <v>0</v>
      </c>
      <c r="P106" s="611">
        <f>T8</f>
        <v>1.0407999999999999</v>
      </c>
      <c r="Q106" s="611"/>
      <c r="R106" s="48">
        <f>F106</f>
        <v>910.12</v>
      </c>
      <c r="S106" s="40" t="s">
        <v>12</v>
      </c>
      <c r="T106" s="479">
        <f>ROUND(O106*P106*R106,2)</f>
        <v>0</v>
      </c>
      <c r="U106" s="51"/>
    </row>
    <row r="107" spans="1:21" ht="16.5" thickBot="1" x14ac:dyDescent="0.3">
      <c r="A107" s="55"/>
      <c r="B107" s="122" t="s">
        <v>102</v>
      </c>
      <c r="C107" s="586">
        <f>SUM(C104:C106)</f>
        <v>224.87290000000002</v>
      </c>
      <c r="D107" s="586"/>
      <c r="E107" s="123"/>
      <c r="F107" s="123"/>
      <c r="G107" s="123"/>
      <c r="H107" s="124" t="s">
        <v>100</v>
      </c>
      <c r="I107" s="101">
        <f>IF(A1=75,0,H106+H105+H104)</f>
        <v>219871.79</v>
      </c>
      <c r="N107" s="56" t="s">
        <v>89</v>
      </c>
      <c r="O107" s="57">
        <f>SUM(O104:O106)</f>
        <v>0</v>
      </c>
      <c r="P107" s="612" t="s">
        <v>16</v>
      </c>
      <c r="Q107" s="613"/>
      <c r="R107" s="613"/>
      <c r="S107" s="613"/>
      <c r="T107" s="613"/>
      <c r="U107" s="473">
        <f>IF(N1=75,0,T106+T105+T104)</f>
        <v>0</v>
      </c>
    </row>
    <row r="108" spans="1:21" ht="16.5" thickTop="1" x14ac:dyDescent="0.25">
      <c r="A108" s="555" t="s">
        <v>65</v>
      </c>
      <c r="B108" s="555"/>
      <c r="C108" s="555"/>
      <c r="D108" s="555"/>
      <c r="E108" s="555"/>
      <c r="F108" s="555"/>
      <c r="G108" s="555"/>
      <c r="H108" s="555"/>
      <c r="I108" s="555"/>
      <c r="N108" s="614" t="s">
        <v>65</v>
      </c>
      <c r="O108" s="614"/>
      <c r="P108" s="614"/>
      <c r="Q108" s="614"/>
      <c r="R108" s="614"/>
      <c r="S108" s="614"/>
      <c r="T108" s="614"/>
      <c r="U108" s="614"/>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0" t="s">
        <v>499</v>
      </c>
      <c r="C110" s="43"/>
      <c r="D110" s="69"/>
      <c r="E110" s="43" t="s">
        <v>32</v>
      </c>
      <c r="F110" s="556"/>
      <c r="G110" s="556"/>
      <c r="H110" s="556"/>
      <c r="I110" s="556"/>
      <c r="N110" s="600" t="s">
        <v>499</v>
      </c>
      <c r="O110" s="601"/>
      <c r="P110" s="601"/>
      <c r="Q110" s="615"/>
      <c r="R110" s="615"/>
      <c r="S110" s="615"/>
      <c r="T110" s="615"/>
      <c r="U110" s="103"/>
    </row>
    <row r="111" spans="1:21" x14ac:dyDescent="0.25">
      <c r="B111" s="69"/>
      <c r="C111" s="88" t="s">
        <v>494</v>
      </c>
      <c r="D111" s="333" t="s">
        <v>495</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57" t="s">
        <v>381</v>
      </c>
      <c r="B113" s="558"/>
      <c r="C113" s="143">
        <v>25</v>
      </c>
      <c r="D113" s="143">
        <v>32</v>
      </c>
      <c r="E113" s="116">
        <f>(C113+D113)/2</f>
        <v>28.5</v>
      </c>
      <c r="F113" s="126" t="s">
        <v>30</v>
      </c>
      <c r="G113" s="304">
        <f>'1461'!G113</f>
        <v>576</v>
      </c>
      <c r="I113" s="101">
        <f>ROUND(G113*E113,2)</f>
        <v>16416</v>
      </c>
      <c r="N113" s="630" t="s">
        <v>52</v>
      </c>
      <c r="O113" s="630"/>
      <c r="P113" s="610">
        <f>IF(H133=1,E113,0)</f>
        <v>0</v>
      </c>
      <c r="Q113" s="610"/>
      <c r="R113" s="610"/>
      <c r="S113" s="83" t="s">
        <v>30</v>
      </c>
      <c r="T113" s="58">
        <f>G113</f>
        <v>576</v>
      </c>
      <c r="U113" s="473">
        <f>ROUND(T113*P113,2)</f>
        <v>0</v>
      </c>
    </row>
    <row r="114" spans="1:21" x14ac:dyDescent="0.25">
      <c r="A114" s="557" t="s">
        <v>382</v>
      </c>
      <c r="B114" s="558"/>
      <c r="C114" s="143">
        <v>0</v>
      </c>
      <c r="D114" s="143">
        <v>0</v>
      </c>
      <c r="E114" s="116">
        <f>(C114+D114)/2</f>
        <v>0</v>
      </c>
      <c r="F114" s="126" t="s">
        <v>30</v>
      </c>
      <c r="G114" s="304">
        <f>'1461'!G114</f>
        <v>1823</v>
      </c>
      <c r="I114" s="101">
        <f>ROUND(G114*E114,2)</f>
        <v>0</v>
      </c>
      <c r="N114" s="630" t="s">
        <v>64</v>
      </c>
      <c r="O114" s="630"/>
      <c r="P114" s="608"/>
      <c r="Q114" s="608"/>
      <c r="R114" s="608"/>
      <c r="S114" s="83" t="s">
        <v>30</v>
      </c>
      <c r="T114" s="58">
        <f>G114</f>
        <v>1823</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4" t="s">
        <v>430</v>
      </c>
      <c r="B117" s="578"/>
      <c r="C117" s="578"/>
      <c r="D117" s="69"/>
      <c r="E117" s="39" t="s">
        <v>300</v>
      </c>
      <c r="F117" s="563"/>
      <c r="G117" s="563"/>
      <c r="H117" s="563"/>
      <c r="I117" s="563"/>
      <c r="N117" s="600" t="s">
        <v>431</v>
      </c>
      <c r="O117" s="601"/>
      <c r="P117" s="601"/>
      <c r="Q117" s="601"/>
      <c r="R117" s="601"/>
      <c r="S117" s="601"/>
      <c r="T117" s="601"/>
      <c r="U117" s="601"/>
    </row>
    <row r="118" spans="1:21" hidden="1" x14ac:dyDescent="0.25">
      <c r="B118" s="69"/>
      <c r="C118" s="564" t="s">
        <v>66</v>
      </c>
      <c r="D118" s="564"/>
      <c r="E118" s="564"/>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5" t="s">
        <v>109</v>
      </c>
      <c r="G119" s="563"/>
      <c r="H119" s="37" t="s">
        <v>29</v>
      </c>
      <c r="I119" s="37"/>
      <c r="N119" s="45"/>
      <c r="O119" s="45"/>
      <c r="P119" s="45"/>
      <c r="Q119" s="45"/>
      <c r="R119" s="45"/>
      <c r="S119" s="45"/>
      <c r="T119" s="45"/>
      <c r="U119" s="45"/>
    </row>
    <row r="120" spans="1:21" hidden="1" x14ac:dyDescent="0.25">
      <c r="A120" s="564" t="s">
        <v>69</v>
      </c>
      <c r="B120" s="564"/>
      <c r="C120" s="90" t="s">
        <v>2</v>
      </c>
      <c r="D120" s="90" t="s">
        <v>2</v>
      </c>
      <c r="E120" s="59" t="s">
        <v>2</v>
      </c>
      <c r="F120" s="564" t="s">
        <v>28</v>
      </c>
      <c r="G120" s="564"/>
      <c r="H120" s="59" t="s">
        <v>28</v>
      </c>
      <c r="I120" s="59" t="s">
        <v>8</v>
      </c>
      <c r="N120" s="609" t="s">
        <v>53</v>
      </c>
      <c r="O120" s="609"/>
      <c r="P120" s="610" t="s">
        <v>66</v>
      </c>
      <c r="Q120" s="610"/>
      <c r="R120" s="609" t="s">
        <v>54</v>
      </c>
      <c r="S120" s="609"/>
      <c r="T120" s="60" t="s">
        <v>55</v>
      </c>
      <c r="U120" s="60" t="s">
        <v>8</v>
      </c>
    </row>
    <row r="121" spans="1:21" hidden="1" x14ac:dyDescent="0.25">
      <c r="A121" s="561" t="s">
        <v>56</v>
      </c>
      <c r="B121" s="561"/>
      <c r="C121" s="141">
        <v>0</v>
      </c>
      <c r="D121" s="141">
        <v>0</v>
      </c>
      <c r="E121" s="187">
        <f>IF(D30=0,C121*2,C121+D121)</f>
        <v>0</v>
      </c>
      <c r="F121" s="562">
        <v>0</v>
      </c>
      <c r="G121" s="562"/>
      <c r="H121" s="224">
        <f>IF(C121=0,0,125)</f>
        <v>0</v>
      </c>
      <c r="I121" s="101">
        <f>ROUND((H121+F121)*E121,2)</f>
        <v>0</v>
      </c>
      <c r="N121" s="601" t="s">
        <v>56</v>
      </c>
      <c r="O121" s="601"/>
      <c r="P121" s="608">
        <f>IF(H$133=1,C121,0)</f>
        <v>0</v>
      </c>
      <c r="Q121" s="608"/>
      <c r="R121" s="628">
        <f>F121</f>
        <v>0</v>
      </c>
      <c r="S121" s="628"/>
      <c r="T121" s="62">
        <f>H121</f>
        <v>0</v>
      </c>
      <c r="U121" s="96">
        <f>ROUND((T121+R121)*P121,0)</f>
        <v>0</v>
      </c>
    </row>
    <row r="122" spans="1:21" hidden="1" x14ac:dyDescent="0.25">
      <c r="A122" s="581" t="s">
        <v>57</v>
      </c>
      <c r="B122" s="581"/>
      <c r="C122" s="143">
        <v>0</v>
      </c>
      <c r="D122" s="143">
        <v>0</v>
      </c>
      <c r="E122" s="116">
        <f>IF(D31=0,C122*2,C122+D122)</f>
        <v>0</v>
      </c>
      <c r="F122" s="598">
        <f>ROUND(F121/2,2)</f>
        <v>0</v>
      </c>
      <c r="G122" s="598"/>
      <c r="H122" s="224">
        <f>IF(C122=0,0,62.5)</f>
        <v>0</v>
      </c>
      <c r="I122" s="101">
        <f>ROUND((H122+F122)*E122,2)</f>
        <v>0</v>
      </c>
      <c r="N122" s="601" t="s">
        <v>57</v>
      </c>
      <c r="O122" s="601"/>
      <c r="P122" s="608">
        <f>IF(H$133=1,C122,0)</f>
        <v>0</v>
      </c>
      <c r="Q122" s="608"/>
      <c r="R122" s="629">
        <f>ROUND(R121/2,2)</f>
        <v>0</v>
      </c>
      <c r="S122" s="629"/>
      <c r="T122" s="62">
        <f>H122</f>
        <v>0</v>
      </c>
      <c r="U122" s="96">
        <f>ROUND((T122+R122)*P122,0)</f>
        <v>0</v>
      </c>
    </row>
    <row r="123" spans="1:21" ht="16.5" hidden="1" thickBot="1" x14ac:dyDescent="0.3">
      <c r="A123" s="581" t="s">
        <v>58</v>
      </c>
      <c r="B123" s="581"/>
      <c r="C123" s="143">
        <v>0</v>
      </c>
      <c r="D123" s="143">
        <v>0</v>
      </c>
      <c r="E123" s="116">
        <f>IF(D32=0,C123*2,C123+D123)</f>
        <v>0</v>
      </c>
      <c r="F123" s="599"/>
      <c r="G123" s="599"/>
      <c r="H123" s="225">
        <f>IF(H121&gt;0,436,0)</f>
        <v>0</v>
      </c>
      <c r="I123" s="101">
        <f>ROUND(H123*E123,2)</f>
        <v>0</v>
      </c>
      <c r="N123" s="616" t="s">
        <v>58</v>
      </c>
      <c r="O123" s="616"/>
      <c r="P123" s="608">
        <f>IF(H$133=1,C123,0)</f>
        <v>0</v>
      </c>
      <c r="Q123" s="608"/>
      <c r="R123" s="609"/>
      <c r="S123" s="609"/>
      <c r="T123" s="64">
        <f>H123</f>
        <v>0</v>
      </c>
      <c r="U123" s="103">
        <f>ROUND(T123*P123,0)</f>
        <v>0</v>
      </c>
    </row>
    <row r="124" spans="1:21" ht="16.5" hidden="1" thickBot="1" x14ac:dyDescent="0.3">
      <c r="A124" s="563" t="s">
        <v>8</v>
      </c>
      <c r="B124" s="563"/>
      <c r="C124" s="65"/>
      <c r="D124" s="65"/>
      <c r="E124" s="65"/>
      <c r="F124" s="65"/>
      <c r="G124" s="65"/>
      <c r="H124" s="65"/>
      <c r="I124" s="97">
        <f>SUM(I121:I123)</f>
        <v>0</v>
      </c>
      <c r="N124" s="627" t="s">
        <v>8</v>
      </c>
      <c r="O124" s="627"/>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4" t="s">
        <v>432</v>
      </c>
      <c r="B126" s="578"/>
      <c r="C126" s="578"/>
      <c r="D126" s="69"/>
      <c r="E126" s="68" t="s">
        <v>34</v>
      </c>
      <c r="F126" s="597"/>
      <c r="G126" s="597"/>
      <c r="H126" s="597"/>
      <c r="I126" s="154">
        <v>0</v>
      </c>
      <c r="N126" s="600" t="s">
        <v>432</v>
      </c>
      <c r="O126" s="601"/>
      <c r="P126" s="601"/>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90" t="s">
        <v>8</v>
      </c>
      <c r="B128" s="590"/>
      <c r="C128" s="590"/>
      <c r="D128" s="590"/>
      <c r="E128" s="590"/>
      <c r="F128" s="590"/>
      <c r="G128" s="590"/>
      <c r="H128" s="590"/>
      <c r="I128" s="94">
        <f>SUM(I46,I66,I85,I88,I90,I92,I94,I96,I107,I113,I114,I124,I126)</f>
        <v>1818230.13</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434</v>
      </c>
      <c r="B130" s="26"/>
      <c r="C130" s="26"/>
      <c r="D130" s="26"/>
      <c r="E130" s="26"/>
      <c r="F130" s="26"/>
      <c r="G130" s="26"/>
      <c r="H130" s="26"/>
      <c r="I130" s="101">
        <f>I128-I53</f>
        <v>1744241.2999999998</v>
      </c>
      <c r="N130" s="601" t="s">
        <v>434</v>
      </c>
      <c r="O130" s="601"/>
      <c r="P130" s="601"/>
      <c r="Q130" s="601"/>
      <c r="R130" s="601"/>
      <c r="S130" s="601"/>
      <c r="T130" s="601"/>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4" t="s">
        <v>502</v>
      </c>
      <c r="B132" s="578"/>
      <c r="C132" s="578"/>
      <c r="D132" s="578"/>
      <c r="E132" s="578"/>
      <c r="F132" s="578"/>
      <c r="G132" s="578"/>
      <c r="H132" s="81" t="s">
        <v>333</v>
      </c>
      <c r="I132" s="134"/>
      <c r="N132" s="600" t="s">
        <v>502</v>
      </c>
      <c r="O132" s="601"/>
      <c r="P132" s="601"/>
      <c r="Q132" s="601"/>
      <c r="R132" s="601"/>
      <c r="S132" s="601"/>
      <c r="T132" s="601"/>
      <c r="U132" s="138"/>
    </row>
    <row r="133" spans="1:21" x14ac:dyDescent="0.25">
      <c r="A133" s="578" t="s">
        <v>70</v>
      </c>
      <c r="B133" s="578"/>
      <c r="C133" s="578"/>
      <c r="D133" s="578"/>
      <c r="E133" s="578"/>
      <c r="F133" s="578"/>
      <c r="G133" s="578"/>
      <c r="H133" s="70" t="str">
        <f>IF(E30=0,"",IF((E15+E17+SUM(E19:E25))/E30&gt;0.75,1,""))</f>
        <v/>
      </c>
      <c r="I133" s="116">
        <f>U130</f>
        <v>0</v>
      </c>
      <c r="N133" s="601" t="s">
        <v>70</v>
      </c>
      <c r="O133" s="601"/>
      <c r="P133" s="601"/>
      <c r="Q133" s="601"/>
      <c r="R133" s="601"/>
      <c r="S133" s="601"/>
      <c r="T133" s="601"/>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1744241.2999999998</v>
      </c>
      <c r="I135" s="94">
        <f>ROUND(IF(E30=0,0,IF(E30&gt;250,-(((250/E30)*H135)*IF(G135="H",0.02,0.05)),IF(G135="H",-0.02*H135,-0.05*H135))),2)</f>
        <v>-87212.07</v>
      </c>
      <c r="N135" s="626"/>
      <c r="O135" s="626"/>
      <c r="P135" s="626"/>
      <c r="Q135" s="626"/>
      <c r="R135" s="626"/>
      <c r="S135" s="626"/>
      <c r="T135" s="626"/>
      <c r="U135" s="626"/>
    </row>
    <row r="136" spans="1:21" x14ac:dyDescent="0.25">
      <c r="B136" s="69"/>
      <c r="C136" s="69"/>
      <c r="D136" s="69"/>
      <c r="E136" s="69"/>
      <c r="F136" s="69"/>
      <c r="G136" s="69"/>
      <c r="H136" s="65"/>
      <c r="I136" s="101"/>
      <c r="N136" s="624" t="s">
        <v>7</v>
      </c>
      <c r="O136" s="624"/>
      <c r="P136" s="624"/>
      <c r="Q136" s="624"/>
      <c r="R136" s="624"/>
      <c r="S136" s="624"/>
      <c r="T136" s="624"/>
      <c r="U136" s="624"/>
    </row>
    <row r="137" spans="1:21" x14ac:dyDescent="0.25">
      <c r="A137" s="309" t="s">
        <v>74</v>
      </c>
      <c r="B137" s="310"/>
      <c r="C137" s="310"/>
      <c r="D137" s="310"/>
      <c r="E137" s="310"/>
      <c r="F137" s="310"/>
      <c r="G137" s="310"/>
      <c r="H137" s="311"/>
      <c r="I137" s="312">
        <f>I128+I135</f>
        <v>1731018.0599999998</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Payments'!Q81</f>
        <v>0</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1731018.0599999998</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144251.51</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-0.01</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372</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373</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374</v>
      </c>
      <c r="B155" s="252"/>
      <c r="C155" s="252"/>
      <c r="D155" s="252"/>
      <c r="E155" s="252"/>
      <c r="F155" s="252"/>
      <c r="G155" s="252"/>
      <c r="H155" s="252"/>
      <c r="I155" s="252"/>
      <c r="N155" s="625"/>
      <c r="O155" s="625"/>
      <c r="P155" s="625"/>
      <c r="Q155" s="625"/>
      <c r="R155" s="625"/>
      <c r="S155" s="625"/>
      <c r="T155" s="625"/>
      <c r="U155" s="625"/>
    </row>
    <row r="156" spans="1:21" s="76" customFormat="1" x14ac:dyDescent="0.2">
      <c r="A156" s="320" t="s">
        <v>375</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376</v>
      </c>
      <c r="B157" s="252"/>
      <c r="C157" s="252"/>
      <c r="D157" s="252"/>
      <c r="E157" s="252"/>
      <c r="F157" s="252"/>
      <c r="G157" s="252"/>
      <c r="H157" s="252"/>
      <c r="I157" s="252"/>
      <c r="N157" s="78"/>
      <c r="O157" s="79"/>
      <c r="P157" s="79"/>
      <c r="Q157" s="79"/>
      <c r="R157" s="79"/>
      <c r="S157" s="79"/>
      <c r="T157" s="79"/>
      <c r="U157" s="79"/>
    </row>
    <row r="158" spans="1:21" s="76" customFormat="1" x14ac:dyDescent="0.2">
      <c r="A158" s="320" t="s">
        <v>377</v>
      </c>
      <c r="B158" s="252"/>
      <c r="C158" s="252"/>
      <c r="D158" s="252"/>
      <c r="E158" s="252"/>
      <c r="F158" s="252"/>
      <c r="G158" s="252"/>
      <c r="H158" s="252"/>
      <c r="I158" s="252"/>
      <c r="N158" s="78"/>
    </row>
    <row r="159" spans="1:21" s="76" customFormat="1" x14ac:dyDescent="0.2">
      <c r="A159" s="320" t="s">
        <v>379</v>
      </c>
      <c r="B159" s="252"/>
      <c r="C159" s="252"/>
      <c r="D159" s="252"/>
      <c r="E159" s="252"/>
      <c r="F159" s="252"/>
      <c r="G159" s="252"/>
      <c r="H159" s="252"/>
      <c r="I159" s="252"/>
      <c r="N159" s="78"/>
    </row>
    <row r="160" spans="1:21" s="76" customFormat="1" x14ac:dyDescent="0.2">
      <c r="A160" s="385" t="s">
        <v>378</v>
      </c>
      <c r="B160" s="252"/>
      <c r="C160" s="252"/>
      <c r="D160" s="252"/>
      <c r="E160" s="252"/>
      <c r="F160" s="252"/>
      <c r="G160" s="252"/>
      <c r="H160" s="252"/>
      <c r="I160" s="252"/>
      <c r="N160" s="78"/>
    </row>
    <row r="161" spans="1:14" s="76" customFormat="1" x14ac:dyDescent="0.2">
      <c r="A161" s="320" t="s">
        <v>380</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383</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385</v>
      </c>
      <c r="B165" s="293"/>
      <c r="C165" s="293"/>
      <c r="D165" s="293"/>
      <c r="E165" s="293"/>
      <c r="F165" s="293"/>
      <c r="G165" s="293"/>
      <c r="H165" s="293"/>
      <c r="I165" s="293"/>
      <c r="N165" s="78"/>
    </row>
    <row r="166" spans="1:14" s="76" customFormat="1" ht="15.75" customHeight="1" x14ac:dyDescent="0.2">
      <c r="A166" s="351" t="s">
        <v>384</v>
      </c>
      <c r="B166" s="293"/>
      <c r="C166" s="293"/>
      <c r="D166" s="293"/>
      <c r="E166" s="293"/>
      <c r="F166" s="293"/>
      <c r="G166" s="293"/>
      <c r="H166" s="293"/>
      <c r="I166" s="293"/>
      <c r="N166" s="78"/>
    </row>
    <row r="167" spans="1:14" s="76" customFormat="1" ht="15.75" customHeight="1" x14ac:dyDescent="0.2">
      <c r="A167" s="320" t="s">
        <v>386</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388</v>
      </c>
      <c r="B169" s="343"/>
      <c r="C169" s="343"/>
      <c r="D169" s="343"/>
      <c r="E169" s="343"/>
      <c r="F169" s="343"/>
      <c r="G169" s="343"/>
      <c r="H169" s="343"/>
      <c r="I169" s="343"/>
      <c r="N169" s="78"/>
    </row>
    <row r="170" spans="1:14" s="76" customFormat="1" ht="15.75" customHeight="1" x14ac:dyDescent="0.2">
      <c r="A170" s="351" t="s">
        <v>387</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389</v>
      </c>
      <c r="B175" s="293"/>
      <c r="C175" s="293"/>
      <c r="D175" s="293"/>
      <c r="E175" s="293"/>
      <c r="F175" s="293"/>
      <c r="G175" s="293"/>
      <c r="H175" s="293"/>
      <c r="I175" s="293"/>
      <c r="J175" s="3"/>
      <c r="K175" s="3"/>
      <c r="L175" s="3"/>
      <c r="M175" s="3"/>
      <c r="N175" s="78"/>
    </row>
    <row r="176" spans="1:14" s="76" customFormat="1" ht="15.75" customHeight="1" x14ac:dyDescent="0.2">
      <c r="A176" s="361" t="s">
        <v>390</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N135:U135"/>
    <mergeCell ref="N126:P126"/>
    <mergeCell ref="A126:C126"/>
    <mergeCell ref="N130:T130"/>
    <mergeCell ref="A128:H128"/>
    <mergeCell ref="A132:G132"/>
    <mergeCell ref="A123:B123"/>
    <mergeCell ref="F123:G123"/>
    <mergeCell ref="N123:O123"/>
    <mergeCell ref="P123:Q123"/>
    <mergeCell ref="F126:H126"/>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4">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6" t="s">
        <v>15</v>
      </c>
      <c r="C1" s="567"/>
      <c r="D1" s="567"/>
      <c r="E1" s="567"/>
      <c r="F1" s="567"/>
      <c r="G1" s="567"/>
      <c r="H1" s="567"/>
      <c r="I1" s="567"/>
      <c r="J1" s="135"/>
      <c r="K1" s="135"/>
      <c r="L1" s="135"/>
      <c r="N1" s="82">
        <f>A1</f>
        <v>0</v>
      </c>
      <c r="O1" s="658" t="s">
        <v>15</v>
      </c>
      <c r="P1" s="659"/>
      <c r="Q1" s="659"/>
      <c r="R1" s="659"/>
      <c r="S1" s="659"/>
      <c r="T1" s="659"/>
      <c r="U1" s="659"/>
    </row>
    <row r="2" spans="1:21" ht="21" x14ac:dyDescent="0.35">
      <c r="A2" s="1" t="s">
        <v>286</v>
      </c>
      <c r="B2" s="2"/>
      <c r="C2" s="2"/>
      <c r="D2" s="2"/>
      <c r="E2" s="2"/>
      <c r="F2" s="2"/>
      <c r="G2" s="2"/>
      <c r="H2" s="2"/>
      <c r="I2" s="2"/>
      <c r="N2" s="660" t="s">
        <v>18</v>
      </c>
      <c r="O2" s="660"/>
      <c r="P2" s="660"/>
      <c r="Q2" s="660"/>
      <c r="R2" s="660"/>
      <c r="S2" s="660"/>
      <c r="T2" s="660"/>
      <c r="U2" s="660"/>
    </row>
    <row r="3" spans="1:21" x14ac:dyDescent="0.25">
      <c r="A3" s="81" t="str">
        <f>'1461'!A3</f>
        <v>Based on the FLDOE 2024-25 Conference Calculation</v>
      </c>
      <c r="N3" s="627" t="str">
        <f>A3</f>
        <v>Based on the FLDOE 2024-25 Conference Calculation</v>
      </c>
      <c r="O3" s="627"/>
      <c r="P3" s="627"/>
      <c r="Q3" s="627"/>
      <c r="R3" s="627"/>
      <c r="S3" s="627"/>
      <c r="T3" s="627"/>
      <c r="U3" s="627"/>
    </row>
    <row r="4" spans="1:21" x14ac:dyDescent="0.25">
      <c r="A4" s="568" t="s">
        <v>0</v>
      </c>
      <c r="B4" s="568"/>
      <c r="C4" s="569" t="s">
        <v>9</v>
      </c>
      <c r="D4" s="569"/>
      <c r="E4" s="569"/>
      <c r="F4" s="4" t="str">
        <f>'1461'!F4</f>
        <v>July 2024</v>
      </c>
      <c r="G4" s="4"/>
      <c r="H4" s="4"/>
      <c r="I4" s="4"/>
      <c r="N4" s="661" t="s">
        <v>0</v>
      </c>
      <c r="O4" s="661"/>
      <c r="P4" s="662" t="str">
        <f>C4</f>
        <v>Palm Beach</v>
      </c>
      <c r="Q4" s="662"/>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70" t="s">
        <v>433</v>
      </c>
      <c r="B7" s="664"/>
      <c r="C7" s="664"/>
      <c r="D7" s="664"/>
      <c r="E7" s="664"/>
      <c r="F7" s="664"/>
      <c r="G7" s="664"/>
      <c r="H7" s="664"/>
      <c r="I7" s="664"/>
      <c r="N7" s="661" t="str">
        <f>A7</f>
        <v>1A.   2023-24 FEFP State and Local Funding</v>
      </c>
      <c r="O7" s="661"/>
      <c r="P7" s="661"/>
      <c r="Q7" s="661"/>
      <c r="R7" s="661"/>
      <c r="S7" s="661"/>
      <c r="T7" s="661"/>
      <c r="U7" s="661"/>
    </row>
    <row r="8" spans="1:21" x14ac:dyDescent="0.25">
      <c r="A8" s="84"/>
      <c r="B8" s="85" t="s">
        <v>92</v>
      </c>
      <c r="C8" s="299">
        <f>'1461'!C8</f>
        <v>5330.98</v>
      </c>
      <c r="D8" s="86"/>
      <c r="E8" s="87"/>
      <c r="F8" s="84"/>
      <c r="G8" s="85" t="s">
        <v>393</v>
      </c>
      <c r="H8" s="287">
        <f>'1461'!H8</f>
        <v>1.0407999999999999</v>
      </c>
      <c r="I8" s="75"/>
      <c r="N8" s="665" t="s">
        <v>10</v>
      </c>
      <c r="O8" s="665"/>
      <c r="P8" s="666">
        <f>C8</f>
        <v>5330.98</v>
      </c>
      <c r="Q8" s="666"/>
      <c r="R8" s="648" t="s">
        <v>394</v>
      </c>
      <c r="S8" s="649"/>
      <c r="T8" s="650">
        <f>H8</f>
        <v>1.0407999999999999</v>
      </c>
      <c r="U8" s="650"/>
    </row>
    <row r="9" spans="1:21" x14ac:dyDescent="0.25">
      <c r="A9" s="84"/>
      <c r="B9" s="85"/>
      <c r="C9" s="222"/>
      <c r="D9" s="86"/>
      <c r="E9" s="87"/>
      <c r="F9" s="84"/>
      <c r="G9" s="85" t="s">
        <v>391</v>
      </c>
      <c r="H9" s="287">
        <f>'1461'!H9</f>
        <v>1</v>
      </c>
      <c r="I9" s="75"/>
      <c r="N9" s="12"/>
      <c r="O9" s="12"/>
      <c r="P9" s="13"/>
      <c r="Q9" s="13"/>
      <c r="R9" s="387" t="s">
        <v>392</v>
      </c>
      <c r="S9" s="384"/>
      <c r="T9" s="650">
        <f>H9</f>
        <v>1</v>
      </c>
      <c r="U9" s="650"/>
    </row>
    <row r="10" spans="1:21" x14ac:dyDescent="0.25">
      <c r="A10" s="7"/>
      <c r="B10" s="42" t="s">
        <v>310</v>
      </c>
      <c r="C10" s="334" t="str">
        <f>'1461'!C10</f>
        <v xml:space="preserve"> </v>
      </c>
      <c r="D10" s="334" t="str">
        <f>'1461'!D10</f>
        <v xml:space="preserve"> </v>
      </c>
      <c r="E10" s="8"/>
      <c r="F10" s="9"/>
      <c r="G10" s="9"/>
      <c r="H10" s="10"/>
      <c r="I10" s="305" t="str">
        <f>'1461'!I10</f>
        <v>2024-25</v>
      </c>
      <c r="N10" s="12"/>
      <c r="O10" s="12"/>
      <c r="P10" s="13"/>
      <c r="Q10" s="13"/>
      <c r="R10" s="14"/>
      <c r="S10" s="14"/>
      <c r="T10" s="15"/>
      <c r="U10" s="366" t="str">
        <f>I10</f>
        <v>2024-25</v>
      </c>
    </row>
    <row r="11" spans="1:21" x14ac:dyDescent="0.25">
      <c r="A11" s="7"/>
      <c r="B11" s="7"/>
      <c r="C11" s="88" t="str">
        <f>'1461'!C11</f>
        <v>Oct 2023</v>
      </c>
      <c r="D11" s="333" t="str">
        <f>'1461'!D11</f>
        <v>Feb 2024</v>
      </c>
      <c r="E11" s="89" t="s">
        <v>8</v>
      </c>
      <c r="F11" s="571" t="s">
        <v>1</v>
      </c>
      <c r="G11" s="571"/>
      <c r="H11" s="10" t="s">
        <v>60</v>
      </c>
      <c r="I11" s="11" t="s">
        <v>27</v>
      </c>
      <c r="N11" s="12"/>
      <c r="O11" s="12"/>
      <c r="P11" s="13"/>
      <c r="Q11" s="13"/>
      <c r="R11" s="651" t="s">
        <v>1</v>
      </c>
      <c r="S11" s="651"/>
      <c r="T11" s="15" t="s">
        <v>60</v>
      </c>
      <c r="U11" s="16" t="s">
        <v>27</v>
      </c>
    </row>
    <row r="12" spans="1:21" ht="15.75" customHeight="1" x14ac:dyDescent="0.25">
      <c r="A12" s="572" t="s">
        <v>1</v>
      </c>
      <c r="B12" s="572"/>
      <c r="C12" s="324" t="str">
        <f>'1461'!C12</f>
        <v>FTE</v>
      </c>
      <c r="D12" s="324" t="str">
        <f>'1461'!D12</f>
        <v>FTE</v>
      </c>
      <c r="E12" s="324" t="s">
        <v>2</v>
      </c>
      <c r="F12" s="573" t="s">
        <v>63</v>
      </c>
      <c r="G12" s="573"/>
      <c r="H12" s="17" t="s">
        <v>59</v>
      </c>
      <c r="I12" s="388" t="s">
        <v>395</v>
      </c>
      <c r="N12" s="639" t="s">
        <v>1</v>
      </c>
      <c r="O12" s="639"/>
      <c r="P12" s="652" t="s">
        <v>19</v>
      </c>
      <c r="Q12" s="652"/>
      <c r="R12" s="653" t="s">
        <v>63</v>
      </c>
      <c r="S12" s="653"/>
      <c r="T12" s="18" t="s">
        <v>59</v>
      </c>
      <c r="U12" s="19" t="str">
        <f>I12</f>
        <v>(WFTE x BSA x CWF x SDF)</v>
      </c>
    </row>
    <row r="13" spans="1:21" x14ac:dyDescent="0.25">
      <c r="A13" s="574" t="s">
        <v>36</v>
      </c>
      <c r="B13" s="574"/>
      <c r="C13" s="91"/>
      <c r="D13" s="91"/>
      <c r="E13" s="92" t="s">
        <v>37</v>
      </c>
      <c r="F13" s="575" t="s">
        <v>38</v>
      </c>
      <c r="G13" s="575"/>
      <c r="H13" s="20" t="s">
        <v>39</v>
      </c>
      <c r="I13" s="21" t="s">
        <v>40</v>
      </c>
      <c r="N13" s="654" t="s">
        <v>36</v>
      </c>
      <c r="O13" s="654"/>
      <c r="P13" s="655" t="s">
        <v>37</v>
      </c>
      <c r="Q13" s="655"/>
      <c r="R13" s="656" t="s">
        <v>38</v>
      </c>
      <c r="S13" s="656"/>
      <c r="T13" s="22" t="s">
        <v>39</v>
      </c>
      <c r="U13" s="23" t="s">
        <v>40</v>
      </c>
    </row>
    <row r="14" spans="1:21" x14ac:dyDescent="0.25">
      <c r="A14" s="576" t="s">
        <v>20</v>
      </c>
      <c r="B14" s="576"/>
      <c r="C14" s="143">
        <v>75.680000000000007</v>
      </c>
      <c r="D14" s="141">
        <v>78.36</v>
      </c>
      <c r="E14" s="187">
        <f>IF(D$30=0,C14*2,C14+D14)</f>
        <v>154.04000000000002</v>
      </c>
      <c r="F14" s="667">
        <f>'1461'!F14:G14</f>
        <v>1.1180000000000001</v>
      </c>
      <c r="G14" s="667"/>
      <c r="H14" s="145">
        <f>ROUND(E14*F14,4)</f>
        <v>172.2167</v>
      </c>
      <c r="I14" s="111">
        <f>ROUND(ROUND(ROUND(H14*$C$8,4)*($H$8),2)*(MAX($H$9,1)),2)</f>
        <v>955541.6</v>
      </c>
      <c r="N14" s="641" t="s">
        <v>20</v>
      </c>
      <c r="O14" s="641"/>
      <c r="P14" s="642">
        <f t="shared" ref="P14:P29" si="0">IF($H$133=1,E14,0)</f>
        <v>0</v>
      </c>
      <c r="Q14" s="642"/>
      <c r="R14" s="657">
        <v>1</v>
      </c>
      <c r="S14" s="657"/>
      <c r="T14" s="95">
        <f>ROUND(P14*R14,4)</f>
        <v>0</v>
      </c>
      <c r="U14" s="473">
        <f>ROUND(ROUND(ROUND(T14*$C$8,4)*($H$8),2)*(MAX($H$9,1)),2)</f>
        <v>0</v>
      </c>
    </row>
    <row r="15" spans="1:21" x14ac:dyDescent="0.25">
      <c r="A15" s="578" t="s">
        <v>21</v>
      </c>
      <c r="B15" s="578"/>
      <c r="C15" s="143">
        <v>6</v>
      </c>
      <c r="D15" s="143">
        <v>6</v>
      </c>
      <c r="E15" s="116">
        <f t="shared" ref="E15:E29" si="1">IF(D$30=0,C15*2,C15+D15)</f>
        <v>12</v>
      </c>
      <c r="F15" s="663">
        <f>'1461'!F15:G15</f>
        <v>1.1180000000000001</v>
      </c>
      <c r="G15" s="663"/>
      <c r="H15" s="80">
        <f t="shared" ref="H15:H29" si="2">ROUND(E15*F15,4)</f>
        <v>13.416</v>
      </c>
      <c r="I15" s="101">
        <f t="shared" ref="I15:I29" si="3">ROUND(ROUND(ROUND(H15*$C$8,4)*($H$8),2)*(MAX($H$9,1)),2)</f>
        <v>74438.460000000006</v>
      </c>
      <c r="J15" s="65" t="str">
        <f>IF(ROUND(E15,2)=ROUND(SUM(E57:E59),2)," ","CHECK PK-3 LINES BELOW")</f>
        <v xml:space="preserve"> </v>
      </c>
      <c r="N15" s="601" t="s">
        <v>21</v>
      </c>
      <c r="O15" s="601"/>
      <c r="P15" s="642">
        <f t="shared" si="0"/>
        <v>0</v>
      </c>
      <c r="Q15" s="642"/>
      <c r="R15" s="647">
        <v>1</v>
      </c>
      <c r="S15" s="647"/>
      <c r="T15" s="95">
        <f t="shared" ref="T15:T29" si="4">ROUND(P15*R15,4)</f>
        <v>0</v>
      </c>
      <c r="U15" s="473">
        <f t="shared" ref="U15:U29" si="5">ROUND(ROUND(ROUND(T15*$C$8,4)*($H$8),2)*(MAX($H$9,1)),2)</f>
        <v>0</v>
      </c>
    </row>
    <row r="16" spans="1:21" x14ac:dyDescent="0.25">
      <c r="A16" s="578" t="s">
        <v>22</v>
      </c>
      <c r="B16" s="578"/>
      <c r="C16" s="143">
        <v>103.38</v>
      </c>
      <c r="D16" s="143">
        <v>106.41</v>
      </c>
      <c r="E16" s="116">
        <f t="shared" si="1"/>
        <v>209.79</v>
      </c>
      <c r="F16" s="663">
        <f>'1461'!F16:G16</f>
        <v>1</v>
      </c>
      <c r="G16" s="663"/>
      <c r="H16" s="80">
        <f t="shared" si="2"/>
        <v>209.79</v>
      </c>
      <c r="I16" s="101">
        <f t="shared" si="3"/>
        <v>1164016.46</v>
      </c>
      <c r="N16" s="601" t="s">
        <v>22</v>
      </c>
      <c r="O16" s="601"/>
      <c r="P16" s="642">
        <f t="shared" si="0"/>
        <v>0</v>
      </c>
      <c r="Q16" s="642"/>
      <c r="R16" s="647">
        <v>1</v>
      </c>
      <c r="S16" s="647"/>
      <c r="T16" s="95">
        <f t="shared" si="4"/>
        <v>0</v>
      </c>
      <c r="U16" s="473">
        <f t="shared" si="5"/>
        <v>0</v>
      </c>
    </row>
    <row r="17" spans="1:21" x14ac:dyDescent="0.25">
      <c r="A17" s="578" t="s">
        <v>23</v>
      </c>
      <c r="B17" s="578"/>
      <c r="C17" s="143">
        <v>21.5</v>
      </c>
      <c r="D17" s="143">
        <v>20</v>
      </c>
      <c r="E17" s="116">
        <f t="shared" si="1"/>
        <v>41.5</v>
      </c>
      <c r="F17" s="663">
        <f>'1461'!F17:G17</f>
        <v>1</v>
      </c>
      <c r="G17" s="663"/>
      <c r="H17" s="80">
        <f t="shared" si="2"/>
        <v>41.5</v>
      </c>
      <c r="I17" s="101">
        <f t="shared" si="3"/>
        <v>230262.09</v>
      </c>
      <c r="J17" s="65" t="str">
        <f>IF(ROUND(E17,2)=ROUND(SUM(E60:E62),2)," ","CHECK 4-8 LINES BELOW")</f>
        <v xml:space="preserve"> </v>
      </c>
      <c r="N17" s="601" t="s">
        <v>23</v>
      </c>
      <c r="O17" s="601"/>
      <c r="P17" s="642">
        <f t="shared" si="0"/>
        <v>0</v>
      </c>
      <c r="Q17" s="642"/>
      <c r="R17" s="647">
        <v>1</v>
      </c>
      <c r="S17" s="647"/>
      <c r="T17" s="95">
        <f t="shared" si="4"/>
        <v>0</v>
      </c>
      <c r="U17" s="473">
        <f t="shared" si="5"/>
        <v>0</v>
      </c>
    </row>
    <row r="18" spans="1:21" x14ac:dyDescent="0.25">
      <c r="A18" s="578" t="s">
        <v>24</v>
      </c>
      <c r="B18" s="578"/>
      <c r="C18" s="143">
        <v>0</v>
      </c>
      <c r="D18" s="143">
        <v>0</v>
      </c>
      <c r="E18" s="116">
        <f t="shared" si="1"/>
        <v>0</v>
      </c>
      <c r="F18" s="663">
        <f>'1461'!F18:G18</f>
        <v>0.97799999999999998</v>
      </c>
      <c r="G18" s="663"/>
      <c r="H18" s="80">
        <f t="shared" si="2"/>
        <v>0</v>
      </c>
      <c r="I18" s="101">
        <f t="shared" si="3"/>
        <v>0</v>
      </c>
      <c r="N18" s="601" t="s">
        <v>24</v>
      </c>
      <c r="O18" s="601"/>
      <c r="P18" s="642">
        <f t="shared" si="0"/>
        <v>0</v>
      </c>
      <c r="Q18" s="642"/>
      <c r="R18" s="647">
        <v>1</v>
      </c>
      <c r="S18" s="647"/>
      <c r="T18" s="95">
        <f t="shared" si="4"/>
        <v>0</v>
      </c>
      <c r="U18" s="473">
        <f t="shared" si="5"/>
        <v>0</v>
      </c>
    </row>
    <row r="19" spans="1:21" x14ac:dyDescent="0.25">
      <c r="A19" s="578" t="s">
        <v>25</v>
      </c>
      <c r="B19" s="578"/>
      <c r="C19" s="143">
        <v>0</v>
      </c>
      <c r="D19" s="143">
        <v>0</v>
      </c>
      <c r="E19" s="116">
        <f t="shared" si="1"/>
        <v>0</v>
      </c>
      <c r="F19" s="663">
        <f>'1461'!F19:G19</f>
        <v>0.97799999999999998</v>
      </c>
      <c r="G19" s="663"/>
      <c r="H19" s="80">
        <f t="shared" si="2"/>
        <v>0</v>
      </c>
      <c r="I19" s="101">
        <f t="shared" si="3"/>
        <v>0</v>
      </c>
      <c r="J19" s="65" t="str">
        <f>IF(ROUND(E19,2)=ROUND(SUM(E63:E65),2)," ","CHECK 4-8 LINES BELOW")</f>
        <v xml:space="preserve"> </v>
      </c>
      <c r="N19" s="601" t="s">
        <v>25</v>
      </c>
      <c r="O19" s="601"/>
      <c r="P19" s="642">
        <f t="shared" si="0"/>
        <v>0</v>
      </c>
      <c r="Q19" s="642"/>
      <c r="R19" s="647">
        <v>1</v>
      </c>
      <c r="S19" s="647"/>
      <c r="T19" s="95">
        <f t="shared" si="4"/>
        <v>0</v>
      </c>
      <c r="U19" s="472">
        <f t="shared" si="5"/>
        <v>0</v>
      </c>
    </row>
    <row r="20" spans="1:21" x14ac:dyDescent="0.25">
      <c r="A20" s="578" t="s">
        <v>79</v>
      </c>
      <c r="B20" s="578"/>
      <c r="C20" s="143">
        <v>0</v>
      </c>
      <c r="D20" s="143">
        <v>0</v>
      </c>
      <c r="E20" s="116">
        <f t="shared" si="1"/>
        <v>0</v>
      </c>
      <c r="F20" s="663">
        <f>'1461'!F20:G20</f>
        <v>3.6970000000000001</v>
      </c>
      <c r="G20" s="663"/>
      <c r="H20" s="80">
        <f t="shared" si="2"/>
        <v>0</v>
      </c>
      <c r="I20" s="101">
        <f t="shared" si="3"/>
        <v>0</v>
      </c>
      <c r="N20" s="601" t="s">
        <v>79</v>
      </c>
      <c r="O20" s="601"/>
      <c r="P20" s="642">
        <f t="shared" si="0"/>
        <v>0</v>
      </c>
      <c r="Q20" s="642"/>
      <c r="R20" s="647">
        <v>1</v>
      </c>
      <c r="S20" s="647"/>
      <c r="T20" s="95">
        <f t="shared" si="4"/>
        <v>0</v>
      </c>
      <c r="U20" s="473">
        <f t="shared" si="5"/>
        <v>0</v>
      </c>
    </row>
    <row r="21" spans="1:21" x14ac:dyDescent="0.25">
      <c r="A21" s="578" t="s">
        <v>80</v>
      </c>
      <c r="B21" s="578"/>
      <c r="C21" s="143">
        <v>0</v>
      </c>
      <c r="D21" s="143">
        <v>0</v>
      </c>
      <c r="E21" s="116">
        <f t="shared" si="1"/>
        <v>0</v>
      </c>
      <c r="F21" s="663">
        <f>'1461'!F21:G21</f>
        <v>3.6970000000000001</v>
      </c>
      <c r="G21" s="663"/>
      <c r="H21" s="80">
        <f t="shared" si="2"/>
        <v>0</v>
      </c>
      <c r="I21" s="101">
        <f t="shared" si="3"/>
        <v>0</v>
      </c>
      <c r="N21" s="601" t="s">
        <v>80</v>
      </c>
      <c r="O21" s="601"/>
      <c r="P21" s="642">
        <f t="shared" si="0"/>
        <v>0</v>
      </c>
      <c r="Q21" s="642"/>
      <c r="R21" s="647">
        <v>1</v>
      </c>
      <c r="S21" s="647"/>
      <c r="T21" s="95">
        <f t="shared" si="4"/>
        <v>0</v>
      </c>
      <c r="U21" s="473">
        <f t="shared" si="5"/>
        <v>0</v>
      </c>
    </row>
    <row r="22" spans="1:21" x14ac:dyDescent="0.25">
      <c r="A22" s="578" t="s">
        <v>81</v>
      </c>
      <c r="B22" s="578"/>
      <c r="C22" s="143">
        <v>0</v>
      </c>
      <c r="D22" s="143">
        <v>0</v>
      </c>
      <c r="E22" s="116">
        <f t="shared" si="1"/>
        <v>0</v>
      </c>
      <c r="F22" s="663">
        <f>'1461'!F22:G22</f>
        <v>3.6970000000000001</v>
      </c>
      <c r="G22" s="663"/>
      <c r="H22" s="80">
        <f t="shared" si="2"/>
        <v>0</v>
      </c>
      <c r="I22" s="101">
        <f t="shared" si="3"/>
        <v>0</v>
      </c>
      <c r="N22" s="601" t="s">
        <v>81</v>
      </c>
      <c r="O22" s="601"/>
      <c r="P22" s="642">
        <f t="shared" si="0"/>
        <v>0</v>
      </c>
      <c r="Q22" s="642"/>
      <c r="R22" s="647">
        <v>1</v>
      </c>
      <c r="S22" s="647"/>
      <c r="T22" s="95">
        <f t="shared" si="4"/>
        <v>0</v>
      </c>
      <c r="U22" s="473">
        <f t="shared" si="5"/>
        <v>0</v>
      </c>
    </row>
    <row r="23" spans="1:21" x14ac:dyDescent="0.25">
      <c r="A23" s="578" t="s">
        <v>82</v>
      </c>
      <c r="B23" s="578"/>
      <c r="C23" s="143">
        <v>0</v>
      </c>
      <c r="D23" s="143">
        <v>0</v>
      </c>
      <c r="E23" s="116">
        <f t="shared" si="1"/>
        <v>0</v>
      </c>
      <c r="F23" s="663">
        <f>'1461'!F23:G23</f>
        <v>5.992</v>
      </c>
      <c r="G23" s="663"/>
      <c r="H23" s="80">
        <f t="shared" si="2"/>
        <v>0</v>
      </c>
      <c r="I23" s="101">
        <f t="shared" si="3"/>
        <v>0</v>
      </c>
      <c r="N23" s="601" t="s">
        <v>82</v>
      </c>
      <c r="O23" s="601"/>
      <c r="P23" s="642">
        <f t="shared" si="0"/>
        <v>0</v>
      </c>
      <c r="Q23" s="642"/>
      <c r="R23" s="647">
        <v>1</v>
      </c>
      <c r="S23" s="647"/>
      <c r="T23" s="95">
        <f t="shared" si="4"/>
        <v>0</v>
      </c>
      <c r="U23" s="473">
        <f t="shared" si="5"/>
        <v>0</v>
      </c>
    </row>
    <row r="24" spans="1:21" x14ac:dyDescent="0.25">
      <c r="A24" s="578" t="s">
        <v>83</v>
      </c>
      <c r="B24" s="578"/>
      <c r="C24" s="143">
        <v>0</v>
      </c>
      <c r="D24" s="143">
        <v>0</v>
      </c>
      <c r="E24" s="116">
        <f t="shared" si="1"/>
        <v>0</v>
      </c>
      <c r="F24" s="663">
        <f>'1461'!F24:G24</f>
        <v>5.992</v>
      </c>
      <c r="G24" s="663"/>
      <c r="H24" s="80">
        <f t="shared" si="2"/>
        <v>0</v>
      </c>
      <c r="I24" s="101">
        <f t="shared" si="3"/>
        <v>0</v>
      </c>
      <c r="N24" s="601" t="s">
        <v>83</v>
      </c>
      <c r="O24" s="601"/>
      <c r="P24" s="642">
        <f t="shared" si="0"/>
        <v>0</v>
      </c>
      <c r="Q24" s="642"/>
      <c r="R24" s="647">
        <v>1</v>
      </c>
      <c r="S24" s="647"/>
      <c r="T24" s="95">
        <f t="shared" si="4"/>
        <v>0</v>
      </c>
      <c r="U24" s="473">
        <f t="shared" si="5"/>
        <v>0</v>
      </c>
    </row>
    <row r="25" spans="1:21" x14ac:dyDescent="0.25">
      <c r="A25" s="578" t="s">
        <v>84</v>
      </c>
      <c r="B25" s="578"/>
      <c r="C25" s="143">
        <v>0</v>
      </c>
      <c r="D25" s="143">
        <v>0</v>
      </c>
      <c r="E25" s="116">
        <f t="shared" si="1"/>
        <v>0</v>
      </c>
      <c r="F25" s="663">
        <f>'1461'!F25:G25</f>
        <v>5.992</v>
      </c>
      <c r="G25" s="663"/>
      <c r="H25" s="80">
        <f t="shared" si="2"/>
        <v>0</v>
      </c>
      <c r="I25" s="101">
        <f t="shared" si="3"/>
        <v>0</v>
      </c>
      <c r="N25" s="601" t="s">
        <v>84</v>
      </c>
      <c r="O25" s="601"/>
      <c r="P25" s="642">
        <f t="shared" si="0"/>
        <v>0</v>
      </c>
      <c r="Q25" s="642"/>
      <c r="R25" s="647">
        <v>1</v>
      </c>
      <c r="S25" s="647"/>
      <c r="T25" s="95">
        <f t="shared" si="4"/>
        <v>0</v>
      </c>
      <c r="U25" s="473">
        <f t="shared" si="5"/>
        <v>0</v>
      </c>
    </row>
    <row r="26" spans="1:21" x14ac:dyDescent="0.25">
      <c r="A26" s="578" t="s">
        <v>85</v>
      </c>
      <c r="B26" s="578"/>
      <c r="C26" s="143">
        <v>41.82</v>
      </c>
      <c r="D26" s="143">
        <v>40.64</v>
      </c>
      <c r="E26" s="116">
        <f t="shared" si="1"/>
        <v>82.460000000000008</v>
      </c>
      <c r="F26" s="663">
        <f>'1461'!F26:G26</f>
        <v>1.1919999999999999</v>
      </c>
      <c r="G26" s="663"/>
      <c r="H26" s="80">
        <f t="shared" si="2"/>
        <v>98.292299999999997</v>
      </c>
      <c r="I26" s="101">
        <f t="shared" si="3"/>
        <v>545373.25</v>
      </c>
      <c r="N26" s="601" t="s">
        <v>85</v>
      </c>
      <c r="O26" s="601"/>
      <c r="P26" s="642">
        <f t="shared" si="0"/>
        <v>0</v>
      </c>
      <c r="Q26" s="642"/>
      <c r="R26" s="647">
        <v>1</v>
      </c>
      <c r="S26" s="647"/>
      <c r="T26" s="95">
        <f t="shared" si="4"/>
        <v>0</v>
      </c>
      <c r="U26" s="473">
        <f t="shared" si="5"/>
        <v>0</v>
      </c>
    </row>
    <row r="27" spans="1:21" x14ac:dyDescent="0.25">
      <c r="A27" s="578" t="s">
        <v>86</v>
      </c>
      <c r="B27" s="578"/>
      <c r="C27" s="143">
        <v>15.12</v>
      </c>
      <c r="D27" s="143">
        <v>9.59</v>
      </c>
      <c r="E27" s="116">
        <f t="shared" si="1"/>
        <v>24.71</v>
      </c>
      <c r="F27" s="663">
        <f>'1461'!F27:G27</f>
        <v>1.1919999999999999</v>
      </c>
      <c r="G27" s="663"/>
      <c r="H27" s="80">
        <f t="shared" si="2"/>
        <v>29.4543</v>
      </c>
      <c r="I27" s="101">
        <f t="shared" si="3"/>
        <v>163426.71</v>
      </c>
      <c r="N27" s="601" t="s">
        <v>86</v>
      </c>
      <c r="O27" s="601"/>
      <c r="P27" s="642">
        <f t="shared" si="0"/>
        <v>0</v>
      </c>
      <c r="Q27" s="642"/>
      <c r="R27" s="647">
        <v>1</v>
      </c>
      <c r="S27" s="647"/>
      <c r="T27" s="95">
        <f t="shared" si="4"/>
        <v>0</v>
      </c>
      <c r="U27" s="473">
        <f t="shared" si="5"/>
        <v>0</v>
      </c>
    </row>
    <row r="28" spans="1:21" x14ac:dyDescent="0.25">
      <c r="A28" s="578" t="s">
        <v>87</v>
      </c>
      <c r="B28" s="578"/>
      <c r="C28" s="143">
        <v>0</v>
      </c>
      <c r="D28" s="143">
        <v>0</v>
      </c>
      <c r="E28" s="116">
        <f t="shared" si="1"/>
        <v>0</v>
      </c>
      <c r="F28" s="663">
        <f>'1461'!F28:G28</f>
        <v>1.1919999999999999</v>
      </c>
      <c r="G28" s="663"/>
      <c r="H28" s="80">
        <f t="shared" si="2"/>
        <v>0</v>
      </c>
      <c r="I28" s="101">
        <f t="shared" si="3"/>
        <v>0</v>
      </c>
      <c r="N28" s="601" t="s">
        <v>87</v>
      </c>
      <c r="O28" s="601"/>
      <c r="P28" s="642">
        <f t="shared" si="0"/>
        <v>0</v>
      </c>
      <c r="Q28" s="642"/>
      <c r="R28" s="647">
        <v>1</v>
      </c>
      <c r="S28" s="647"/>
      <c r="T28" s="95">
        <f t="shared" si="4"/>
        <v>0</v>
      </c>
      <c r="U28" s="473">
        <f t="shared" si="5"/>
        <v>0</v>
      </c>
    </row>
    <row r="29" spans="1:21" x14ac:dyDescent="0.25">
      <c r="A29" s="578" t="s">
        <v>88</v>
      </c>
      <c r="B29" s="578"/>
      <c r="C29" s="110">
        <v>0</v>
      </c>
      <c r="D29" s="110">
        <v>0</v>
      </c>
      <c r="E29" s="154">
        <f t="shared" si="1"/>
        <v>0</v>
      </c>
      <c r="F29" s="663">
        <f>'1461'!F29:G29</f>
        <v>1.079</v>
      </c>
      <c r="G29" s="663"/>
      <c r="H29" s="93">
        <f t="shared" si="2"/>
        <v>0</v>
      </c>
      <c r="I29" s="94">
        <f t="shared" si="3"/>
        <v>0</v>
      </c>
      <c r="N29" s="616" t="s">
        <v>88</v>
      </c>
      <c r="O29" s="616"/>
      <c r="P29" s="642">
        <f t="shared" si="0"/>
        <v>0</v>
      </c>
      <c r="Q29" s="642"/>
      <c r="R29" s="643">
        <v>1</v>
      </c>
      <c r="S29" s="643"/>
      <c r="T29" s="95">
        <f t="shared" si="4"/>
        <v>0</v>
      </c>
      <c r="U29" s="473">
        <f t="shared" si="5"/>
        <v>0</v>
      </c>
    </row>
    <row r="30" spans="1:21" x14ac:dyDescent="0.25">
      <c r="A30" s="590" t="s">
        <v>5</v>
      </c>
      <c r="B30" s="590"/>
      <c r="C30" s="94">
        <f>SUM(C14:C29)</f>
        <v>263.5</v>
      </c>
      <c r="D30" s="94">
        <f>SUM(D14:D29)</f>
        <v>260.99999999999994</v>
      </c>
      <c r="E30" s="94">
        <f>SUM(E14:E29)</f>
        <v>524.50000000000011</v>
      </c>
      <c r="F30" s="582"/>
      <c r="G30" s="582"/>
      <c r="H30" s="99">
        <f>SUM(H14:H29)</f>
        <v>564.66929999999991</v>
      </c>
      <c r="I30" s="94">
        <f>SUM(I14:I29)</f>
        <v>3133058.57</v>
      </c>
      <c r="N30" s="644" t="s">
        <v>5</v>
      </c>
      <c r="O30" s="644"/>
      <c r="P30" s="645">
        <f>SUM(P14:P29)</f>
        <v>0</v>
      </c>
      <c r="Q30" s="645"/>
      <c r="R30" s="617"/>
      <c r="S30" s="617"/>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0" t="s">
        <v>233</v>
      </c>
      <c r="G34" s="670"/>
      <c r="H34" s="670"/>
      <c r="I34" s="101"/>
      <c r="N34" s="28"/>
      <c r="O34" s="28"/>
      <c r="P34" s="29"/>
      <c r="Q34" s="29"/>
      <c r="R34" s="30"/>
      <c r="S34" s="30"/>
      <c r="T34" s="102"/>
      <c r="U34" s="103"/>
    </row>
    <row r="35" spans="1:21" hidden="1" x14ac:dyDescent="0.25">
      <c r="A35" s="3"/>
      <c r="B35" s="69"/>
      <c r="C35" s="69"/>
      <c r="D35" s="69"/>
      <c r="E35" s="69"/>
      <c r="F35" s="670"/>
      <c r="G35" s="670"/>
      <c r="H35" s="670"/>
      <c r="I35" s="24" t="s">
        <v>61</v>
      </c>
      <c r="N35" s="627" t="s">
        <v>26</v>
      </c>
      <c r="O35" s="627"/>
      <c r="P35" s="627"/>
      <c r="Q35" s="627"/>
      <c r="R35" s="627"/>
      <c r="S35" s="627"/>
      <c r="T35" s="627"/>
      <c r="U35" s="25" t="str">
        <f>I35</f>
        <v>2015-16</v>
      </c>
    </row>
    <row r="36" spans="1:21" hidden="1" x14ac:dyDescent="0.25">
      <c r="A36" s="26"/>
      <c r="B36" s="26"/>
      <c r="C36" s="88" t="s">
        <v>93</v>
      </c>
      <c r="D36" s="88" t="s">
        <v>94</v>
      </c>
      <c r="E36" s="89" t="s">
        <v>8</v>
      </c>
      <c r="F36" s="670"/>
      <c r="G36" s="670"/>
      <c r="H36" s="670"/>
      <c r="I36" s="24" t="s">
        <v>27</v>
      </c>
      <c r="N36" s="28"/>
      <c r="O36" s="28"/>
      <c r="P36" s="29"/>
      <c r="Q36" s="29"/>
      <c r="R36" s="30"/>
      <c r="S36" s="30"/>
      <c r="T36" s="102"/>
      <c r="U36" s="25" t="s">
        <v>27</v>
      </c>
    </row>
    <row r="37" spans="1:21" ht="26.25" hidden="1" x14ac:dyDescent="0.25">
      <c r="A37" s="572" t="s">
        <v>50</v>
      </c>
      <c r="B37" s="572"/>
      <c r="C37" s="90" t="s">
        <v>2</v>
      </c>
      <c r="D37" s="90" t="s">
        <v>2</v>
      </c>
      <c r="E37" s="90" t="s">
        <v>2</v>
      </c>
      <c r="F37" s="671"/>
      <c r="G37" s="671"/>
      <c r="H37" s="671"/>
      <c r="I37" s="31" t="s">
        <v>395</v>
      </c>
      <c r="N37" s="639" t="s">
        <v>50</v>
      </c>
      <c r="O37" s="639"/>
      <c r="P37" s="640" t="s">
        <v>19</v>
      </c>
      <c r="Q37" s="640"/>
      <c r="R37" s="640"/>
      <c r="S37" s="640"/>
      <c r="T37" s="640"/>
      <c r="U37" s="19" t="str">
        <f>I37</f>
        <v>(WFTE x BSA x CWF x SDF)</v>
      </c>
    </row>
    <row r="38" spans="1:21" hidden="1" x14ac:dyDescent="0.25">
      <c r="A38" s="576" t="s">
        <v>45</v>
      </c>
      <c r="B38" s="576"/>
      <c r="C38" s="147">
        <v>0</v>
      </c>
      <c r="D38" s="147">
        <v>0</v>
      </c>
      <c r="E38" s="187">
        <f t="shared" ref="E38:E43" si="6">IF(D$44=0,C38*2,C38+D38)</f>
        <v>0</v>
      </c>
      <c r="F38" s="148"/>
      <c r="G38" s="148"/>
      <c r="H38" s="148"/>
      <c r="I38" s="111">
        <f>ROUND(ROUND(ROUND(E38*$C$8,4)*($H$8),2)*(MAX($H$9,1)),2)</f>
        <v>0</v>
      </c>
      <c r="N38" s="641" t="s">
        <v>45</v>
      </c>
      <c r="O38" s="641"/>
      <c r="P38" s="608">
        <f t="shared" ref="P38:P43" si="7">IF($H$133=1,E38,0)</f>
        <v>0</v>
      </c>
      <c r="Q38" s="608"/>
      <c r="R38" s="608"/>
      <c r="S38" s="608"/>
      <c r="T38" s="608"/>
      <c r="U38" s="98">
        <f>ROUND(ROUND(ROUND(P38*$C$8,4)*($H$8),2)*(MAX($H$9,1)),2)</f>
        <v>0</v>
      </c>
    </row>
    <row r="39" spans="1:21" hidden="1" x14ac:dyDescent="0.25">
      <c r="A39" s="578" t="s">
        <v>46</v>
      </c>
      <c r="B39" s="578"/>
      <c r="C39" s="150">
        <v>0</v>
      </c>
      <c r="D39" s="150">
        <v>0</v>
      </c>
      <c r="E39" s="116">
        <f t="shared" si="6"/>
        <v>0</v>
      </c>
      <c r="F39" s="151"/>
      <c r="G39" s="151"/>
      <c r="H39" s="151"/>
      <c r="I39" s="101">
        <f t="shared" ref="I39:I43" si="8">ROUND(ROUND(ROUND(E39*$C$8,4)*($H$8),2)*(MAX($H$9,1)),2)</f>
        <v>0</v>
      </c>
      <c r="N39" s="601" t="s">
        <v>46</v>
      </c>
      <c r="O39" s="601"/>
      <c r="P39" s="608">
        <f t="shared" si="7"/>
        <v>0</v>
      </c>
      <c r="Q39" s="608"/>
      <c r="R39" s="608"/>
      <c r="S39" s="608"/>
      <c r="T39" s="608"/>
      <c r="U39" s="98">
        <f t="shared" ref="U39:U43" si="9">ROUND(ROUND(ROUND(P39*$C$8,4)*($H$8),2)*(MAX($H$9,1)),2)</f>
        <v>0</v>
      </c>
    </row>
    <row r="40" spans="1:21" hidden="1" x14ac:dyDescent="0.25">
      <c r="A40" s="583" t="s">
        <v>47</v>
      </c>
      <c r="B40" s="583"/>
      <c r="C40" s="150">
        <v>0</v>
      </c>
      <c r="D40" s="150">
        <v>0</v>
      </c>
      <c r="E40" s="116">
        <f t="shared" si="6"/>
        <v>0</v>
      </c>
      <c r="F40" s="151"/>
      <c r="G40" s="151"/>
      <c r="H40" s="151"/>
      <c r="I40" s="101">
        <f t="shared" si="8"/>
        <v>0</v>
      </c>
      <c r="N40" s="646" t="s">
        <v>47</v>
      </c>
      <c r="O40" s="646"/>
      <c r="P40" s="608">
        <f t="shared" si="7"/>
        <v>0</v>
      </c>
      <c r="Q40" s="608"/>
      <c r="R40" s="608"/>
      <c r="S40" s="608"/>
      <c r="T40" s="608"/>
      <c r="U40" s="98">
        <f t="shared" si="9"/>
        <v>0</v>
      </c>
    </row>
    <row r="41" spans="1:21" hidden="1" x14ac:dyDescent="0.25">
      <c r="A41" s="578" t="s">
        <v>48</v>
      </c>
      <c r="B41" s="578"/>
      <c r="C41" s="150">
        <v>0</v>
      </c>
      <c r="D41" s="150">
        <v>0</v>
      </c>
      <c r="E41" s="116">
        <f t="shared" si="6"/>
        <v>0</v>
      </c>
      <c r="F41" s="151"/>
      <c r="G41" s="151"/>
      <c r="H41" s="151"/>
      <c r="I41" s="101">
        <f t="shared" si="8"/>
        <v>0</v>
      </c>
      <c r="N41" s="601" t="s">
        <v>48</v>
      </c>
      <c r="O41" s="601"/>
      <c r="P41" s="608">
        <f t="shared" si="7"/>
        <v>0</v>
      </c>
      <c r="Q41" s="608"/>
      <c r="R41" s="608"/>
      <c r="S41" s="608"/>
      <c r="T41" s="608"/>
      <c r="U41" s="98">
        <f t="shared" si="9"/>
        <v>0</v>
      </c>
    </row>
    <row r="42" spans="1:21" hidden="1" x14ac:dyDescent="0.25">
      <c r="A42" s="578" t="s">
        <v>49</v>
      </c>
      <c r="B42" s="578"/>
      <c r="C42" s="150">
        <v>0</v>
      </c>
      <c r="D42" s="150">
        <v>0</v>
      </c>
      <c r="E42" s="116">
        <f t="shared" si="6"/>
        <v>0</v>
      </c>
      <c r="F42" s="151"/>
      <c r="G42" s="151"/>
      <c r="H42" s="151"/>
      <c r="I42" s="101">
        <f t="shared" si="8"/>
        <v>0</v>
      </c>
      <c r="N42" s="601" t="s">
        <v>49</v>
      </c>
      <c r="O42" s="601"/>
      <c r="P42" s="608">
        <f t="shared" si="7"/>
        <v>0</v>
      </c>
      <c r="Q42" s="608"/>
      <c r="R42" s="608"/>
      <c r="S42" s="608"/>
      <c r="T42" s="608"/>
      <c r="U42" s="98">
        <f t="shared" si="9"/>
        <v>0</v>
      </c>
    </row>
    <row r="43" spans="1:21" hidden="1" x14ac:dyDescent="0.25">
      <c r="A43" s="578" t="s">
        <v>41</v>
      </c>
      <c r="B43" s="578"/>
      <c r="C43" s="149">
        <v>0</v>
      </c>
      <c r="D43" s="149">
        <v>0</v>
      </c>
      <c r="E43" s="154">
        <f t="shared" si="6"/>
        <v>0</v>
      </c>
      <c r="F43" s="151"/>
      <c r="G43" s="151"/>
      <c r="H43" s="151"/>
      <c r="I43" s="94">
        <f t="shared" si="8"/>
        <v>0</v>
      </c>
      <c r="N43" s="616" t="s">
        <v>41</v>
      </c>
      <c r="O43" s="616"/>
      <c r="P43" s="608">
        <f t="shared" si="7"/>
        <v>0</v>
      </c>
      <c r="Q43" s="608"/>
      <c r="R43" s="608"/>
      <c r="S43" s="608"/>
      <c r="T43" s="60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3" t="s">
        <v>43</v>
      </c>
      <c r="O44" s="603"/>
      <c r="P44" s="603"/>
      <c r="Q44" s="603"/>
      <c r="R44" s="33">
        <f>SUM(P38:R43)</f>
        <v>0</v>
      </c>
      <c r="S44" s="617" t="s">
        <v>51</v>
      </c>
      <c r="T44" s="617"/>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564.66929999999991</v>
      </c>
      <c r="F46" s="34"/>
      <c r="G46" s="106"/>
      <c r="H46" s="107" t="s">
        <v>98</v>
      </c>
      <c r="I46" s="94">
        <f>SUM(I44,I30)</f>
        <v>3133058.57</v>
      </c>
      <c r="N46" s="603" t="s">
        <v>44</v>
      </c>
      <c r="O46" s="603"/>
      <c r="P46" s="603"/>
      <c r="Q46" s="603"/>
      <c r="R46" s="35">
        <f>R44+T30</f>
        <v>0</v>
      </c>
      <c r="S46" s="617" t="s">
        <v>42</v>
      </c>
      <c r="T46" s="617"/>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396</v>
      </c>
      <c r="B48" s="26"/>
      <c r="C48" s="26"/>
      <c r="D48" s="26"/>
      <c r="E48" s="26"/>
      <c r="F48" s="34"/>
      <c r="G48" s="27"/>
      <c r="H48" s="27"/>
      <c r="I48" s="101"/>
      <c r="N48" s="383" t="s">
        <v>396</v>
      </c>
      <c r="O48" s="28"/>
      <c r="P48" s="28"/>
      <c r="Q48" s="28"/>
      <c r="R48" s="35"/>
      <c r="S48" s="30"/>
      <c r="T48" s="30"/>
      <c r="U48" s="402"/>
    </row>
    <row r="49" spans="1:22" s="391" customFormat="1" ht="9" customHeight="1" x14ac:dyDescent="0.2">
      <c r="A49" s="481" t="s">
        <v>397</v>
      </c>
      <c r="F49" s="392"/>
      <c r="G49" s="393"/>
      <c r="H49" s="393"/>
      <c r="I49" s="394"/>
      <c r="N49" s="403" t="s">
        <v>397</v>
      </c>
      <c r="O49" s="395"/>
      <c r="P49" s="395"/>
      <c r="Q49" s="395"/>
      <c r="R49" s="396"/>
      <c r="S49" s="397"/>
      <c r="T49" s="397"/>
      <c r="U49" s="404"/>
    </row>
    <row r="50" spans="1:22" s="391" customFormat="1" ht="11.25" customHeight="1" x14ac:dyDescent="0.2">
      <c r="A50" s="483" t="s">
        <v>398</v>
      </c>
      <c r="F50" s="392"/>
      <c r="G50" s="393"/>
      <c r="H50" s="393"/>
      <c r="I50" s="394"/>
      <c r="N50" s="405" t="s">
        <v>398</v>
      </c>
      <c r="O50" s="395"/>
      <c r="P50" s="395"/>
      <c r="Q50" s="395"/>
      <c r="R50" s="396"/>
      <c r="S50" s="397"/>
      <c r="T50" s="397"/>
      <c r="U50" s="404"/>
    </row>
    <row r="51" spans="1:22" x14ac:dyDescent="0.25">
      <c r="A51" s="389"/>
      <c r="B51" s="399" t="s">
        <v>399</v>
      </c>
      <c r="C51" s="26"/>
      <c r="D51" s="26"/>
      <c r="E51" s="43" t="s">
        <v>400</v>
      </c>
      <c r="F51" s="400">
        <f>I46</f>
        <v>3133058.57</v>
      </c>
      <c r="G51" s="109" t="s">
        <v>6</v>
      </c>
      <c r="H51" s="401">
        <v>4.5199999999999997E-2</v>
      </c>
      <c r="I51" s="101">
        <f>ROUND(F51*H51,2)</f>
        <v>141614.25</v>
      </c>
      <c r="N51" s="406"/>
      <c r="O51" s="407" t="s">
        <v>399</v>
      </c>
      <c r="P51" s="28"/>
      <c r="Q51" s="44" t="s">
        <v>400</v>
      </c>
      <c r="R51" s="408">
        <f>U30</f>
        <v>0</v>
      </c>
      <c r="S51" s="409" t="s">
        <v>6</v>
      </c>
      <c r="T51" s="410">
        <v>4.5199999999999997E-2</v>
      </c>
      <c r="U51" s="402">
        <f>ROUND(R51*T51,2)</f>
        <v>0</v>
      </c>
    </row>
    <row r="52" spans="1:22" x14ac:dyDescent="0.25">
      <c r="A52" s="26"/>
      <c r="B52" s="81" t="s">
        <v>401</v>
      </c>
      <c r="C52" s="26"/>
      <c r="D52" s="26"/>
      <c r="E52" s="43" t="s">
        <v>400</v>
      </c>
      <c r="F52" s="400">
        <f>I46</f>
        <v>3133058.57</v>
      </c>
      <c r="G52" s="109" t="s">
        <v>6</v>
      </c>
      <c r="H52" s="401">
        <v>1.41E-2</v>
      </c>
      <c r="I52" s="101">
        <f>ROUND(F52*H52,2)</f>
        <v>44176.13</v>
      </c>
      <c r="N52" s="28"/>
      <c r="O52" s="383" t="s">
        <v>401</v>
      </c>
      <c r="P52" s="28"/>
      <c r="Q52" s="44" t="s">
        <v>400</v>
      </c>
      <c r="R52" s="408">
        <f>U30</f>
        <v>0</v>
      </c>
      <c r="S52" s="409" t="s">
        <v>6</v>
      </c>
      <c r="T52" s="410">
        <v>1.41E-2</v>
      </c>
      <c r="U52" s="411">
        <f>ROUND(R52*T52,2)</f>
        <v>0</v>
      </c>
    </row>
    <row r="53" spans="1:22" x14ac:dyDescent="0.25">
      <c r="A53" s="26"/>
      <c r="B53" s="81" t="s">
        <v>402</v>
      </c>
      <c r="C53" s="26"/>
      <c r="D53" s="26"/>
      <c r="E53" s="43"/>
      <c r="F53" s="400"/>
      <c r="G53" s="109"/>
      <c r="H53" s="401"/>
      <c r="I53" s="97">
        <f>SUM(I51:I52)</f>
        <v>185790.38</v>
      </c>
      <c r="N53" s="28"/>
      <c r="O53" s="383" t="s">
        <v>402</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440</v>
      </c>
      <c r="G55" s="109" t="s">
        <v>441</v>
      </c>
      <c r="H55" s="454" t="s">
        <v>442</v>
      </c>
      <c r="I55" s="101"/>
      <c r="N55" s="448"/>
      <c r="O55" s="448"/>
      <c r="P55" s="464"/>
      <c r="Q55" s="465"/>
      <c r="R55" s="466"/>
      <c r="S55" s="468" t="s">
        <v>441</v>
      </c>
      <c r="T55" s="469" t="s">
        <v>442</v>
      </c>
      <c r="U55" s="467"/>
      <c r="V55" s="424"/>
    </row>
    <row r="56" spans="1:22" x14ac:dyDescent="0.25">
      <c r="A56" s="36" t="s">
        <v>443</v>
      </c>
      <c r="B56" s="36"/>
      <c r="C56" s="324" t="str">
        <f>'1461'!C56</f>
        <v>FTE</v>
      </c>
      <c r="D56" s="324" t="str">
        <f>'1461'!D56</f>
        <v>FTE</v>
      </c>
      <c r="E56" s="90" t="s">
        <v>2</v>
      </c>
      <c r="F56" s="439" t="s">
        <v>444</v>
      </c>
      <c r="G56" s="441" t="s">
        <v>444</v>
      </c>
      <c r="H56" s="455" t="s">
        <v>445</v>
      </c>
      <c r="I56" s="36"/>
      <c r="N56" s="459" t="s">
        <v>443</v>
      </c>
      <c r="O56" s="459"/>
      <c r="P56" s="620" t="s">
        <v>2</v>
      </c>
      <c r="Q56" s="620"/>
      <c r="R56" s="459" t="s">
        <v>449</v>
      </c>
      <c r="S56" s="450" t="s">
        <v>444</v>
      </c>
      <c r="T56" s="470" t="s">
        <v>445</v>
      </c>
      <c r="U56" s="459"/>
      <c r="V56" s="458"/>
    </row>
    <row r="57" spans="1:22" x14ac:dyDescent="0.25">
      <c r="A57" s="588" t="s">
        <v>447</v>
      </c>
      <c r="B57" s="588"/>
      <c r="C57" s="143">
        <v>6</v>
      </c>
      <c r="D57" s="143">
        <v>6</v>
      </c>
      <c r="E57" s="116">
        <f t="shared" ref="E57:E65" si="10">IF(D$66=0,C57*2,C57+D57)</f>
        <v>12</v>
      </c>
      <c r="F57" s="443" t="s">
        <v>439</v>
      </c>
      <c r="G57" s="443">
        <v>251</v>
      </c>
      <c r="H57" s="457">
        <f>'1461'!H57</f>
        <v>1047</v>
      </c>
      <c r="I57" s="101">
        <f>ROUND(E57*H57,2)</f>
        <v>12564</v>
      </c>
      <c r="N57" s="618" t="s">
        <v>447</v>
      </c>
      <c r="O57" s="618"/>
      <c r="P57" s="621"/>
      <c r="Q57" s="621"/>
      <c r="R57" s="449" t="s">
        <v>439</v>
      </c>
      <c r="S57" s="449">
        <v>251</v>
      </c>
      <c r="T57" s="460">
        <f>H57</f>
        <v>1047</v>
      </c>
      <c r="U57" s="474">
        <f>ROUND(P57*T57,2)</f>
        <v>0</v>
      </c>
      <c r="V57" s="424"/>
    </row>
    <row r="58" spans="1:22" x14ac:dyDescent="0.25">
      <c r="A58" s="589"/>
      <c r="B58" s="589"/>
      <c r="C58" s="143">
        <v>0</v>
      </c>
      <c r="D58" s="143">
        <v>0</v>
      </c>
      <c r="E58" s="116">
        <f t="shared" si="10"/>
        <v>0</v>
      </c>
      <c r="F58" s="443" t="s">
        <v>439</v>
      </c>
      <c r="G58" s="443">
        <v>252</v>
      </c>
      <c r="H58" s="457">
        <f>'1461'!H58</f>
        <v>3380</v>
      </c>
      <c r="I58" s="101">
        <f t="shared" ref="I58:I65" si="11">ROUND(E58*H58,2)</f>
        <v>0</v>
      </c>
      <c r="N58" s="619"/>
      <c r="O58" s="619"/>
      <c r="P58" s="622"/>
      <c r="Q58" s="622"/>
      <c r="R58" s="449" t="s">
        <v>439</v>
      </c>
      <c r="S58" s="449">
        <v>252</v>
      </c>
      <c r="T58" s="460">
        <f t="shared" ref="T58:T65" si="12">H58</f>
        <v>3380</v>
      </c>
      <c r="U58" s="474">
        <f t="shared" ref="U58:U65" si="13">ROUND(P58*T58,2)</f>
        <v>0</v>
      </c>
      <c r="V58" s="424"/>
    </row>
    <row r="59" spans="1:22" x14ac:dyDescent="0.25">
      <c r="A59" s="589"/>
      <c r="B59" s="589"/>
      <c r="C59" s="143">
        <v>0</v>
      </c>
      <c r="D59" s="143">
        <v>0</v>
      </c>
      <c r="E59" s="116">
        <f t="shared" si="10"/>
        <v>0</v>
      </c>
      <c r="F59" s="443" t="s">
        <v>439</v>
      </c>
      <c r="G59" s="443">
        <v>253</v>
      </c>
      <c r="H59" s="457">
        <f>'1461'!H59</f>
        <v>6896</v>
      </c>
      <c r="I59" s="101">
        <f t="shared" si="11"/>
        <v>0</v>
      </c>
      <c r="N59" s="619"/>
      <c r="O59" s="619"/>
      <c r="P59" s="622"/>
      <c r="Q59" s="622"/>
      <c r="R59" s="449" t="s">
        <v>439</v>
      </c>
      <c r="S59" s="449">
        <v>253</v>
      </c>
      <c r="T59" s="460">
        <f t="shared" si="12"/>
        <v>6896</v>
      </c>
      <c r="U59" s="474">
        <f t="shared" si="13"/>
        <v>0</v>
      </c>
      <c r="V59" s="424"/>
    </row>
    <row r="60" spans="1:22" x14ac:dyDescent="0.25">
      <c r="A60" s="589"/>
      <c r="B60" s="589"/>
      <c r="C60" s="143">
        <v>21.5</v>
      </c>
      <c r="D60" s="143">
        <v>19.5</v>
      </c>
      <c r="E60" s="116">
        <f t="shared" si="10"/>
        <v>41</v>
      </c>
      <c r="F60" s="444" t="s">
        <v>13</v>
      </c>
      <c r="G60" s="443">
        <v>251</v>
      </c>
      <c r="H60" s="457">
        <f>'1461'!H60</f>
        <v>1173</v>
      </c>
      <c r="I60" s="101">
        <f t="shared" si="11"/>
        <v>48093</v>
      </c>
      <c r="N60" s="619"/>
      <c r="O60" s="619"/>
      <c r="P60" s="622"/>
      <c r="Q60" s="622"/>
      <c r="R60" s="40" t="s">
        <v>13</v>
      </c>
      <c r="S60" s="449">
        <v>251</v>
      </c>
      <c r="T60" s="460">
        <f t="shared" si="12"/>
        <v>1173</v>
      </c>
      <c r="U60" s="474">
        <f t="shared" si="13"/>
        <v>0</v>
      </c>
      <c r="V60" s="424"/>
    </row>
    <row r="61" spans="1:22" x14ac:dyDescent="0.25">
      <c r="A61" s="589"/>
      <c r="B61" s="589"/>
      <c r="C61" s="143">
        <v>0</v>
      </c>
      <c r="D61" s="143">
        <v>0.5</v>
      </c>
      <c r="E61" s="116">
        <f t="shared" si="10"/>
        <v>0.5</v>
      </c>
      <c r="F61" s="444" t="s">
        <v>13</v>
      </c>
      <c r="G61" s="443">
        <v>252</v>
      </c>
      <c r="H61" s="457">
        <f>'1461'!H61</f>
        <v>3506</v>
      </c>
      <c r="I61" s="101">
        <f t="shared" si="11"/>
        <v>1753</v>
      </c>
      <c r="N61" s="619"/>
      <c r="O61" s="619"/>
      <c r="P61" s="622"/>
      <c r="Q61" s="622"/>
      <c r="R61" s="40" t="s">
        <v>13</v>
      </c>
      <c r="S61" s="449">
        <v>252</v>
      </c>
      <c r="T61" s="460">
        <f t="shared" si="12"/>
        <v>3506</v>
      </c>
      <c r="U61" s="474">
        <f t="shared" si="13"/>
        <v>0</v>
      </c>
      <c r="V61" s="424"/>
    </row>
    <row r="62" spans="1:22" x14ac:dyDescent="0.25">
      <c r="A62" s="589"/>
      <c r="B62" s="589"/>
      <c r="C62" s="143">
        <v>0</v>
      </c>
      <c r="D62" s="143">
        <v>0</v>
      </c>
      <c r="E62" s="116">
        <f t="shared" si="10"/>
        <v>0</v>
      </c>
      <c r="F62" s="444" t="s">
        <v>13</v>
      </c>
      <c r="G62" s="443">
        <v>253</v>
      </c>
      <c r="H62" s="457">
        <f>'1461'!H62</f>
        <v>7023</v>
      </c>
      <c r="I62" s="101">
        <f t="shared" si="11"/>
        <v>0</v>
      </c>
      <c r="N62" s="619"/>
      <c r="O62" s="619"/>
      <c r="P62" s="622"/>
      <c r="Q62" s="622"/>
      <c r="R62" s="40" t="s">
        <v>13</v>
      </c>
      <c r="S62" s="449">
        <v>253</v>
      </c>
      <c r="T62" s="460">
        <f t="shared" si="12"/>
        <v>7023</v>
      </c>
      <c r="U62" s="474">
        <f t="shared" si="13"/>
        <v>0</v>
      </c>
      <c r="V62" s="424"/>
    </row>
    <row r="63" spans="1:22" x14ac:dyDescent="0.25">
      <c r="A63" s="589"/>
      <c r="B63" s="589"/>
      <c r="C63" s="143">
        <v>0</v>
      </c>
      <c r="D63" s="143">
        <v>0</v>
      </c>
      <c r="E63" s="116">
        <f t="shared" si="10"/>
        <v>0</v>
      </c>
      <c r="F63" s="444" t="s">
        <v>14</v>
      </c>
      <c r="G63" s="443">
        <v>251</v>
      </c>
      <c r="H63" s="457">
        <f>'1461'!H63</f>
        <v>835</v>
      </c>
      <c r="I63" s="101">
        <f t="shared" si="11"/>
        <v>0</v>
      </c>
      <c r="N63" s="619"/>
      <c r="O63" s="619"/>
      <c r="P63" s="622"/>
      <c r="Q63" s="622"/>
      <c r="R63" s="40" t="s">
        <v>14</v>
      </c>
      <c r="S63" s="449">
        <v>251</v>
      </c>
      <c r="T63" s="460">
        <f t="shared" si="12"/>
        <v>835</v>
      </c>
      <c r="U63" s="474">
        <f t="shared" si="13"/>
        <v>0</v>
      </c>
      <c r="V63" s="424"/>
    </row>
    <row r="64" spans="1:22" x14ac:dyDescent="0.25">
      <c r="A64" s="589"/>
      <c r="B64" s="589"/>
      <c r="C64" s="143">
        <v>0</v>
      </c>
      <c r="D64" s="143">
        <v>0</v>
      </c>
      <c r="E64" s="116">
        <f t="shared" si="10"/>
        <v>0</v>
      </c>
      <c r="F64" s="444" t="s">
        <v>14</v>
      </c>
      <c r="G64" s="443">
        <v>252</v>
      </c>
      <c r="H64" s="457">
        <f>'1461'!H64</f>
        <v>3168</v>
      </c>
      <c r="I64" s="101">
        <f t="shared" si="11"/>
        <v>0</v>
      </c>
      <c r="N64" s="619"/>
      <c r="O64" s="619"/>
      <c r="P64" s="622"/>
      <c r="Q64" s="622"/>
      <c r="R64" s="40" t="s">
        <v>14</v>
      </c>
      <c r="S64" s="449">
        <v>252</v>
      </c>
      <c r="T64" s="460">
        <f t="shared" si="12"/>
        <v>3168</v>
      </c>
      <c r="U64" s="474">
        <f t="shared" si="13"/>
        <v>0</v>
      </c>
      <c r="V64" s="424"/>
    </row>
    <row r="65" spans="1:22" ht="16.5" thickBot="1" x14ac:dyDescent="0.3">
      <c r="A65" s="589"/>
      <c r="B65" s="589"/>
      <c r="C65" s="143">
        <v>0</v>
      </c>
      <c r="D65" s="143">
        <v>0</v>
      </c>
      <c r="E65" s="116">
        <f t="shared" si="10"/>
        <v>0</v>
      </c>
      <c r="F65" s="444" t="s">
        <v>14</v>
      </c>
      <c r="G65" s="443">
        <v>253</v>
      </c>
      <c r="H65" s="457">
        <f>'1461'!H65</f>
        <v>6685</v>
      </c>
      <c r="I65" s="101">
        <f t="shared" si="11"/>
        <v>0</v>
      </c>
      <c r="N65" s="619"/>
      <c r="O65" s="619"/>
      <c r="P65" s="623"/>
      <c r="Q65" s="623"/>
      <c r="R65" s="40" t="s">
        <v>14</v>
      </c>
      <c r="S65" s="449">
        <v>253</v>
      </c>
      <c r="T65" s="460">
        <f t="shared" si="12"/>
        <v>6685</v>
      </c>
      <c r="U65" s="475">
        <f t="shared" si="13"/>
        <v>0</v>
      </c>
      <c r="V65" s="424"/>
    </row>
    <row r="66" spans="1:22" ht="16.5" thickBot="1" x14ac:dyDescent="0.3">
      <c r="A66" s="440"/>
      <c r="C66" s="97">
        <f>SUM(C57:C65)</f>
        <v>27.5</v>
      </c>
      <c r="D66" s="97">
        <f>SUM(D57:D65)</f>
        <v>26</v>
      </c>
      <c r="E66" s="97">
        <f>SUM(E57:E65)</f>
        <v>53.5</v>
      </c>
      <c r="F66" s="590" t="s">
        <v>448</v>
      </c>
      <c r="G66" s="590"/>
      <c r="H66" s="590"/>
      <c r="I66" s="97">
        <f>SUM(I57:I65)</f>
        <v>62410</v>
      </c>
      <c r="N66" s="446"/>
      <c r="O66" s="51"/>
      <c r="P66" s="602">
        <f>SUM(P57:P65)</f>
        <v>0</v>
      </c>
      <c r="Q66" s="602"/>
      <c r="R66" s="603" t="s">
        <v>448</v>
      </c>
      <c r="S66" s="603"/>
      <c r="T66" s="603"/>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450</v>
      </c>
      <c r="N68" s="453" t="s">
        <v>458</v>
      </c>
      <c r="O68" s="51"/>
      <c r="P68" s="51"/>
      <c r="Q68" s="51"/>
      <c r="R68" s="51"/>
      <c r="S68" s="51"/>
      <c r="T68" s="51"/>
      <c r="U68" s="51"/>
    </row>
    <row r="69" spans="1:22" x14ac:dyDescent="0.25">
      <c r="A69" s="584" t="s">
        <v>403</v>
      </c>
      <c r="B69" s="578"/>
      <c r="C69" s="112">
        <f>E30</f>
        <v>524.50000000000011</v>
      </c>
      <c r="D69" s="565" t="s">
        <v>414</v>
      </c>
      <c r="E69" s="565"/>
      <c r="F69" s="565"/>
      <c r="G69" s="565"/>
      <c r="H69" s="300">
        <f>'1461'!H69</f>
        <v>210228.91</v>
      </c>
      <c r="I69" s="113"/>
      <c r="N69" s="600" t="s">
        <v>407</v>
      </c>
      <c r="O69" s="601"/>
      <c r="P69" s="41">
        <f>P30</f>
        <v>0</v>
      </c>
      <c r="Q69" s="606" t="s">
        <v>409</v>
      </c>
      <c r="R69" s="607"/>
      <c r="S69" s="607"/>
      <c r="T69" s="604">
        <f>H69</f>
        <v>210228.91</v>
      </c>
      <c r="U69" s="604"/>
    </row>
    <row r="70" spans="1:22" x14ac:dyDescent="0.25">
      <c r="B70" s="69"/>
      <c r="G70" s="42" t="s">
        <v>12</v>
      </c>
      <c r="H70" s="114">
        <f>ROUND(C69/H69,6)</f>
        <v>2.4949999999999998E-3</v>
      </c>
      <c r="I70" s="115"/>
      <c r="N70" s="601"/>
      <c r="O70" s="601"/>
      <c r="P70" s="601"/>
      <c r="Q70" s="601"/>
      <c r="R70" s="601"/>
      <c r="S70" s="601"/>
      <c r="T70" s="605">
        <f>ROUND(P69/T69,6)</f>
        <v>0</v>
      </c>
      <c r="U70" s="605"/>
    </row>
    <row r="71" spans="1:22" x14ac:dyDescent="0.25">
      <c r="A71" s="442" t="s">
        <v>451</v>
      </c>
      <c r="N71" s="453" t="s">
        <v>459</v>
      </c>
      <c r="O71" s="51"/>
      <c r="P71" s="51"/>
      <c r="Q71" s="51"/>
      <c r="R71" s="51"/>
      <c r="S71" s="51"/>
      <c r="T71" s="51"/>
      <c r="U71" s="51"/>
    </row>
    <row r="72" spans="1:22" x14ac:dyDescent="0.25">
      <c r="A72" s="584" t="s">
        <v>404</v>
      </c>
      <c r="B72" s="578"/>
      <c r="C72" s="112">
        <f>H30</f>
        <v>564.66929999999991</v>
      </c>
      <c r="D72" s="565" t="s">
        <v>415</v>
      </c>
      <c r="E72" s="565"/>
      <c r="F72" s="565"/>
      <c r="G72" s="565"/>
      <c r="H72" s="301">
        <f>'1461'!H72</f>
        <v>234891.44</v>
      </c>
      <c r="I72" s="116"/>
      <c r="N72" s="600" t="s">
        <v>408</v>
      </c>
      <c r="O72" s="601"/>
      <c r="P72" s="41">
        <f>T30</f>
        <v>0</v>
      </c>
      <c r="Q72" s="606" t="s">
        <v>410</v>
      </c>
      <c r="R72" s="607"/>
      <c r="S72" s="607"/>
      <c r="T72" s="604">
        <f>H72</f>
        <v>234891.44</v>
      </c>
      <c r="U72" s="604"/>
    </row>
    <row r="73" spans="1:22" x14ac:dyDescent="0.25">
      <c r="G73" s="42" t="s">
        <v>12</v>
      </c>
      <c r="H73" s="114">
        <f>ROUND(C72/H72,6)</f>
        <v>2.4039999999999999E-3</v>
      </c>
      <c r="I73" s="114"/>
      <c r="N73" s="601"/>
      <c r="O73" s="601"/>
      <c r="P73" s="601"/>
      <c r="Q73" s="601"/>
      <c r="R73" s="601"/>
      <c r="S73" s="601"/>
      <c r="T73" s="605">
        <f>ROUND(P72/T72,6)</f>
        <v>0</v>
      </c>
      <c r="U73" s="605"/>
    </row>
    <row r="74" spans="1:22" x14ac:dyDescent="0.25">
      <c r="A74" s="417" t="s">
        <v>452</v>
      </c>
      <c r="B74" s="414"/>
      <c r="C74" s="414"/>
      <c r="D74" s="414"/>
      <c r="E74" s="414"/>
      <c r="F74" s="414"/>
      <c r="G74" s="414"/>
      <c r="H74" s="414"/>
      <c r="I74" s="414"/>
      <c r="N74" s="416" t="s">
        <v>460</v>
      </c>
      <c r="O74" s="415"/>
      <c r="P74" s="415"/>
      <c r="Q74" s="415"/>
      <c r="R74" s="415"/>
      <c r="S74" s="415"/>
      <c r="T74" s="415"/>
      <c r="U74" s="415"/>
      <c r="V74" s="414"/>
    </row>
    <row r="75" spans="1:22" x14ac:dyDescent="0.25">
      <c r="A75" s="584" t="s">
        <v>405</v>
      </c>
      <c r="B75" s="578"/>
      <c r="C75" s="112">
        <f>E30</f>
        <v>524.50000000000011</v>
      </c>
      <c r="D75" s="557" t="s">
        <v>416</v>
      </c>
      <c r="E75" s="557"/>
      <c r="F75" s="557"/>
      <c r="G75" s="557"/>
      <c r="H75" s="300">
        <f>'1461'!H75</f>
        <v>187665.41</v>
      </c>
      <c r="I75" s="113"/>
      <c r="N75" s="600" t="s">
        <v>406</v>
      </c>
      <c r="O75" s="601"/>
      <c r="P75" s="41">
        <f>P30</f>
        <v>0</v>
      </c>
      <c r="Q75" s="636" t="s">
        <v>411</v>
      </c>
      <c r="R75" s="637"/>
      <c r="S75" s="637"/>
      <c r="T75" s="604">
        <f>H75</f>
        <v>187665.41</v>
      </c>
      <c r="U75" s="604"/>
    </row>
    <row r="76" spans="1:22" x14ac:dyDescent="0.25">
      <c r="B76" s="69"/>
      <c r="G76" s="42" t="s">
        <v>12</v>
      </c>
      <c r="H76" s="114">
        <f>ROUND(C75/H75,6)</f>
        <v>2.7950000000000002E-3</v>
      </c>
      <c r="I76" s="115"/>
      <c r="N76" s="601"/>
      <c r="O76" s="601"/>
      <c r="P76" s="601"/>
      <c r="Q76" s="601"/>
      <c r="R76" s="601"/>
      <c r="S76" s="601"/>
      <c r="T76" s="605">
        <f>ROUND(P75/T75,6)</f>
        <v>0</v>
      </c>
      <c r="U76" s="605"/>
    </row>
    <row r="77" spans="1:22" x14ac:dyDescent="0.25">
      <c r="A77" s="417" t="s">
        <v>453</v>
      </c>
      <c r="B77" s="414"/>
      <c r="C77" s="414"/>
      <c r="D77" s="414"/>
      <c r="E77" s="414"/>
      <c r="F77" s="414"/>
      <c r="G77" s="414"/>
      <c r="H77" s="414"/>
      <c r="I77" s="414"/>
      <c r="N77" s="416" t="s">
        <v>461</v>
      </c>
      <c r="O77" s="415"/>
      <c r="P77" s="415"/>
      <c r="Q77" s="415"/>
      <c r="R77" s="415"/>
      <c r="S77" s="415"/>
      <c r="T77" s="415"/>
      <c r="U77" s="415"/>
      <c r="V77" s="414"/>
    </row>
    <row r="78" spans="1:22" x14ac:dyDescent="0.25">
      <c r="A78" s="584" t="s">
        <v>405</v>
      </c>
      <c r="B78" s="578"/>
      <c r="C78" s="112">
        <f>E30</f>
        <v>524.50000000000011</v>
      </c>
      <c r="D78" s="585" t="s">
        <v>417</v>
      </c>
      <c r="E78" s="585"/>
      <c r="F78" s="585"/>
      <c r="G78" s="585"/>
      <c r="H78" s="300">
        <f>'1461'!H78</f>
        <v>209892.26</v>
      </c>
      <c r="I78" s="113"/>
      <c r="N78" s="600" t="s">
        <v>406</v>
      </c>
      <c r="O78" s="601"/>
      <c r="P78" s="41">
        <f>P30</f>
        <v>0</v>
      </c>
      <c r="Q78" s="634" t="s">
        <v>412</v>
      </c>
      <c r="R78" s="635"/>
      <c r="S78" s="635"/>
      <c r="T78" s="604">
        <f>H78</f>
        <v>209892.26</v>
      </c>
      <c r="U78" s="604"/>
    </row>
    <row r="79" spans="1:22" x14ac:dyDescent="0.25">
      <c r="B79" s="69"/>
      <c r="G79" s="42" t="s">
        <v>12</v>
      </c>
      <c r="H79" s="114">
        <f>ROUND(C78/H78,6)</f>
        <v>2.4989999999999999E-3</v>
      </c>
      <c r="I79" s="115"/>
      <c r="N79" s="601"/>
      <c r="O79" s="601"/>
      <c r="P79" s="601"/>
      <c r="Q79" s="601"/>
      <c r="R79" s="601"/>
      <c r="S79" s="601"/>
      <c r="T79" s="605">
        <f>ROUND(P78/T78,6)</f>
        <v>0</v>
      </c>
      <c r="U79" s="605"/>
    </row>
    <row r="80" spans="1:22" x14ac:dyDescent="0.25">
      <c r="A80" s="417" t="s">
        <v>454</v>
      </c>
      <c r="B80" s="414"/>
      <c r="C80" s="414"/>
      <c r="D80" s="414"/>
      <c r="E80" s="414"/>
      <c r="F80" s="414"/>
      <c r="G80" s="414"/>
      <c r="H80" s="414"/>
      <c r="I80" s="414"/>
      <c r="N80" s="416" t="s">
        <v>462</v>
      </c>
      <c r="O80" s="415"/>
      <c r="P80" s="415"/>
      <c r="Q80" s="415"/>
      <c r="R80" s="415"/>
      <c r="S80" s="415"/>
      <c r="T80" s="415"/>
      <c r="U80" s="415"/>
      <c r="V80" s="414"/>
    </row>
    <row r="81" spans="1:21" x14ac:dyDescent="0.25">
      <c r="A81" s="584" t="s">
        <v>413</v>
      </c>
      <c r="B81" s="578"/>
      <c r="C81" s="112">
        <f>E30</f>
        <v>524.50000000000011</v>
      </c>
      <c r="D81" s="557" t="s">
        <v>418</v>
      </c>
      <c r="E81" s="557"/>
      <c r="F81" s="557"/>
      <c r="G81" s="557"/>
      <c r="H81" s="300">
        <f>'1461'!H81</f>
        <v>187328.76</v>
      </c>
      <c r="I81" s="113"/>
      <c r="N81" s="600" t="s">
        <v>419</v>
      </c>
      <c r="O81" s="601"/>
      <c r="P81" s="41">
        <f>P30</f>
        <v>0</v>
      </c>
      <c r="Q81" s="636" t="s">
        <v>420</v>
      </c>
      <c r="R81" s="637"/>
      <c r="S81" s="637"/>
      <c r="T81" s="604">
        <f>H81</f>
        <v>187328.76</v>
      </c>
      <c r="U81" s="604"/>
    </row>
    <row r="82" spans="1:21" x14ac:dyDescent="0.25">
      <c r="B82" s="69"/>
      <c r="G82" s="42" t="s">
        <v>12</v>
      </c>
      <c r="H82" s="114">
        <f>ROUND(C81/H81,6)</f>
        <v>2.8E-3</v>
      </c>
      <c r="I82" s="115"/>
      <c r="N82" s="601"/>
      <c r="O82" s="601"/>
      <c r="P82" s="601"/>
      <c r="Q82" s="601"/>
      <c r="R82" s="601"/>
      <c r="S82" s="601"/>
      <c r="T82" s="605">
        <f>ROUND(P81/T81,6)</f>
        <v>0</v>
      </c>
      <c r="U82" s="605"/>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455</v>
      </c>
      <c r="D85" s="69"/>
      <c r="E85" s="43" t="s">
        <v>299</v>
      </c>
      <c r="F85" s="302">
        <f>'1461'!F85</f>
        <v>46163704</v>
      </c>
      <c r="G85" s="37" t="s">
        <v>6</v>
      </c>
      <c r="H85" s="422">
        <f>H79</f>
        <v>2.4989999999999999E-3</v>
      </c>
      <c r="I85" s="101">
        <f>ROUND(F85*H85,2)</f>
        <v>115363.1</v>
      </c>
      <c r="N85" s="453" t="s">
        <v>455</v>
      </c>
      <c r="O85" s="51"/>
      <c r="P85" s="51"/>
      <c r="Q85" s="44"/>
      <c r="R85" s="419">
        <f>F85</f>
        <v>46163704</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87" t="s">
        <v>71</v>
      </c>
      <c r="B87" s="578"/>
      <c r="C87" s="578"/>
      <c r="D87" s="69"/>
      <c r="E87" s="43"/>
      <c r="F87" s="117"/>
      <c r="G87" s="37"/>
      <c r="H87" s="422"/>
      <c r="I87" s="101"/>
      <c r="N87" s="600" t="s">
        <v>463</v>
      </c>
      <c r="O87" s="601"/>
      <c r="P87" s="601"/>
      <c r="Q87" s="51"/>
      <c r="R87" s="420"/>
      <c r="S87" s="51"/>
      <c r="T87" s="38"/>
      <c r="U87" s="478"/>
    </row>
    <row r="88" spans="1:21" x14ac:dyDescent="0.25">
      <c r="A88" s="587" t="s">
        <v>99</v>
      </c>
      <c r="B88" s="578"/>
      <c r="C88" s="578"/>
      <c r="D88" s="69"/>
      <c r="E88" s="43" t="s">
        <v>3</v>
      </c>
      <c r="F88" s="302">
        <f>'1461'!F88</f>
        <v>0</v>
      </c>
      <c r="G88" s="37" t="s">
        <v>6</v>
      </c>
      <c r="H88" s="422">
        <f>H70</f>
        <v>2.4949999999999998E-3</v>
      </c>
      <c r="I88" s="101">
        <f>ROUND(F88*H88,2)</f>
        <v>0</v>
      </c>
      <c r="N88" s="638" t="s">
        <v>99</v>
      </c>
      <c r="O88" s="601"/>
      <c r="P88" s="601"/>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456</v>
      </c>
      <c r="D90" s="69"/>
      <c r="E90" s="43" t="s">
        <v>421</v>
      </c>
      <c r="F90" s="302">
        <f>'1461'!F90</f>
        <v>19042026</v>
      </c>
      <c r="G90" s="37" t="s">
        <v>6</v>
      </c>
      <c r="H90" s="422">
        <f>H82</f>
        <v>2.8E-3</v>
      </c>
      <c r="I90" s="101">
        <f>ROUND(F90*H90,2)</f>
        <v>53317.67</v>
      </c>
      <c r="N90" s="453" t="s">
        <v>456</v>
      </c>
      <c r="O90" s="51"/>
      <c r="P90" s="51"/>
      <c r="Q90" s="44"/>
      <c r="R90" s="419">
        <f>F90</f>
        <v>19042026</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457</v>
      </c>
      <c r="D92" s="69"/>
      <c r="E92" s="43" t="s">
        <v>3</v>
      </c>
      <c r="F92" s="302">
        <f>'1461'!F92</f>
        <v>11441151</v>
      </c>
      <c r="G92" s="37" t="s">
        <v>6</v>
      </c>
      <c r="H92" s="422">
        <f>H76</f>
        <v>2.7950000000000002E-3</v>
      </c>
      <c r="I92" s="101">
        <f t="shared" ref="I92:I96" si="14">ROUND(F92*H92,2)</f>
        <v>31978.02</v>
      </c>
      <c r="N92" s="453" t="s">
        <v>457</v>
      </c>
      <c r="O92" s="51"/>
      <c r="P92" s="51"/>
      <c r="Q92" s="44"/>
      <c r="R92" s="419">
        <f t="shared" ref="R92:R96" si="15">F92</f>
        <v>11441151</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84" t="s">
        <v>422</v>
      </c>
      <c r="B94" s="578"/>
      <c r="C94" s="578"/>
      <c r="D94" s="69"/>
      <c r="E94" s="43" t="s">
        <v>4</v>
      </c>
      <c r="F94" s="302">
        <f>'1461'!F94</f>
        <v>247265670</v>
      </c>
      <c r="G94" s="37" t="s">
        <v>6</v>
      </c>
      <c r="H94" s="422">
        <f>H73</f>
        <v>2.4039999999999999E-3</v>
      </c>
      <c r="I94" s="101">
        <f t="shared" si="14"/>
        <v>594426.67000000004</v>
      </c>
      <c r="N94" s="601" t="s">
        <v>422</v>
      </c>
      <c r="O94" s="601"/>
      <c r="P94" s="601"/>
      <c r="Q94" s="44"/>
      <c r="R94" s="419">
        <f t="shared" si="15"/>
        <v>247265670</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4" t="s">
        <v>423</v>
      </c>
      <c r="B96" s="578"/>
      <c r="C96" s="578"/>
      <c r="D96" s="69"/>
      <c r="E96" s="43" t="s">
        <v>4</v>
      </c>
      <c r="F96" s="302">
        <f>'1461'!F96</f>
        <v>0</v>
      </c>
      <c r="G96" s="37" t="s">
        <v>6</v>
      </c>
      <c r="H96" s="422">
        <f>H73</f>
        <v>2.4039999999999999E-3</v>
      </c>
      <c r="I96" s="101">
        <f t="shared" si="14"/>
        <v>0</v>
      </c>
      <c r="N96" s="600" t="s">
        <v>423</v>
      </c>
      <c r="O96" s="601"/>
      <c r="P96" s="601"/>
      <c r="Q96" s="44"/>
      <c r="R96" s="419">
        <f t="shared" si="15"/>
        <v>0</v>
      </c>
      <c r="S96" s="38" t="s">
        <v>6</v>
      </c>
      <c r="T96" s="421">
        <f>T73</f>
        <v>0</v>
      </c>
      <c r="U96" s="473">
        <f>ROUND(R96*T96,2)</f>
        <v>0</v>
      </c>
    </row>
    <row r="97" spans="1:21" x14ac:dyDescent="0.25">
      <c r="A97" s="530"/>
      <c r="B97" s="529"/>
      <c r="C97" s="529"/>
      <c r="D97" s="529"/>
      <c r="E97" s="527"/>
      <c r="F97" s="117"/>
      <c r="G97" s="528"/>
      <c r="H97" s="422"/>
      <c r="I97" s="101"/>
      <c r="N97" s="533"/>
      <c r="O97" s="532"/>
      <c r="P97" s="532"/>
      <c r="Q97" s="44"/>
      <c r="R97" s="535"/>
      <c r="S97" s="534"/>
      <c r="T97" s="421"/>
      <c r="U97" s="477"/>
    </row>
    <row r="98" spans="1:21" x14ac:dyDescent="0.25">
      <c r="A98" s="530" t="s">
        <v>497</v>
      </c>
      <c r="B98" s="529"/>
      <c r="C98" s="529"/>
      <c r="D98" s="529"/>
      <c r="E98" s="527" t="s">
        <v>3</v>
      </c>
      <c r="F98" s="290">
        <v>0</v>
      </c>
      <c r="G98" s="528" t="s">
        <v>6</v>
      </c>
      <c r="H98" s="422">
        <f>H70</f>
        <v>2.4949999999999998E-3</v>
      </c>
      <c r="I98" s="101">
        <f t="shared" ref="I98" si="16">ROUND(F98*H98,2)</f>
        <v>0</v>
      </c>
      <c r="N98" s="533" t="s">
        <v>497</v>
      </c>
      <c r="O98" s="533"/>
      <c r="P98" s="533"/>
      <c r="Q98" s="44"/>
      <c r="R98" s="536">
        <f>F98</f>
        <v>0</v>
      </c>
      <c r="S98" s="534" t="s">
        <v>6</v>
      </c>
      <c r="T98" s="421">
        <f>T70</f>
        <v>0</v>
      </c>
      <c r="U98" s="473">
        <f>ROUND(R98*T98,2)</f>
        <v>0</v>
      </c>
    </row>
    <row r="99" spans="1:21" x14ac:dyDescent="0.25">
      <c r="A99" s="530"/>
      <c r="B99" s="529"/>
      <c r="C99" s="529"/>
      <c r="D99" s="529"/>
      <c r="E99" s="527"/>
      <c r="F99" s="276"/>
      <c r="G99" s="528"/>
      <c r="H99" s="422"/>
      <c r="I99" s="101"/>
      <c r="N99" s="533"/>
      <c r="O99" s="533"/>
      <c r="P99" s="533"/>
      <c r="Q99" s="44"/>
      <c r="R99" s="535"/>
      <c r="S99" s="534"/>
      <c r="T99" s="421"/>
      <c r="U99" s="477"/>
    </row>
    <row r="100" spans="1:21" x14ac:dyDescent="0.25">
      <c r="A100" s="530"/>
      <c r="B100" s="529"/>
      <c r="C100" s="529"/>
      <c r="D100" s="529"/>
      <c r="E100" s="527"/>
      <c r="F100" s="276"/>
      <c r="G100" s="528"/>
      <c r="H100" s="422"/>
      <c r="I100" s="101"/>
      <c r="N100" s="533"/>
      <c r="O100" s="533"/>
      <c r="P100" s="533"/>
      <c r="Q100" s="44"/>
      <c r="R100" s="420"/>
      <c r="S100" s="534"/>
      <c r="T100" s="421"/>
      <c r="U100" s="103"/>
    </row>
    <row r="101" spans="1:21" x14ac:dyDescent="0.25">
      <c r="A101" s="399" t="s">
        <v>498</v>
      </c>
      <c r="N101" s="407" t="s">
        <v>498</v>
      </c>
      <c r="O101" s="51"/>
      <c r="P101" s="51"/>
      <c r="Q101" s="51"/>
      <c r="R101" s="51"/>
      <c r="S101" s="51"/>
      <c r="T101" s="51"/>
      <c r="U101" s="51"/>
    </row>
    <row r="102" spans="1:21" x14ac:dyDescent="0.25">
      <c r="B102" s="69"/>
      <c r="C102" s="563" t="s">
        <v>60</v>
      </c>
      <c r="D102" s="563"/>
      <c r="E102" s="69"/>
      <c r="F102" s="39" t="s">
        <v>28</v>
      </c>
      <c r="G102" s="69"/>
      <c r="H102" s="69"/>
      <c r="I102" s="69"/>
      <c r="N102" s="45"/>
      <c r="O102" s="45"/>
      <c r="P102" s="45"/>
      <c r="Q102" s="45"/>
      <c r="R102" s="45"/>
      <c r="S102" s="45"/>
      <c r="T102" s="45"/>
      <c r="U102" s="45"/>
    </row>
    <row r="103" spans="1:21" x14ac:dyDescent="0.25">
      <c r="A103" s="3"/>
      <c r="B103" s="118"/>
      <c r="C103" s="564" t="s">
        <v>101</v>
      </c>
      <c r="D103" s="564"/>
      <c r="E103" s="423" t="s">
        <v>426</v>
      </c>
      <c r="F103" s="120" t="s">
        <v>106</v>
      </c>
      <c r="G103" s="121"/>
      <c r="H103" s="121"/>
      <c r="I103" s="121"/>
      <c r="N103" s="631" t="s">
        <v>35</v>
      </c>
      <c r="O103" s="631"/>
      <c r="P103" s="672" t="s">
        <v>428</v>
      </c>
      <c r="Q103" s="633"/>
      <c r="R103" s="604" t="s">
        <v>31</v>
      </c>
      <c r="S103" s="604"/>
      <c r="T103" s="604"/>
      <c r="U103" s="604"/>
    </row>
    <row r="104" spans="1:21" x14ac:dyDescent="0.25">
      <c r="A104" s="26"/>
      <c r="B104" s="52" t="s">
        <v>105</v>
      </c>
      <c r="C104" s="596">
        <f>H14+H15+H20+H23+H26</f>
        <v>283.92500000000001</v>
      </c>
      <c r="D104" s="596"/>
      <c r="E104" s="46">
        <f>H8</f>
        <v>1.0407999999999999</v>
      </c>
      <c r="F104" s="303">
        <f>'1461'!F104</f>
        <v>950.92</v>
      </c>
      <c r="G104" s="39" t="s">
        <v>12</v>
      </c>
      <c r="H104" s="101">
        <f>ROUND(C104*E104*F104,2)</f>
        <v>281005.55</v>
      </c>
      <c r="I104" s="104"/>
      <c r="N104" s="28" t="s">
        <v>17</v>
      </c>
      <c r="O104" s="47">
        <f>T14+T15+T20+T23+T26</f>
        <v>0</v>
      </c>
      <c r="P104" s="611">
        <f>T8</f>
        <v>1.0407999999999999</v>
      </c>
      <c r="Q104" s="611"/>
      <c r="R104" s="48">
        <f>F104</f>
        <v>950.92</v>
      </c>
      <c r="S104" s="40" t="s">
        <v>12</v>
      </c>
      <c r="T104" s="479">
        <f>ROUND(O104*P104*R104,2)</f>
        <v>0</v>
      </c>
      <c r="U104" s="102"/>
    </row>
    <row r="105" spans="1:21" x14ac:dyDescent="0.25">
      <c r="A105" s="49"/>
      <c r="B105" s="49" t="s">
        <v>104</v>
      </c>
      <c r="C105" s="596">
        <f>H16+H17+H21+H24+H27</f>
        <v>280.74430000000001</v>
      </c>
      <c r="D105" s="596"/>
      <c r="E105" s="46">
        <f>H8</f>
        <v>1.0407999999999999</v>
      </c>
      <c r="F105" s="303">
        <f>'1461'!F105</f>
        <v>907.92</v>
      </c>
      <c r="G105" s="39" t="s">
        <v>12</v>
      </c>
      <c r="H105" s="101">
        <f>ROUND(C105*E105*F105,2)</f>
        <v>265293.01</v>
      </c>
      <c r="N105" s="50" t="s">
        <v>13</v>
      </c>
      <c r="O105" s="47">
        <f>T16+T17+T21+T24+T27</f>
        <v>0</v>
      </c>
      <c r="P105" s="611">
        <f>T8</f>
        <v>1.0407999999999999</v>
      </c>
      <c r="Q105" s="611"/>
      <c r="R105" s="48">
        <f>F105</f>
        <v>907.92</v>
      </c>
      <c r="S105" s="40" t="s">
        <v>12</v>
      </c>
      <c r="T105" s="479">
        <f>ROUND(O105*P105*R105,2)</f>
        <v>0</v>
      </c>
      <c r="U105" s="51"/>
    </row>
    <row r="106" spans="1:21" ht="16.5" thickBot="1" x14ac:dyDescent="0.3">
      <c r="A106" s="52"/>
      <c r="B106" s="52" t="s">
        <v>103</v>
      </c>
      <c r="C106" s="596">
        <f>H18+H19+H22+H25+H28+H29</f>
        <v>0</v>
      </c>
      <c r="D106" s="596"/>
      <c r="E106" s="46">
        <f>H8</f>
        <v>1.0407999999999999</v>
      </c>
      <c r="F106" s="303">
        <f>'1461'!F106</f>
        <v>910.12</v>
      </c>
      <c r="G106" s="39" t="s">
        <v>12</v>
      </c>
      <c r="H106" s="94">
        <f>ROUND(C106*E106*F106,2)</f>
        <v>0</v>
      </c>
      <c r="N106" s="53" t="s">
        <v>14</v>
      </c>
      <c r="O106" s="54">
        <f>T18+T19+T22+T25+T28+T29</f>
        <v>0</v>
      </c>
      <c r="P106" s="611">
        <f>T8</f>
        <v>1.0407999999999999</v>
      </c>
      <c r="Q106" s="611"/>
      <c r="R106" s="48">
        <f>F106</f>
        <v>910.12</v>
      </c>
      <c r="S106" s="40" t="s">
        <v>12</v>
      </c>
      <c r="T106" s="479">
        <f>ROUND(O106*P106*R106,2)</f>
        <v>0</v>
      </c>
      <c r="U106" s="51"/>
    </row>
    <row r="107" spans="1:21" ht="16.5" thickBot="1" x14ac:dyDescent="0.3">
      <c r="A107" s="55"/>
      <c r="B107" s="122" t="s">
        <v>102</v>
      </c>
      <c r="C107" s="586">
        <f>SUM(C104:C106)</f>
        <v>564.66930000000002</v>
      </c>
      <c r="D107" s="586"/>
      <c r="E107" s="123"/>
      <c r="F107" s="123"/>
      <c r="G107" s="123"/>
      <c r="H107" s="124" t="s">
        <v>100</v>
      </c>
      <c r="I107" s="101">
        <f>IF(A1=75,0,H106+H105+H104)</f>
        <v>546298.56000000006</v>
      </c>
      <c r="N107" s="56" t="s">
        <v>89</v>
      </c>
      <c r="O107" s="57">
        <f>SUM(O104:O106)</f>
        <v>0</v>
      </c>
      <c r="P107" s="612" t="s">
        <v>16</v>
      </c>
      <c r="Q107" s="613"/>
      <c r="R107" s="613"/>
      <c r="S107" s="613"/>
      <c r="T107" s="613"/>
      <c r="U107" s="473">
        <f>IF(N1=75,0,T106+T105+T104)</f>
        <v>0</v>
      </c>
    </row>
    <row r="108" spans="1:21" ht="16.5" thickTop="1" x14ac:dyDescent="0.25">
      <c r="A108" s="555" t="s">
        <v>65</v>
      </c>
      <c r="B108" s="555"/>
      <c r="C108" s="555"/>
      <c r="D108" s="555"/>
      <c r="E108" s="555"/>
      <c r="F108" s="555"/>
      <c r="G108" s="555"/>
      <c r="H108" s="555"/>
      <c r="I108" s="555"/>
      <c r="N108" s="614" t="s">
        <v>65</v>
      </c>
      <c r="O108" s="614"/>
      <c r="P108" s="614"/>
      <c r="Q108" s="614"/>
      <c r="R108" s="614"/>
      <c r="S108" s="614"/>
      <c r="T108" s="614"/>
      <c r="U108" s="614"/>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0" t="s">
        <v>499</v>
      </c>
      <c r="C110" s="43"/>
      <c r="D110" s="69"/>
      <c r="E110" s="43" t="s">
        <v>32</v>
      </c>
      <c r="F110" s="556"/>
      <c r="G110" s="556"/>
      <c r="H110" s="556"/>
      <c r="I110" s="556"/>
      <c r="N110" s="600" t="s">
        <v>499</v>
      </c>
      <c r="O110" s="601"/>
      <c r="P110" s="601"/>
      <c r="Q110" s="615"/>
      <c r="R110" s="615"/>
      <c r="S110" s="615"/>
      <c r="T110" s="615"/>
      <c r="U110" s="103"/>
    </row>
    <row r="111" spans="1:21" x14ac:dyDescent="0.25">
      <c r="B111" s="69"/>
      <c r="C111" s="88" t="s">
        <v>494</v>
      </c>
      <c r="D111" s="333" t="s">
        <v>495</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57" t="s">
        <v>381</v>
      </c>
      <c r="B113" s="558"/>
      <c r="C113" s="143">
        <v>25</v>
      </c>
      <c r="D113" s="143">
        <v>22</v>
      </c>
      <c r="E113" s="116">
        <f>(C113+D113)/2</f>
        <v>23.5</v>
      </c>
      <c r="F113" s="126" t="s">
        <v>30</v>
      </c>
      <c r="G113" s="304">
        <f>'1461'!G113</f>
        <v>576</v>
      </c>
      <c r="I113" s="101">
        <f>ROUND(G113*E113,2)</f>
        <v>13536</v>
      </c>
      <c r="N113" s="630" t="s">
        <v>52</v>
      </c>
      <c r="O113" s="630"/>
      <c r="P113" s="610">
        <f>IF(H133=1,E113,0)</f>
        <v>0</v>
      </c>
      <c r="Q113" s="610"/>
      <c r="R113" s="610"/>
      <c r="S113" s="83" t="s">
        <v>30</v>
      </c>
      <c r="T113" s="58">
        <f>G113</f>
        <v>576</v>
      </c>
      <c r="U113" s="473">
        <f>ROUND(T113*P113,2)</f>
        <v>0</v>
      </c>
    </row>
    <row r="114" spans="1:21" x14ac:dyDescent="0.25">
      <c r="A114" s="557" t="s">
        <v>382</v>
      </c>
      <c r="B114" s="558"/>
      <c r="C114" s="143">
        <v>0</v>
      </c>
      <c r="D114" s="143">
        <v>0</v>
      </c>
      <c r="E114" s="116">
        <f>(C114+D114)/2</f>
        <v>0</v>
      </c>
      <c r="F114" s="126" t="s">
        <v>30</v>
      </c>
      <c r="G114" s="304">
        <f>'1461'!G114</f>
        <v>1823</v>
      </c>
      <c r="I114" s="101">
        <f>ROUND(G114*E114,2)</f>
        <v>0</v>
      </c>
      <c r="N114" s="630" t="s">
        <v>64</v>
      </c>
      <c r="O114" s="630"/>
      <c r="P114" s="608"/>
      <c r="Q114" s="608"/>
      <c r="R114" s="608"/>
      <c r="S114" s="83" t="s">
        <v>30</v>
      </c>
      <c r="T114" s="58">
        <f>G114</f>
        <v>1823</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4" t="s">
        <v>430</v>
      </c>
      <c r="B117" s="578"/>
      <c r="C117" s="578"/>
      <c r="D117" s="69"/>
      <c r="E117" s="39" t="s">
        <v>300</v>
      </c>
      <c r="F117" s="563"/>
      <c r="G117" s="563"/>
      <c r="H117" s="563"/>
      <c r="I117" s="563"/>
      <c r="N117" s="600" t="s">
        <v>431</v>
      </c>
      <c r="O117" s="601"/>
      <c r="P117" s="601"/>
      <c r="Q117" s="601"/>
      <c r="R117" s="601"/>
      <c r="S117" s="601"/>
      <c r="T117" s="601"/>
      <c r="U117" s="601"/>
    </row>
    <row r="118" spans="1:21" hidden="1" x14ac:dyDescent="0.25">
      <c r="B118" s="69"/>
      <c r="C118" s="564" t="s">
        <v>66</v>
      </c>
      <c r="D118" s="564"/>
      <c r="E118" s="564"/>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5" t="s">
        <v>109</v>
      </c>
      <c r="G119" s="563"/>
      <c r="H119" s="37" t="s">
        <v>29</v>
      </c>
      <c r="I119" s="37"/>
      <c r="N119" s="45"/>
      <c r="O119" s="45"/>
      <c r="P119" s="45"/>
      <c r="Q119" s="45"/>
      <c r="R119" s="45"/>
      <c r="S119" s="45"/>
      <c r="T119" s="45"/>
      <c r="U119" s="45"/>
    </row>
    <row r="120" spans="1:21" hidden="1" x14ac:dyDescent="0.25">
      <c r="A120" s="564" t="s">
        <v>69</v>
      </c>
      <c r="B120" s="564"/>
      <c r="C120" s="90" t="s">
        <v>2</v>
      </c>
      <c r="D120" s="90" t="s">
        <v>2</v>
      </c>
      <c r="E120" s="59" t="s">
        <v>2</v>
      </c>
      <c r="F120" s="564" t="s">
        <v>28</v>
      </c>
      <c r="G120" s="564"/>
      <c r="H120" s="59" t="s">
        <v>28</v>
      </c>
      <c r="I120" s="59" t="s">
        <v>8</v>
      </c>
      <c r="N120" s="609" t="s">
        <v>53</v>
      </c>
      <c r="O120" s="609"/>
      <c r="P120" s="610" t="s">
        <v>66</v>
      </c>
      <c r="Q120" s="610"/>
      <c r="R120" s="609" t="s">
        <v>54</v>
      </c>
      <c r="S120" s="609"/>
      <c r="T120" s="60" t="s">
        <v>55</v>
      </c>
      <c r="U120" s="60" t="s">
        <v>8</v>
      </c>
    </row>
    <row r="121" spans="1:21" hidden="1" x14ac:dyDescent="0.25">
      <c r="A121" s="561" t="s">
        <v>56</v>
      </c>
      <c r="B121" s="561"/>
      <c r="C121" s="141">
        <v>0</v>
      </c>
      <c r="D121" s="141">
        <v>0</v>
      </c>
      <c r="E121" s="187">
        <f>IF(D30=0,C121*2,C121+D121)</f>
        <v>0</v>
      </c>
      <c r="F121" s="562">
        <v>0</v>
      </c>
      <c r="G121" s="562"/>
      <c r="H121" s="224">
        <f>IF(C121=0,0,125)</f>
        <v>0</v>
      </c>
      <c r="I121" s="101">
        <f>ROUND((H121+F121)*E121,2)</f>
        <v>0</v>
      </c>
      <c r="N121" s="601" t="s">
        <v>56</v>
      </c>
      <c r="O121" s="601"/>
      <c r="P121" s="608">
        <f>IF(H$133=1,C121,0)</f>
        <v>0</v>
      </c>
      <c r="Q121" s="608"/>
      <c r="R121" s="628">
        <f>F121</f>
        <v>0</v>
      </c>
      <c r="S121" s="628"/>
      <c r="T121" s="62">
        <f>H121</f>
        <v>0</v>
      </c>
      <c r="U121" s="96">
        <f>ROUND((T121+R121)*P121,0)</f>
        <v>0</v>
      </c>
    </row>
    <row r="122" spans="1:21" hidden="1" x14ac:dyDescent="0.25">
      <c r="A122" s="581" t="s">
        <v>57</v>
      </c>
      <c r="B122" s="581"/>
      <c r="C122" s="143">
        <v>0</v>
      </c>
      <c r="D122" s="143">
        <v>0</v>
      </c>
      <c r="E122" s="116">
        <f>IF(D31=0,C122*2,C122+D122)</f>
        <v>0</v>
      </c>
      <c r="F122" s="598">
        <f>ROUND(F121/2,2)</f>
        <v>0</v>
      </c>
      <c r="G122" s="598"/>
      <c r="H122" s="224">
        <f>IF(C122=0,0,62.5)</f>
        <v>0</v>
      </c>
      <c r="I122" s="101">
        <f>ROUND((H122+F122)*E122,2)</f>
        <v>0</v>
      </c>
      <c r="N122" s="601" t="s">
        <v>57</v>
      </c>
      <c r="O122" s="601"/>
      <c r="P122" s="608">
        <f>IF(H$133=1,C122,0)</f>
        <v>0</v>
      </c>
      <c r="Q122" s="608"/>
      <c r="R122" s="629">
        <f>ROUND(R121/2,2)</f>
        <v>0</v>
      </c>
      <c r="S122" s="629"/>
      <c r="T122" s="62">
        <f>H122</f>
        <v>0</v>
      </c>
      <c r="U122" s="96">
        <f>ROUND((T122+R122)*P122,0)</f>
        <v>0</v>
      </c>
    </row>
    <row r="123" spans="1:21" ht="16.5" hidden="1" thickBot="1" x14ac:dyDescent="0.3">
      <c r="A123" s="581" t="s">
        <v>58</v>
      </c>
      <c r="B123" s="581"/>
      <c r="C123" s="143">
        <v>0</v>
      </c>
      <c r="D123" s="143">
        <v>0</v>
      </c>
      <c r="E123" s="116">
        <f>IF(D32=0,C123*2,C123+D123)</f>
        <v>0</v>
      </c>
      <c r="F123" s="599"/>
      <c r="G123" s="599"/>
      <c r="H123" s="225">
        <f>IF(H121&gt;0,436,0)</f>
        <v>0</v>
      </c>
      <c r="I123" s="101">
        <f>ROUND(H123*E123,2)</f>
        <v>0</v>
      </c>
      <c r="N123" s="616" t="s">
        <v>58</v>
      </c>
      <c r="O123" s="616"/>
      <c r="P123" s="608">
        <f>IF(H$133=1,C123,0)</f>
        <v>0</v>
      </c>
      <c r="Q123" s="608"/>
      <c r="R123" s="609"/>
      <c r="S123" s="609"/>
      <c r="T123" s="64">
        <f>H123</f>
        <v>0</v>
      </c>
      <c r="U123" s="103">
        <f>ROUND(T123*P123,0)</f>
        <v>0</v>
      </c>
    </row>
    <row r="124" spans="1:21" ht="16.5" hidden="1" thickBot="1" x14ac:dyDescent="0.3">
      <c r="A124" s="563" t="s">
        <v>8</v>
      </c>
      <c r="B124" s="563"/>
      <c r="C124" s="65"/>
      <c r="D124" s="65"/>
      <c r="E124" s="65"/>
      <c r="F124" s="65"/>
      <c r="G124" s="65"/>
      <c r="H124" s="65"/>
      <c r="I124" s="97">
        <f>SUM(I121:I123)</f>
        <v>0</v>
      </c>
      <c r="N124" s="627" t="s">
        <v>8</v>
      </c>
      <c r="O124" s="627"/>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4" t="s">
        <v>432</v>
      </c>
      <c r="B126" s="578"/>
      <c r="C126" s="578"/>
      <c r="D126" s="69"/>
      <c r="E126" s="68" t="s">
        <v>34</v>
      </c>
      <c r="F126" s="597"/>
      <c r="G126" s="597"/>
      <c r="H126" s="597"/>
      <c r="I126" s="154">
        <v>0</v>
      </c>
      <c r="N126" s="600" t="s">
        <v>432</v>
      </c>
      <c r="O126" s="601"/>
      <c r="P126" s="601"/>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90" t="s">
        <v>8</v>
      </c>
      <c r="B128" s="590"/>
      <c r="C128" s="590"/>
      <c r="D128" s="590"/>
      <c r="E128" s="590"/>
      <c r="F128" s="590"/>
      <c r="G128" s="590"/>
      <c r="H128" s="590"/>
      <c r="I128" s="94">
        <f>SUM(I46,I66,I85,I88,I90,I92,I94,I96,I107,I113,I114,I124,I126)</f>
        <v>4550388.59</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434</v>
      </c>
      <c r="B130" s="26"/>
      <c r="C130" s="26"/>
      <c r="D130" s="26"/>
      <c r="E130" s="26"/>
      <c r="F130" s="26"/>
      <c r="G130" s="26"/>
      <c r="H130" s="26"/>
      <c r="I130" s="101">
        <f>I128-I53</f>
        <v>4364598.21</v>
      </c>
      <c r="N130" s="601" t="s">
        <v>434</v>
      </c>
      <c r="O130" s="601"/>
      <c r="P130" s="601"/>
      <c r="Q130" s="601"/>
      <c r="R130" s="601"/>
      <c r="S130" s="601"/>
      <c r="T130" s="601"/>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4" t="s">
        <v>502</v>
      </c>
      <c r="B132" s="578"/>
      <c r="C132" s="578"/>
      <c r="D132" s="578"/>
      <c r="E132" s="578"/>
      <c r="F132" s="578"/>
      <c r="G132" s="578"/>
      <c r="H132" s="81" t="s">
        <v>333</v>
      </c>
      <c r="I132" s="134"/>
      <c r="N132" s="600" t="s">
        <v>502</v>
      </c>
      <c r="O132" s="601"/>
      <c r="P132" s="601"/>
      <c r="Q132" s="601"/>
      <c r="R132" s="601"/>
      <c r="S132" s="601"/>
      <c r="T132" s="601"/>
      <c r="U132" s="138"/>
    </row>
    <row r="133" spans="1:21" x14ac:dyDescent="0.25">
      <c r="A133" s="578" t="s">
        <v>70</v>
      </c>
      <c r="B133" s="578"/>
      <c r="C133" s="578"/>
      <c r="D133" s="578"/>
      <c r="E133" s="578"/>
      <c r="F133" s="578"/>
      <c r="G133" s="578"/>
      <c r="H133" s="70" t="str">
        <f>IF(E30=0,"",IF((E15+E17+SUM(E19:E25))/E30&gt;0.75,1,""))</f>
        <v/>
      </c>
      <c r="I133" s="116">
        <f>U130</f>
        <v>0</v>
      </c>
      <c r="N133" s="601" t="s">
        <v>70</v>
      </c>
      <c r="O133" s="601"/>
      <c r="P133" s="601"/>
      <c r="Q133" s="601"/>
      <c r="R133" s="601"/>
      <c r="S133" s="601"/>
      <c r="T133" s="601"/>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4364598.21</v>
      </c>
      <c r="I135" s="94">
        <f>ROUND(IF(E30=0,0,IF(E30&gt;250,-(((250/E30)*H135)*IF(G135="H",0.02,0.05)),IF(G135="H",-0.02*H135,-0.05*H135))),2)</f>
        <v>-104018.07</v>
      </c>
      <c r="N135" s="626"/>
      <c r="O135" s="626"/>
      <c r="P135" s="626"/>
      <c r="Q135" s="626"/>
      <c r="R135" s="626"/>
      <c r="S135" s="626"/>
      <c r="T135" s="626"/>
      <c r="U135" s="626"/>
    </row>
    <row r="136" spans="1:21" x14ac:dyDescent="0.25">
      <c r="B136" s="69"/>
      <c r="C136" s="69"/>
      <c r="D136" s="69"/>
      <c r="E136" s="69"/>
      <c r="F136" s="69"/>
      <c r="G136" s="69"/>
      <c r="H136" s="65"/>
      <c r="I136" s="101"/>
      <c r="N136" s="624" t="s">
        <v>7</v>
      </c>
      <c r="O136" s="624"/>
      <c r="P136" s="624"/>
      <c r="Q136" s="624"/>
      <c r="R136" s="624"/>
      <c r="S136" s="624"/>
      <c r="T136" s="624"/>
      <c r="U136" s="624"/>
    </row>
    <row r="137" spans="1:21" x14ac:dyDescent="0.25">
      <c r="A137" s="309" t="s">
        <v>74</v>
      </c>
      <c r="B137" s="310"/>
      <c r="C137" s="310"/>
      <c r="D137" s="310"/>
      <c r="E137" s="310"/>
      <c r="F137" s="310"/>
      <c r="G137" s="310"/>
      <c r="H137" s="311"/>
      <c r="I137" s="312">
        <f>I128+I135</f>
        <v>4446370.5199999996</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Payments'!Q82</f>
        <v>0</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4446370.5199999996</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370530.88</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114211.84</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372</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373</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374</v>
      </c>
      <c r="B155" s="252"/>
      <c r="C155" s="252"/>
      <c r="D155" s="252"/>
      <c r="E155" s="252"/>
      <c r="F155" s="252"/>
      <c r="G155" s="252"/>
      <c r="H155" s="252"/>
      <c r="I155" s="252"/>
      <c r="N155" s="625"/>
      <c r="O155" s="625"/>
      <c r="P155" s="625"/>
      <c r="Q155" s="625"/>
      <c r="R155" s="625"/>
      <c r="S155" s="625"/>
      <c r="T155" s="625"/>
      <c r="U155" s="625"/>
    </row>
    <row r="156" spans="1:21" s="76" customFormat="1" x14ac:dyDescent="0.2">
      <c r="A156" s="320" t="s">
        <v>375</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376</v>
      </c>
      <c r="B157" s="252"/>
      <c r="C157" s="252"/>
      <c r="D157" s="252"/>
      <c r="E157" s="252"/>
      <c r="F157" s="252"/>
      <c r="G157" s="252"/>
      <c r="H157" s="252"/>
      <c r="I157" s="252"/>
      <c r="N157" s="78"/>
      <c r="O157" s="79"/>
      <c r="P157" s="79"/>
      <c r="Q157" s="79"/>
      <c r="R157" s="79"/>
      <c r="S157" s="79"/>
      <c r="T157" s="79"/>
      <c r="U157" s="79"/>
    </row>
    <row r="158" spans="1:21" s="76" customFormat="1" x14ac:dyDescent="0.2">
      <c r="A158" s="320" t="s">
        <v>377</v>
      </c>
      <c r="B158" s="252"/>
      <c r="C158" s="252"/>
      <c r="D158" s="252"/>
      <c r="E158" s="252"/>
      <c r="F158" s="252"/>
      <c r="G158" s="252"/>
      <c r="H158" s="252"/>
      <c r="I158" s="252"/>
      <c r="N158" s="78"/>
    </row>
    <row r="159" spans="1:21" s="76" customFormat="1" x14ac:dyDescent="0.2">
      <c r="A159" s="320" t="s">
        <v>379</v>
      </c>
      <c r="B159" s="252"/>
      <c r="C159" s="252"/>
      <c r="D159" s="252"/>
      <c r="E159" s="252"/>
      <c r="F159" s="252"/>
      <c r="G159" s="252"/>
      <c r="H159" s="252"/>
      <c r="I159" s="252"/>
      <c r="N159" s="78"/>
    </row>
    <row r="160" spans="1:21" s="76" customFormat="1" x14ac:dyDescent="0.2">
      <c r="A160" s="385" t="s">
        <v>378</v>
      </c>
      <c r="B160" s="252"/>
      <c r="C160" s="252"/>
      <c r="D160" s="252"/>
      <c r="E160" s="252"/>
      <c r="F160" s="252"/>
      <c r="G160" s="252"/>
      <c r="H160" s="252"/>
      <c r="I160" s="252"/>
      <c r="N160" s="78"/>
    </row>
    <row r="161" spans="1:14" s="76" customFormat="1" x14ac:dyDescent="0.2">
      <c r="A161" s="320" t="s">
        <v>380</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383</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385</v>
      </c>
      <c r="B165" s="293"/>
      <c r="C165" s="293"/>
      <c r="D165" s="293"/>
      <c r="E165" s="293"/>
      <c r="F165" s="293"/>
      <c r="G165" s="293"/>
      <c r="H165" s="293"/>
      <c r="I165" s="293"/>
      <c r="N165" s="78"/>
    </row>
    <row r="166" spans="1:14" s="76" customFormat="1" ht="15.75" customHeight="1" x14ac:dyDescent="0.2">
      <c r="A166" s="351" t="s">
        <v>384</v>
      </c>
      <c r="B166" s="293"/>
      <c r="C166" s="293"/>
      <c r="D166" s="293"/>
      <c r="E166" s="293"/>
      <c r="F166" s="293"/>
      <c r="G166" s="293"/>
      <c r="H166" s="293"/>
      <c r="I166" s="293"/>
      <c r="N166" s="78"/>
    </row>
    <row r="167" spans="1:14" s="76" customFormat="1" ht="15.75" customHeight="1" x14ac:dyDescent="0.2">
      <c r="A167" s="320" t="s">
        <v>386</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388</v>
      </c>
      <c r="B169" s="343"/>
      <c r="C169" s="343"/>
      <c r="D169" s="343"/>
      <c r="E169" s="343"/>
      <c r="F169" s="343"/>
      <c r="G169" s="343"/>
      <c r="H169" s="343"/>
      <c r="I169" s="343"/>
      <c r="N169" s="78"/>
    </row>
    <row r="170" spans="1:14" s="76" customFormat="1" ht="15.75" customHeight="1" x14ac:dyDescent="0.2">
      <c r="A170" s="351" t="s">
        <v>387</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389</v>
      </c>
      <c r="B175" s="293"/>
      <c r="C175" s="293"/>
      <c r="D175" s="293"/>
      <c r="E175" s="293"/>
      <c r="F175" s="293"/>
      <c r="G175" s="293"/>
      <c r="H175" s="293"/>
      <c r="I175" s="293"/>
      <c r="J175" s="3"/>
      <c r="K175" s="3"/>
      <c r="L175" s="3"/>
      <c r="M175" s="3"/>
      <c r="N175" s="78"/>
    </row>
    <row r="176" spans="1:14" s="76" customFormat="1" ht="15.75" customHeight="1" x14ac:dyDescent="0.2">
      <c r="A176" s="361" t="s">
        <v>390</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B12"/>
    <mergeCell ref="A132:G132"/>
    <mergeCell ref="N136:U136"/>
    <mergeCell ref="A133:G133"/>
    <mergeCell ref="R123:S123"/>
    <mergeCell ref="A121:B121"/>
    <mergeCell ref="F121:G121"/>
    <mergeCell ref="N121:O121"/>
    <mergeCell ref="A122:B122"/>
    <mergeCell ref="F122:G122"/>
    <mergeCell ref="N122:O122"/>
    <mergeCell ref="P122:Q122"/>
    <mergeCell ref="R122:S122"/>
    <mergeCell ref="C118:E118"/>
    <mergeCell ref="F119:G119"/>
    <mergeCell ref="A120:B120"/>
    <mergeCell ref="F120:G120"/>
    <mergeCell ref="N120:O120"/>
    <mergeCell ref="P120:Q120"/>
    <mergeCell ref="R120:S120"/>
    <mergeCell ref="P121:Q121"/>
    <mergeCell ref="R121:S121"/>
    <mergeCell ref="A117:C117"/>
    <mergeCell ref="F117:I117"/>
    <mergeCell ref="N117:U117"/>
    <mergeCell ref="N155:U155"/>
    <mergeCell ref="N135:U135"/>
    <mergeCell ref="N126:P126"/>
    <mergeCell ref="A126:C126"/>
    <mergeCell ref="F126:H126"/>
    <mergeCell ref="N130:T130"/>
    <mergeCell ref="A128:H128"/>
    <mergeCell ref="A123:B123"/>
    <mergeCell ref="F123:G123"/>
    <mergeCell ref="N123:O123"/>
    <mergeCell ref="P123:Q123"/>
    <mergeCell ref="A124:B124"/>
    <mergeCell ref="N124:O124"/>
    <mergeCell ref="N132:T132"/>
    <mergeCell ref="N133:T133"/>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F13:G13"/>
    <mergeCell ref="N13:O13"/>
    <mergeCell ref="P13:Q13"/>
    <mergeCell ref="R13:S13"/>
    <mergeCell ref="A14:B14"/>
    <mergeCell ref="F14:G14"/>
    <mergeCell ref="N14:O14"/>
    <mergeCell ref="P14:Q14"/>
    <mergeCell ref="R14:S14"/>
    <mergeCell ref="A13:B13"/>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I56"/>
  <sheetViews>
    <sheetView tabSelected="1" workbookViewId="0"/>
  </sheetViews>
  <sheetFormatPr defaultColWidth="9.140625" defaultRowHeight="12.75" x14ac:dyDescent="0.2"/>
  <cols>
    <col min="1" max="1" width="4.140625" style="188" bestFit="1" customWidth="1"/>
    <col min="2" max="2" width="9.140625" style="188"/>
    <col min="3" max="3" width="52.140625" style="188" bestFit="1" customWidth="1"/>
    <col min="4" max="4" width="2.140625" style="188" customWidth="1"/>
    <col min="5" max="5" width="9.140625" style="188" customWidth="1"/>
    <col min="6" max="6" width="52.140625" style="188" bestFit="1" customWidth="1"/>
    <col min="7" max="16384" width="9.140625" style="188"/>
  </cols>
  <sheetData>
    <row r="1" spans="1:6" x14ac:dyDescent="0.2">
      <c r="B1" s="204" t="s">
        <v>186</v>
      </c>
      <c r="C1" s="205"/>
      <c r="D1" s="205"/>
      <c r="E1" s="206"/>
      <c r="F1" s="205"/>
    </row>
    <row r="2" spans="1:6" x14ac:dyDescent="0.2">
      <c r="B2" s="207"/>
      <c r="C2" s="205"/>
      <c r="D2" s="205"/>
      <c r="E2" s="206"/>
      <c r="F2" s="205"/>
    </row>
    <row r="3" spans="1:6" x14ac:dyDescent="0.2">
      <c r="B3" s="553" t="s">
        <v>313</v>
      </c>
      <c r="C3" s="554"/>
      <c r="D3" s="205"/>
      <c r="E3" s="553" t="s">
        <v>187</v>
      </c>
      <c r="F3" s="554"/>
    </row>
    <row r="4" spans="1:6" x14ac:dyDescent="0.2">
      <c r="B4" s="208" t="s">
        <v>188</v>
      </c>
      <c r="C4" s="209" t="s">
        <v>189</v>
      </c>
      <c r="D4" s="205"/>
      <c r="E4" s="208" t="s">
        <v>188</v>
      </c>
      <c r="F4" s="209" t="s">
        <v>189</v>
      </c>
    </row>
    <row r="5" spans="1:6" x14ac:dyDescent="0.2">
      <c r="A5" s="216">
        <v>1</v>
      </c>
      <c r="B5" s="210" t="s">
        <v>159</v>
      </c>
      <c r="C5" s="212" t="s">
        <v>191</v>
      </c>
      <c r="D5" s="205"/>
      <c r="E5" s="210" t="s">
        <v>176</v>
      </c>
      <c r="F5" s="211" t="s">
        <v>190</v>
      </c>
    </row>
    <row r="6" spans="1:6" x14ac:dyDescent="0.2">
      <c r="A6" s="216">
        <v>2</v>
      </c>
      <c r="B6" s="210" t="s">
        <v>160</v>
      </c>
      <c r="C6" s="212" t="s">
        <v>193</v>
      </c>
      <c r="D6" s="205"/>
      <c r="E6" s="210" t="s">
        <v>181</v>
      </c>
      <c r="F6" s="211" t="s">
        <v>192</v>
      </c>
    </row>
    <row r="7" spans="1:6" x14ac:dyDescent="0.2">
      <c r="A7" s="216">
        <v>3</v>
      </c>
      <c r="B7" s="210" t="s">
        <v>161</v>
      </c>
      <c r="C7" s="212" t="s">
        <v>194</v>
      </c>
      <c r="D7" s="205"/>
      <c r="E7" s="210" t="s">
        <v>282</v>
      </c>
      <c r="F7" s="211" t="s">
        <v>283</v>
      </c>
    </row>
    <row r="8" spans="1:6" x14ac:dyDescent="0.2">
      <c r="A8" s="216">
        <v>4</v>
      </c>
      <c r="B8" s="210" t="s">
        <v>162</v>
      </c>
      <c r="C8" s="211" t="s">
        <v>195</v>
      </c>
      <c r="D8" s="205"/>
      <c r="E8" s="210" t="s">
        <v>269</v>
      </c>
      <c r="F8" s="211" t="s">
        <v>268</v>
      </c>
    </row>
    <row r="9" spans="1:6" x14ac:dyDescent="0.2">
      <c r="A9" s="216">
        <v>5</v>
      </c>
      <c r="B9" s="210" t="s">
        <v>163</v>
      </c>
      <c r="C9" s="211" t="s">
        <v>256</v>
      </c>
      <c r="D9" s="205"/>
      <c r="E9" s="210" t="s">
        <v>161</v>
      </c>
      <c r="F9" s="212" t="s">
        <v>194</v>
      </c>
    </row>
    <row r="10" spans="1:6" x14ac:dyDescent="0.2">
      <c r="A10" s="216">
        <v>6</v>
      </c>
      <c r="B10" s="210" t="s">
        <v>164</v>
      </c>
      <c r="C10" s="211" t="s">
        <v>359</v>
      </c>
      <c r="D10" s="205"/>
      <c r="E10" s="210" t="s">
        <v>175</v>
      </c>
      <c r="F10" s="211" t="s">
        <v>196</v>
      </c>
    </row>
    <row r="11" spans="1:6" x14ac:dyDescent="0.2">
      <c r="A11" s="216">
        <v>7</v>
      </c>
      <c r="B11" s="210" t="s">
        <v>165</v>
      </c>
      <c r="C11" s="212" t="s">
        <v>197</v>
      </c>
      <c r="D11" s="205"/>
      <c r="E11" s="210" t="s">
        <v>234</v>
      </c>
      <c r="F11" s="211" t="s">
        <v>235</v>
      </c>
    </row>
    <row r="12" spans="1:6" x14ac:dyDescent="0.2">
      <c r="A12" s="216">
        <v>8</v>
      </c>
      <c r="B12" s="210" t="s">
        <v>166</v>
      </c>
      <c r="C12" s="211" t="s">
        <v>198</v>
      </c>
      <c r="D12" s="205"/>
      <c r="E12" s="210" t="s">
        <v>199</v>
      </c>
      <c r="F12" s="211" t="s">
        <v>329</v>
      </c>
    </row>
    <row r="13" spans="1:6" x14ac:dyDescent="0.2">
      <c r="A13" s="216">
        <v>9</v>
      </c>
      <c r="B13" s="210" t="s">
        <v>167</v>
      </c>
      <c r="C13" s="211" t="s">
        <v>318</v>
      </c>
      <c r="D13" s="205"/>
      <c r="E13" s="210" t="s">
        <v>200</v>
      </c>
      <c r="F13" s="211" t="s">
        <v>331</v>
      </c>
    </row>
    <row r="14" spans="1:6" x14ac:dyDescent="0.2">
      <c r="A14" s="216">
        <v>10</v>
      </c>
      <c r="B14" s="210" t="s">
        <v>168</v>
      </c>
      <c r="C14" s="213" t="s">
        <v>365</v>
      </c>
      <c r="D14" s="205"/>
      <c r="E14" s="210" t="s">
        <v>182</v>
      </c>
      <c r="F14" s="212" t="s">
        <v>202</v>
      </c>
    </row>
    <row r="15" spans="1:6" x14ac:dyDescent="0.2">
      <c r="A15" s="216">
        <v>11</v>
      </c>
      <c r="B15" s="210" t="s">
        <v>169</v>
      </c>
      <c r="C15" s="212" t="s">
        <v>201</v>
      </c>
      <c r="D15" s="205"/>
      <c r="E15" s="210" t="s">
        <v>170</v>
      </c>
      <c r="F15" s="212" t="s">
        <v>203</v>
      </c>
    </row>
    <row r="16" spans="1:6" x14ac:dyDescent="0.2">
      <c r="A16" s="216">
        <v>12</v>
      </c>
      <c r="B16" s="210" t="s">
        <v>170</v>
      </c>
      <c r="C16" s="212" t="s">
        <v>203</v>
      </c>
      <c r="D16" s="205"/>
      <c r="E16" s="210" t="s">
        <v>174</v>
      </c>
      <c r="F16" s="212" t="s">
        <v>204</v>
      </c>
    </row>
    <row r="17" spans="1:9" x14ac:dyDescent="0.2">
      <c r="A17" s="216">
        <v>13</v>
      </c>
      <c r="B17" s="210" t="s">
        <v>171</v>
      </c>
      <c r="C17" s="212" t="s">
        <v>205</v>
      </c>
      <c r="D17" s="205"/>
      <c r="E17" s="210" t="s">
        <v>168</v>
      </c>
      <c r="F17" s="213" t="s">
        <v>365</v>
      </c>
    </row>
    <row r="18" spans="1:9" x14ac:dyDescent="0.2">
      <c r="A18" s="216">
        <v>14</v>
      </c>
      <c r="B18" s="210" t="s">
        <v>172</v>
      </c>
      <c r="C18" s="212" t="s">
        <v>206</v>
      </c>
      <c r="D18" s="205"/>
      <c r="E18" s="210" t="s">
        <v>169</v>
      </c>
      <c r="F18" s="212" t="s">
        <v>201</v>
      </c>
    </row>
    <row r="19" spans="1:9" x14ac:dyDescent="0.2">
      <c r="A19" s="216">
        <v>15</v>
      </c>
      <c r="B19" s="210" t="s">
        <v>173</v>
      </c>
      <c r="C19" s="211" t="s">
        <v>287</v>
      </c>
      <c r="D19" s="205"/>
      <c r="E19" s="210" t="s">
        <v>159</v>
      </c>
      <c r="F19" s="212" t="s">
        <v>191</v>
      </c>
    </row>
    <row r="20" spans="1:9" x14ac:dyDescent="0.2">
      <c r="A20" s="216">
        <v>16</v>
      </c>
      <c r="B20" s="210" t="s">
        <v>174</v>
      </c>
      <c r="C20" s="212" t="s">
        <v>204</v>
      </c>
      <c r="D20" s="205"/>
      <c r="E20" s="210" t="s">
        <v>172</v>
      </c>
      <c r="F20" s="212" t="s">
        <v>206</v>
      </c>
    </row>
    <row r="21" spans="1:9" x14ac:dyDescent="0.2">
      <c r="A21" s="216">
        <v>17</v>
      </c>
      <c r="B21" s="210" t="s">
        <v>175</v>
      </c>
      <c r="C21" s="211" t="s">
        <v>196</v>
      </c>
      <c r="D21" s="205"/>
      <c r="E21" s="210" t="s">
        <v>320</v>
      </c>
      <c r="F21" s="215" t="s">
        <v>317</v>
      </c>
    </row>
    <row r="22" spans="1:9" x14ac:dyDescent="0.2">
      <c r="A22" s="216">
        <v>18</v>
      </c>
      <c r="B22" s="210" t="s">
        <v>176</v>
      </c>
      <c r="C22" s="211" t="s">
        <v>190</v>
      </c>
      <c r="D22" s="205"/>
      <c r="E22" s="210" t="s">
        <v>164</v>
      </c>
      <c r="F22" s="211" t="s">
        <v>359</v>
      </c>
    </row>
    <row r="23" spans="1:9" x14ac:dyDescent="0.2">
      <c r="A23" s="216">
        <v>19</v>
      </c>
      <c r="B23" s="210" t="s">
        <v>177</v>
      </c>
      <c r="C23" s="212" t="s">
        <v>207</v>
      </c>
      <c r="D23" s="205"/>
      <c r="E23" s="210" t="s">
        <v>210</v>
      </c>
      <c r="F23" s="215" t="s">
        <v>358</v>
      </c>
    </row>
    <row r="24" spans="1:9" x14ac:dyDescent="0.2">
      <c r="A24" s="216">
        <v>20</v>
      </c>
      <c r="B24" s="210" t="s">
        <v>178</v>
      </c>
      <c r="C24" s="211" t="s">
        <v>208</v>
      </c>
      <c r="D24" s="205"/>
      <c r="E24" s="210" t="s">
        <v>183</v>
      </c>
      <c r="F24" s="212" t="s">
        <v>322</v>
      </c>
    </row>
    <row r="25" spans="1:9" x14ac:dyDescent="0.2">
      <c r="A25" s="216">
        <v>21</v>
      </c>
      <c r="B25" s="214" t="s">
        <v>179</v>
      </c>
      <c r="C25" s="211" t="s">
        <v>209</v>
      </c>
      <c r="D25" s="205"/>
      <c r="E25" s="210" t="s">
        <v>166</v>
      </c>
      <c r="F25" s="211" t="s">
        <v>198</v>
      </c>
    </row>
    <row r="26" spans="1:9" x14ac:dyDescent="0.2">
      <c r="A26" s="216">
        <v>22</v>
      </c>
      <c r="B26" s="210" t="s">
        <v>180</v>
      </c>
      <c r="C26" s="212" t="s">
        <v>211</v>
      </c>
      <c r="D26" s="205"/>
      <c r="E26" s="210" t="s">
        <v>162</v>
      </c>
      <c r="F26" s="211" t="s">
        <v>195</v>
      </c>
    </row>
    <row r="27" spans="1:9" x14ac:dyDescent="0.2">
      <c r="A27" s="216">
        <v>23</v>
      </c>
      <c r="B27" s="210" t="s">
        <v>212</v>
      </c>
      <c r="C27" s="211" t="s">
        <v>213</v>
      </c>
      <c r="D27" s="205"/>
      <c r="E27" s="210" t="s">
        <v>177</v>
      </c>
      <c r="F27" s="212" t="s">
        <v>207</v>
      </c>
    </row>
    <row r="28" spans="1:9" x14ac:dyDescent="0.2">
      <c r="A28" s="216">
        <v>24</v>
      </c>
      <c r="B28" s="210" t="s">
        <v>210</v>
      </c>
      <c r="C28" s="215" t="s">
        <v>358</v>
      </c>
      <c r="D28" s="205"/>
      <c r="E28" s="210" t="s">
        <v>214</v>
      </c>
      <c r="F28" s="211" t="s">
        <v>215</v>
      </c>
    </row>
    <row r="29" spans="1:9" x14ac:dyDescent="0.2">
      <c r="A29" s="216">
        <v>25</v>
      </c>
      <c r="B29" s="210" t="s">
        <v>181</v>
      </c>
      <c r="C29" s="211" t="s">
        <v>192</v>
      </c>
      <c r="D29" s="205"/>
      <c r="E29" s="210" t="s">
        <v>216</v>
      </c>
      <c r="F29" s="211" t="s">
        <v>217</v>
      </c>
      <c r="I29" s="296"/>
    </row>
    <row r="30" spans="1:9" x14ac:dyDescent="0.2">
      <c r="A30" s="216">
        <v>26</v>
      </c>
      <c r="B30" s="210" t="s">
        <v>182</v>
      </c>
      <c r="C30" s="212" t="s">
        <v>202</v>
      </c>
      <c r="D30" s="205"/>
      <c r="E30" s="210" t="s">
        <v>218</v>
      </c>
      <c r="F30" s="211" t="s">
        <v>219</v>
      </c>
      <c r="I30" s="296"/>
    </row>
    <row r="31" spans="1:9" x14ac:dyDescent="0.2">
      <c r="A31" s="216">
        <v>27</v>
      </c>
      <c r="B31" s="210" t="s">
        <v>183</v>
      </c>
      <c r="C31" s="212" t="s">
        <v>322</v>
      </c>
      <c r="D31" s="205"/>
      <c r="E31" s="210" t="s">
        <v>184</v>
      </c>
      <c r="F31" s="212" t="s">
        <v>220</v>
      </c>
    </row>
    <row r="32" spans="1:9" x14ac:dyDescent="0.2">
      <c r="A32" s="216">
        <v>28</v>
      </c>
      <c r="B32" s="210" t="s">
        <v>184</v>
      </c>
      <c r="C32" s="212" t="s">
        <v>220</v>
      </c>
      <c r="D32" s="205"/>
      <c r="E32" s="210" t="s">
        <v>180</v>
      </c>
      <c r="F32" s="212" t="s">
        <v>211</v>
      </c>
    </row>
    <row r="33" spans="1:6" x14ac:dyDescent="0.2">
      <c r="A33" s="216">
        <v>29</v>
      </c>
      <c r="B33" s="210" t="s">
        <v>218</v>
      </c>
      <c r="C33" s="211" t="s">
        <v>219</v>
      </c>
      <c r="D33" s="205"/>
      <c r="E33" s="210" t="s">
        <v>171</v>
      </c>
      <c r="F33" s="212" t="s">
        <v>205</v>
      </c>
    </row>
    <row r="34" spans="1:6" x14ac:dyDescent="0.2">
      <c r="A34" s="216">
        <v>30</v>
      </c>
      <c r="B34" s="210" t="s">
        <v>221</v>
      </c>
      <c r="C34" s="215" t="s">
        <v>222</v>
      </c>
      <c r="D34" s="205"/>
      <c r="E34" s="210">
        <v>4111</v>
      </c>
      <c r="F34" s="212" t="s">
        <v>324</v>
      </c>
    </row>
    <row r="35" spans="1:6" x14ac:dyDescent="0.2">
      <c r="A35" s="216">
        <v>31</v>
      </c>
      <c r="B35" s="210" t="s">
        <v>223</v>
      </c>
      <c r="C35" s="212" t="s">
        <v>224</v>
      </c>
      <c r="D35" s="205"/>
      <c r="E35" s="210" t="s">
        <v>178</v>
      </c>
      <c r="F35" s="211" t="s">
        <v>208</v>
      </c>
    </row>
    <row r="36" spans="1:6" x14ac:dyDescent="0.2">
      <c r="A36" s="216">
        <v>32</v>
      </c>
      <c r="B36" s="210" t="s">
        <v>199</v>
      </c>
      <c r="C36" s="211" t="s">
        <v>329</v>
      </c>
      <c r="D36" s="205"/>
      <c r="E36" s="210" t="s">
        <v>225</v>
      </c>
      <c r="F36" s="211" t="s">
        <v>226</v>
      </c>
    </row>
    <row r="37" spans="1:6" x14ac:dyDescent="0.2">
      <c r="A37" s="216">
        <v>33</v>
      </c>
      <c r="B37" s="210" t="s">
        <v>320</v>
      </c>
      <c r="C37" s="212" t="s">
        <v>317</v>
      </c>
      <c r="D37" s="205"/>
      <c r="E37" s="210" t="s">
        <v>223</v>
      </c>
      <c r="F37" s="212" t="s">
        <v>224</v>
      </c>
    </row>
    <row r="38" spans="1:6" x14ac:dyDescent="0.2">
      <c r="A38" s="216">
        <v>34</v>
      </c>
      <c r="B38" s="210">
        <v>4031</v>
      </c>
      <c r="C38" s="211" t="s">
        <v>334</v>
      </c>
      <c r="D38" s="205"/>
      <c r="E38" s="210" t="s">
        <v>221</v>
      </c>
      <c r="F38" s="215" t="s">
        <v>222</v>
      </c>
    </row>
    <row r="39" spans="1:6" x14ac:dyDescent="0.2">
      <c r="A39" s="216">
        <v>35</v>
      </c>
      <c r="B39" s="210" t="s">
        <v>225</v>
      </c>
      <c r="C39" s="211" t="s">
        <v>226</v>
      </c>
      <c r="D39" s="205"/>
      <c r="E39" s="210" t="s">
        <v>173</v>
      </c>
      <c r="F39" s="212" t="s">
        <v>287</v>
      </c>
    </row>
    <row r="40" spans="1:6" x14ac:dyDescent="0.2">
      <c r="A40" s="216">
        <v>36</v>
      </c>
      <c r="B40" s="210" t="s">
        <v>216</v>
      </c>
      <c r="C40" s="211" t="s">
        <v>217</v>
      </c>
      <c r="D40" s="205"/>
      <c r="E40" s="210">
        <v>4091</v>
      </c>
      <c r="F40" s="212" t="s">
        <v>276</v>
      </c>
    </row>
    <row r="41" spans="1:6" x14ac:dyDescent="0.2">
      <c r="A41" s="216">
        <v>37</v>
      </c>
      <c r="B41" s="210" t="s">
        <v>214</v>
      </c>
      <c r="C41" s="211" t="s">
        <v>215</v>
      </c>
      <c r="D41" s="205"/>
      <c r="E41" s="210">
        <v>4031</v>
      </c>
      <c r="F41" s="211" t="s">
        <v>334</v>
      </c>
    </row>
    <row r="42" spans="1:6" x14ac:dyDescent="0.2">
      <c r="A42" s="216">
        <v>38</v>
      </c>
      <c r="B42" s="210" t="s">
        <v>200</v>
      </c>
      <c r="C42" s="211" t="s">
        <v>331</v>
      </c>
      <c r="D42" s="205"/>
      <c r="E42" s="214" t="s">
        <v>355</v>
      </c>
      <c r="F42" s="211" t="s">
        <v>356</v>
      </c>
    </row>
    <row r="43" spans="1:6" x14ac:dyDescent="0.2">
      <c r="A43" s="216">
        <v>39</v>
      </c>
      <c r="B43" s="210" t="s">
        <v>239</v>
      </c>
      <c r="C43" s="211" t="s">
        <v>243</v>
      </c>
      <c r="D43" s="205"/>
      <c r="E43" s="210" t="s">
        <v>160</v>
      </c>
      <c r="F43" s="212" t="s">
        <v>193</v>
      </c>
    </row>
    <row r="44" spans="1:6" x14ac:dyDescent="0.2">
      <c r="A44" s="216">
        <v>40</v>
      </c>
      <c r="B44" s="243" t="s">
        <v>234</v>
      </c>
      <c r="C44" s="188" t="s">
        <v>235</v>
      </c>
      <c r="D44" s="205"/>
      <c r="E44" s="210" t="s">
        <v>212</v>
      </c>
      <c r="F44" s="211" t="s">
        <v>213</v>
      </c>
    </row>
    <row r="45" spans="1:6" x14ac:dyDescent="0.2">
      <c r="A45" s="216">
        <v>41</v>
      </c>
      <c r="B45" s="243">
        <v>4090</v>
      </c>
      <c r="C45" s="188" t="s">
        <v>277</v>
      </c>
      <c r="D45" s="205"/>
      <c r="E45" s="210">
        <v>4090</v>
      </c>
      <c r="F45" s="212" t="s">
        <v>277</v>
      </c>
    </row>
    <row r="46" spans="1:6" x14ac:dyDescent="0.2">
      <c r="A46" s="216">
        <v>42</v>
      </c>
      <c r="B46" s="243">
        <v>4091</v>
      </c>
      <c r="C46" s="188" t="s">
        <v>276</v>
      </c>
      <c r="D46" s="205"/>
      <c r="E46" s="210" t="s">
        <v>308</v>
      </c>
      <c r="F46" s="212" t="s">
        <v>309</v>
      </c>
    </row>
    <row r="47" spans="1:6" x14ac:dyDescent="0.2">
      <c r="A47" s="216">
        <v>43</v>
      </c>
      <c r="B47" s="210" t="s">
        <v>269</v>
      </c>
      <c r="C47" s="211" t="s">
        <v>268</v>
      </c>
      <c r="D47" s="205"/>
      <c r="E47" s="210" t="s">
        <v>167</v>
      </c>
      <c r="F47" s="211" t="s">
        <v>318</v>
      </c>
    </row>
    <row r="48" spans="1:6" x14ac:dyDescent="0.2">
      <c r="A48" s="216">
        <v>44</v>
      </c>
      <c r="B48" s="210" t="s">
        <v>282</v>
      </c>
      <c r="C48" s="211" t="s">
        <v>283</v>
      </c>
      <c r="D48" s="205"/>
      <c r="E48" s="210" t="s">
        <v>163</v>
      </c>
      <c r="F48" s="211" t="s">
        <v>256</v>
      </c>
    </row>
    <row r="49" spans="1:6" x14ac:dyDescent="0.2">
      <c r="A49" s="216">
        <v>45</v>
      </c>
      <c r="B49" s="210" t="s">
        <v>308</v>
      </c>
      <c r="C49" s="242" t="s">
        <v>309</v>
      </c>
      <c r="D49" s="205"/>
      <c r="E49" s="210" t="s">
        <v>239</v>
      </c>
      <c r="F49" s="211" t="s">
        <v>243</v>
      </c>
    </row>
    <row r="50" spans="1:6" x14ac:dyDescent="0.2">
      <c r="A50" s="216">
        <v>46</v>
      </c>
      <c r="B50" s="210">
        <v>4111</v>
      </c>
      <c r="C50" s="211" t="s">
        <v>324</v>
      </c>
      <c r="D50" s="205"/>
      <c r="E50" s="210" t="s">
        <v>165</v>
      </c>
      <c r="F50" s="212" t="s">
        <v>197</v>
      </c>
    </row>
    <row r="51" spans="1:6" x14ac:dyDescent="0.2">
      <c r="A51" s="216">
        <v>47</v>
      </c>
      <c r="B51" s="210" t="s">
        <v>355</v>
      </c>
      <c r="C51" s="211" t="s">
        <v>356</v>
      </c>
      <c r="D51" s="205"/>
      <c r="E51" s="214" t="s">
        <v>179</v>
      </c>
      <c r="F51" s="211" t="s">
        <v>209</v>
      </c>
    </row>
    <row r="52" spans="1:6" x14ac:dyDescent="0.2">
      <c r="A52" s="216"/>
      <c r="D52" s="205"/>
    </row>
    <row r="53" spans="1:6" x14ac:dyDescent="0.2">
      <c r="A53" s="216"/>
      <c r="D53" s="205"/>
    </row>
    <row r="54" spans="1:6" x14ac:dyDescent="0.2">
      <c r="A54" s="216"/>
      <c r="D54" s="205"/>
    </row>
    <row r="55" spans="1:6" x14ac:dyDescent="0.2">
      <c r="A55" s="216"/>
      <c r="D55" s="205"/>
    </row>
    <row r="56" spans="1:6" x14ac:dyDescent="0.2">
      <c r="D56" s="205"/>
    </row>
  </sheetData>
  <mergeCells count="2">
    <mergeCell ref="B3:C3"/>
    <mergeCell ref="E3:F3"/>
  </mergeCells>
  <conditionalFormatting sqref="B5:C51">
    <cfRule type="expression" dxfId="1" priority="2" stopIfTrue="1">
      <formula>MOD(ROW(),2)=0</formula>
    </cfRule>
  </conditionalFormatting>
  <conditionalFormatting sqref="E5:F51">
    <cfRule type="expression" dxfId="0" priority="1">
      <formula>MOD(ROW(),2)=0</formula>
    </cfRule>
  </conditionalFormatting>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5">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6" t="s">
        <v>15</v>
      </c>
      <c r="C1" s="567"/>
      <c r="D1" s="567"/>
      <c r="E1" s="567"/>
      <c r="F1" s="567"/>
      <c r="G1" s="567"/>
      <c r="H1" s="567"/>
      <c r="I1" s="567"/>
      <c r="J1" s="135"/>
      <c r="K1" s="135"/>
      <c r="L1" s="135"/>
      <c r="N1" s="82">
        <f>A1</f>
        <v>0</v>
      </c>
      <c r="O1" s="658" t="s">
        <v>15</v>
      </c>
      <c r="P1" s="659"/>
      <c r="Q1" s="659"/>
      <c r="R1" s="659"/>
      <c r="S1" s="659"/>
      <c r="T1" s="659"/>
      <c r="U1" s="659"/>
    </row>
    <row r="2" spans="1:21" ht="21" x14ac:dyDescent="0.35">
      <c r="A2" s="1" t="s">
        <v>120</v>
      </c>
      <c r="B2" s="2"/>
      <c r="C2" s="2"/>
      <c r="D2" s="2"/>
      <c r="E2" s="2"/>
      <c r="F2" s="2"/>
      <c r="G2" s="2"/>
      <c r="H2" s="2"/>
      <c r="I2" s="2"/>
      <c r="N2" s="660" t="s">
        <v>18</v>
      </c>
      <c r="O2" s="660"/>
      <c r="P2" s="660"/>
      <c r="Q2" s="660"/>
      <c r="R2" s="660"/>
      <c r="S2" s="660"/>
      <c r="T2" s="660"/>
      <c r="U2" s="660"/>
    </row>
    <row r="3" spans="1:21" x14ac:dyDescent="0.25">
      <c r="A3" s="81" t="str">
        <f>'1461'!A3</f>
        <v>Based on the FLDOE 2024-25 Conference Calculation</v>
      </c>
      <c r="N3" s="627" t="str">
        <f>A3</f>
        <v>Based on the FLDOE 2024-25 Conference Calculation</v>
      </c>
      <c r="O3" s="627"/>
      <c r="P3" s="627"/>
      <c r="Q3" s="627"/>
      <c r="R3" s="627"/>
      <c r="S3" s="627"/>
      <c r="T3" s="627"/>
      <c r="U3" s="627"/>
    </row>
    <row r="4" spans="1:21" x14ac:dyDescent="0.25">
      <c r="A4" s="568" t="s">
        <v>0</v>
      </c>
      <c r="B4" s="568"/>
      <c r="C4" s="569" t="s">
        <v>9</v>
      </c>
      <c r="D4" s="569"/>
      <c r="E4" s="569"/>
      <c r="F4" s="4" t="str">
        <f>'1461'!F4</f>
        <v>July 2024</v>
      </c>
      <c r="G4" s="4"/>
      <c r="H4" s="4"/>
      <c r="I4" s="4"/>
      <c r="N4" s="661" t="s">
        <v>0</v>
      </c>
      <c r="O4" s="661"/>
      <c r="P4" s="662" t="str">
        <f>C4</f>
        <v>Palm Beach</v>
      </c>
      <c r="Q4" s="662"/>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70" t="s">
        <v>433</v>
      </c>
      <c r="B7" s="664"/>
      <c r="C7" s="664"/>
      <c r="D7" s="664"/>
      <c r="E7" s="664"/>
      <c r="F7" s="664"/>
      <c r="G7" s="664"/>
      <c r="H7" s="664"/>
      <c r="I7" s="664"/>
      <c r="N7" s="661" t="str">
        <f>A7</f>
        <v>1A.   2023-24 FEFP State and Local Funding</v>
      </c>
      <c r="O7" s="661"/>
      <c r="P7" s="661"/>
      <c r="Q7" s="661"/>
      <c r="R7" s="661"/>
      <c r="S7" s="661"/>
      <c r="T7" s="661"/>
      <c r="U7" s="661"/>
    </row>
    <row r="8" spans="1:21" x14ac:dyDescent="0.25">
      <c r="A8" s="84"/>
      <c r="B8" s="85" t="s">
        <v>92</v>
      </c>
      <c r="C8" s="299">
        <f>'1461'!C8</f>
        <v>5330.98</v>
      </c>
      <c r="D8" s="86"/>
      <c r="E8" s="87"/>
      <c r="F8" s="84"/>
      <c r="G8" s="85" t="s">
        <v>393</v>
      </c>
      <c r="H8" s="287">
        <f>'1461'!H8</f>
        <v>1.0407999999999999</v>
      </c>
      <c r="I8" s="75"/>
      <c r="N8" s="665" t="s">
        <v>10</v>
      </c>
      <c r="O8" s="665"/>
      <c r="P8" s="666">
        <f>C8</f>
        <v>5330.98</v>
      </c>
      <c r="Q8" s="666"/>
      <c r="R8" s="648" t="s">
        <v>394</v>
      </c>
      <c r="S8" s="649"/>
      <c r="T8" s="650">
        <f>H8</f>
        <v>1.0407999999999999</v>
      </c>
      <c r="U8" s="650"/>
    </row>
    <row r="9" spans="1:21" x14ac:dyDescent="0.25">
      <c r="A9" s="84"/>
      <c r="B9" s="85"/>
      <c r="C9" s="222"/>
      <c r="D9" s="86"/>
      <c r="E9" s="87"/>
      <c r="F9" s="84"/>
      <c r="G9" s="85" t="s">
        <v>391</v>
      </c>
      <c r="H9" s="287">
        <f>'1461'!H9</f>
        <v>1</v>
      </c>
      <c r="I9" s="75"/>
      <c r="N9" s="12"/>
      <c r="O9" s="12"/>
      <c r="P9" s="13"/>
      <c r="Q9" s="13"/>
      <c r="R9" s="387" t="s">
        <v>392</v>
      </c>
      <c r="S9" s="384"/>
      <c r="T9" s="650">
        <f>H9</f>
        <v>1</v>
      </c>
      <c r="U9" s="650"/>
    </row>
    <row r="10" spans="1:21" x14ac:dyDescent="0.25">
      <c r="A10" s="7"/>
      <c r="B10" s="42" t="s">
        <v>310</v>
      </c>
      <c r="C10" s="334" t="str">
        <f>'1461'!C10</f>
        <v xml:space="preserve"> </v>
      </c>
      <c r="D10" s="334" t="str">
        <f>'1461'!D10</f>
        <v xml:space="preserve"> </v>
      </c>
      <c r="E10" s="8"/>
      <c r="F10" s="9"/>
      <c r="G10" s="9"/>
      <c r="H10" s="10"/>
      <c r="I10" s="305" t="str">
        <f>'1461'!I10</f>
        <v>2024-25</v>
      </c>
      <c r="N10" s="12"/>
      <c r="O10" s="12"/>
      <c r="P10" s="13"/>
      <c r="Q10" s="13"/>
      <c r="R10" s="14"/>
      <c r="S10" s="14"/>
      <c r="T10" s="15"/>
      <c r="U10" s="366" t="str">
        <f>I10</f>
        <v>2024-25</v>
      </c>
    </row>
    <row r="11" spans="1:21" x14ac:dyDescent="0.25">
      <c r="A11" s="7"/>
      <c r="B11" s="7"/>
      <c r="C11" s="88" t="str">
        <f>'1461'!C11</f>
        <v>Oct 2023</v>
      </c>
      <c r="D11" s="333" t="str">
        <f>'1461'!D11</f>
        <v>Feb 2024</v>
      </c>
      <c r="E11" s="89" t="s">
        <v>8</v>
      </c>
      <c r="F11" s="571" t="s">
        <v>1</v>
      </c>
      <c r="G11" s="571"/>
      <c r="H11" s="10" t="s">
        <v>60</v>
      </c>
      <c r="I11" s="11" t="s">
        <v>27</v>
      </c>
      <c r="N11" s="12"/>
      <c r="O11" s="12"/>
      <c r="P11" s="13"/>
      <c r="Q11" s="13"/>
      <c r="R11" s="651" t="s">
        <v>1</v>
      </c>
      <c r="S11" s="651"/>
      <c r="T11" s="15" t="s">
        <v>60</v>
      </c>
      <c r="U11" s="16" t="s">
        <v>27</v>
      </c>
    </row>
    <row r="12" spans="1:21" ht="15.75" customHeight="1" x14ac:dyDescent="0.25">
      <c r="A12" s="572" t="s">
        <v>1</v>
      </c>
      <c r="B12" s="572"/>
      <c r="C12" s="324" t="str">
        <f>'1461'!C12</f>
        <v>FTE</v>
      </c>
      <c r="D12" s="324" t="str">
        <f>'1461'!D12</f>
        <v>FTE</v>
      </c>
      <c r="E12" s="324" t="s">
        <v>2</v>
      </c>
      <c r="F12" s="573" t="s">
        <v>63</v>
      </c>
      <c r="G12" s="573"/>
      <c r="H12" s="17" t="s">
        <v>59</v>
      </c>
      <c r="I12" s="388" t="s">
        <v>395</v>
      </c>
      <c r="N12" s="639" t="s">
        <v>1</v>
      </c>
      <c r="O12" s="639"/>
      <c r="P12" s="652" t="s">
        <v>19</v>
      </c>
      <c r="Q12" s="652"/>
      <c r="R12" s="653" t="s">
        <v>63</v>
      </c>
      <c r="S12" s="653"/>
      <c r="T12" s="18" t="s">
        <v>59</v>
      </c>
      <c r="U12" s="19" t="str">
        <f>I12</f>
        <v>(WFTE x BSA x CWF x SDF)</v>
      </c>
    </row>
    <row r="13" spans="1:21" x14ac:dyDescent="0.25">
      <c r="A13" s="574" t="s">
        <v>36</v>
      </c>
      <c r="B13" s="574"/>
      <c r="C13" s="91"/>
      <c r="D13" s="91"/>
      <c r="E13" s="92" t="s">
        <v>37</v>
      </c>
      <c r="F13" s="575" t="s">
        <v>38</v>
      </c>
      <c r="G13" s="575"/>
      <c r="H13" s="20" t="s">
        <v>39</v>
      </c>
      <c r="I13" s="21" t="s">
        <v>40</v>
      </c>
      <c r="N13" s="654" t="s">
        <v>36</v>
      </c>
      <c r="O13" s="654"/>
      <c r="P13" s="655" t="s">
        <v>37</v>
      </c>
      <c r="Q13" s="655"/>
      <c r="R13" s="656" t="s">
        <v>38</v>
      </c>
      <c r="S13" s="656"/>
      <c r="T13" s="22" t="s">
        <v>39</v>
      </c>
      <c r="U13" s="23" t="s">
        <v>40</v>
      </c>
    </row>
    <row r="14" spans="1:21" x14ac:dyDescent="0.25">
      <c r="A14" s="576" t="s">
        <v>20</v>
      </c>
      <c r="B14" s="576"/>
      <c r="C14" s="143">
        <v>0</v>
      </c>
      <c r="D14" s="141">
        <v>0</v>
      </c>
      <c r="E14" s="187">
        <f>IF(D$30=0,C14*2,C14+D14)</f>
        <v>0</v>
      </c>
      <c r="F14" s="667">
        <f>'1461'!F14:G14</f>
        <v>1.1180000000000001</v>
      </c>
      <c r="G14" s="667"/>
      <c r="H14" s="145">
        <f>ROUND(E14*F14,4)</f>
        <v>0</v>
      </c>
      <c r="I14" s="111">
        <f>ROUND(ROUND(ROUND(H14*$C$8,4)*($H$8),2)*(MAX($H$9,1)),2)</f>
        <v>0</v>
      </c>
      <c r="N14" s="641" t="s">
        <v>20</v>
      </c>
      <c r="O14" s="641"/>
      <c r="P14" s="642">
        <f t="shared" ref="P14:P29" si="0">IF($H$133=1,E14,0)</f>
        <v>0</v>
      </c>
      <c r="Q14" s="642"/>
      <c r="R14" s="657">
        <v>1</v>
      </c>
      <c r="S14" s="657"/>
      <c r="T14" s="95">
        <f>ROUND(P14*R14,4)</f>
        <v>0</v>
      </c>
      <c r="U14" s="473">
        <f>ROUND(ROUND(ROUND(T14*$C$8,4)*($H$8),2)*(MAX($H$9,1)),2)</f>
        <v>0</v>
      </c>
    </row>
    <row r="15" spans="1:21" x14ac:dyDescent="0.25">
      <c r="A15" s="578" t="s">
        <v>21</v>
      </c>
      <c r="B15" s="578"/>
      <c r="C15" s="143">
        <v>0</v>
      </c>
      <c r="D15" s="143">
        <v>0</v>
      </c>
      <c r="E15" s="116">
        <f t="shared" ref="E15:E29" si="1">IF(D$30=0,C15*2,C15+D15)</f>
        <v>0</v>
      </c>
      <c r="F15" s="663">
        <f>'1461'!F15:G15</f>
        <v>1.1180000000000001</v>
      </c>
      <c r="G15" s="663"/>
      <c r="H15" s="80">
        <f t="shared" ref="H15:H29" si="2">ROUND(E15*F15,4)</f>
        <v>0</v>
      </c>
      <c r="I15" s="101">
        <f t="shared" ref="I15:I29" si="3">ROUND(ROUND(ROUND(H15*$C$8,4)*($H$8),2)*(MAX($H$9,1)),2)</f>
        <v>0</v>
      </c>
      <c r="J15" s="65" t="str">
        <f>IF(ROUND(E15,2)=ROUND(SUM(E57:E59),2)," ","CHECK PK-3 LINES BELOW")</f>
        <v xml:space="preserve"> </v>
      </c>
      <c r="N15" s="601" t="s">
        <v>21</v>
      </c>
      <c r="O15" s="601"/>
      <c r="P15" s="642">
        <f t="shared" si="0"/>
        <v>0</v>
      </c>
      <c r="Q15" s="642"/>
      <c r="R15" s="647">
        <v>1</v>
      </c>
      <c r="S15" s="647"/>
      <c r="T15" s="95">
        <f t="shared" ref="T15:T29" si="4">ROUND(P15*R15,4)</f>
        <v>0</v>
      </c>
      <c r="U15" s="473">
        <f t="shared" ref="U15:U29" si="5">ROUND(ROUND(ROUND(T15*$C$8,4)*($H$8),2)*(MAX($H$9,1)),2)</f>
        <v>0</v>
      </c>
    </row>
    <row r="16" spans="1:21" x14ac:dyDescent="0.25">
      <c r="A16" s="578" t="s">
        <v>22</v>
      </c>
      <c r="B16" s="578"/>
      <c r="C16" s="143">
        <v>0</v>
      </c>
      <c r="D16" s="143">
        <v>0</v>
      </c>
      <c r="E16" s="116">
        <f t="shared" si="1"/>
        <v>0</v>
      </c>
      <c r="F16" s="663">
        <f>'1461'!F16:G16</f>
        <v>1</v>
      </c>
      <c r="G16" s="663"/>
      <c r="H16" s="80">
        <f t="shared" si="2"/>
        <v>0</v>
      </c>
      <c r="I16" s="101">
        <f t="shared" si="3"/>
        <v>0</v>
      </c>
      <c r="N16" s="601" t="s">
        <v>22</v>
      </c>
      <c r="O16" s="601"/>
      <c r="P16" s="642">
        <f t="shared" si="0"/>
        <v>0</v>
      </c>
      <c r="Q16" s="642"/>
      <c r="R16" s="647">
        <v>1</v>
      </c>
      <c r="S16" s="647"/>
      <c r="T16" s="95">
        <f t="shared" si="4"/>
        <v>0</v>
      </c>
      <c r="U16" s="473">
        <f t="shared" si="5"/>
        <v>0</v>
      </c>
    </row>
    <row r="17" spans="1:21" x14ac:dyDescent="0.25">
      <c r="A17" s="578" t="s">
        <v>23</v>
      </c>
      <c r="B17" s="578"/>
      <c r="C17" s="143">
        <v>0</v>
      </c>
      <c r="D17" s="143">
        <v>0</v>
      </c>
      <c r="E17" s="116">
        <f t="shared" si="1"/>
        <v>0</v>
      </c>
      <c r="F17" s="663">
        <f>'1461'!F17:G17</f>
        <v>1</v>
      </c>
      <c r="G17" s="663"/>
      <c r="H17" s="80">
        <f t="shared" si="2"/>
        <v>0</v>
      </c>
      <c r="I17" s="101">
        <f t="shared" si="3"/>
        <v>0</v>
      </c>
      <c r="J17" s="65" t="str">
        <f>IF(ROUND(E17,2)=ROUND(SUM(E60:E62),2)," ","CHECK 4-8 LINES BELOW")</f>
        <v xml:space="preserve"> </v>
      </c>
      <c r="N17" s="601" t="s">
        <v>23</v>
      </c>
      <c r="O17" s="601"/>
      <c r="P17" s="642">
        <f t="shared" si="0"/>
        <v>0</v>
      </c>
      <c r="Q17" s="642"/>
      <c r="R17" s="647">
        <v>1</v>
      </c>
      <c r="S17" s="647"/>
      <c r="T17" s="95">
        <f t="shared" si="4"/>
        <v>0</v>
      </c>
      <c r="U17" s="473">
        <f t="shared" si="5"/>
        <v>0</v>
      </c>
    </row>
    <row r="18" spans="1:21" x14ac:dyDescent="0.25">
      <c r="A18" s="578" t="s">
        <v>24</v>
      </c>
      <c r="B18" s="578"/>
      <c r="C18" s="143">
        <v>259.93</v>
      </c>
      <c r="D18" s="143">
        <v>255.44</v>
      </c>
      <c r="E18" s="116">
        <f t="shared" si="1"/>
        <v>515.37</v>
      </c>
      <c r="F18" s="663">
        <f>'1461'!F18:G18</f>
        <v>0.97799999999999998</v>
      </c>
      <c r="G18" s="663"/>
      <c r="H18" s="80">
        <f t="shared" si="2"/>
        <v>504.03190000000001</v>
      </c>
      <c r="I18" s="101">
        <f t="shared" si="3"/>
        <v>2796612.92</v>
      </c>
      <c r="N18" s="601" t="s">
        <v>24</v>
      </c>
      <c r="O18" s="601"/>
      <c r="P18" s="642">
        <f t="shared" si="0"/>
        <v>0</v>
      </c>
      <c r="Q18" s="642"/>
      <c r="R18" s="647">
        <v>1</v>
      </c>
      <c r="S18" s="647"/>
      <c r="T18" s="95">
        <f t="shared" si="4"/>
        <v>0</v>
      </c>
      <c r="U18" s="473">
        <f t="shared" si="5"/>
        <v>0</v>
      </c>
    </row>
    <row r="19" spans="1:21" x14ac:dyDescent="0.25">
      <c r="A19" s="578" t="s">
        <v>25</v>
      </c>
      <c r="B19" s="578"/>
      <c r="C19" s="143">
        <v>44</v>
      </c>
      <c r="D19" s="143">
        <v>39.950000000000003</v>
      </c>
      <c r="E19" s="116">
        <f t="shared" si="1"/>
        <v>83.95</v>
      </c>
      <c r="F19" s="663">
        <f>'1461'!F19:G19</f>
        <v>0.97799999999999998</v>
      </c>
      <c r="G19" s="663"/>
      <c r="H19" s="80">
        <f t="shared" si="2"/>
        <v>82.103099999999998</v>
      </c>
      <c r="I19" s="101">
        <f t="shared" si="3"/>
        <v>455547.74</v>
      </c>
      <c r="J19" s="65" t="str">
        <f>IF(ROUND(E19,2)=ROUND(SUM(E63:E65),2)," ","CHECK 4-8 LINES BELOW")</f>
        <v xml:space="preserve"> </v>
      </c>
      <c r="N19" s="601" t="s">
        <v>25</v>
      </c>
      <c r="O19" s="601"/>
      <c r="P19" s="642">
        <f t="shared" si="0"/>
        <v>0</v>
      </c>
      <c r="Q19" s="642"/>
      <c r="R19" s="647">
        <v>1</v>
      </c>
      <c r="S19" s="647"/>
      <c r="T19" s="95">
        <f t="shared" si="4"/>
        <v>0</v>
      </c>
      <c r="U19" s="472">
        <f t="shared" si="5"/>
        <v>0</v>
      </c>
    </row>
    <row r="20" spans="1:21" x14ac:dyDescent="0.25">
      <c r="A20" s="578" t="s">
        <v>79</v>
      </c>
      <c r="B20" s="578"/>
      <c r="C20" s="143">
        <v>0</v>
      </c>
      <c r="D20" s="143">
        <v>0</v>
      </c>
      <c r="E20" s="116">
        <f t="shared" si="1"/>
        <v>0</v>
      </c>
      <c r="F20" s="663">
        <f>'1461'!F20:G20</f>
        <v>3.6970000000000001</v>
      </c>
      <c r="G20" s="663"/>
      <c r="H20" s="80">
        <f t="shared" si="2"/>
        <v>0</v>
      </c>
      <c r="I20" s="101">
        <f t="shared" si="3"/>
        <v>0</v>
      </c>
      <c r="N20" s="601" t="s">
        <v>79</v>
      </c>
      <c r="O20" s="601"/>
      <c r="P20" s="642">
        <f t="shared" si="0"/>
        <v>0</v>
      </c>
      <c r="Q20" s="642"/>
      <c r="R20" s="647">
        <v>1</v>
      </c>
      <c r="S20" s="647"/>
      <c r="T20" s="95">
        <f t="shared" si="4"/>
        <v>0</v>
      </c>
      <c r="U20" s="473">
        <f t="shared" si="5"/>
        <v>0</v>
      </c>
    </row>
    <row r="21" spans="1:21" x14ac:dyDescent="0.25">
      <c r="A21" s="578" t="s">
        <v>80</v>
      </c>
      <c r="B21" s="578"/>
      <c r="C21" s="143">
        <v>0</v>
      </c>
      <c r="D21" s="143">
        <v>0</v>
      </c>
      <c r="E21" s="116">
        <f t="shared" si="1"/>
        <v>0</v>
      </c>
      <c r="F21" s="663">
        <f>'1461'!F21:G21</f>
        <v>3.6970000000000001</v>
      </c>
      <c r="G21" s="663"/>
      <c r="H21" s="80">
        <f t="shared" si="2"/>
        <v>0</v>
      </c>
      <c r="I21" s="101">
        <f t="shared" si="3"/>
        <v>0</v>
      </c>
      <c r="N21" s="601" t="s">
        <v>80</v>
      </c>
      <c r="O21" s="601"/>
      <c r="P21" s="642">
        <f t="shared" si="0"/>
        <v>0</v>
      </c>
      <c r="Q21" s="642"/>
      <c r="R21" s="647">
        <v>1</v>
      </c>
      <c r="S21" s="647"/>
      <c r="T21" s="95">
        <f t="shared" si="4"/>
        <v>0</v>
      </c>
      <c r="U21" s="473">
        <f t="shared" si="5"/>
        <v>0</v>
      </c>
    </row>
    <row r="22" spans="1:21" x14ac:dyDescent="0.25">
      <c r="A22" s="578" t="s">
        <v>81</v>
      </c>
      <c r="B22" s="578"/>
      <c r="C22" s="143">
        <v>0</v>
      </c>
      <c r="D22" s="143">
        <v>0</v>
      </c>
      <c r="E22" s="116">
        <f t="shared" si="1"/>
        <v>0</v>
      </c>
      <c r="F22" s="663">
        <f>'1461'!F22:G22</f>
        <v>3.6970000000000001</v>
      </c>
      <c r="G22" s="663"/>
      <c r="H22" s="80">
        <f t="shared" si="2"/>
        <v>0</v>
      </c>
      <c r="I22" s="101">
        <f t="shared" si="3"/>
        <v>0</v>
      </c>
      <c r="N22" s="601" t="s">
        <v>81</v>
      </c>
      <c r="O22" s="601"/>
      <c r="P22" s="642">
        <f t="shared" si="0"/>
        <v>0</v>
      </c>
      <c r="Q22" s="642"/>
      <c r="R22" s="647">
        <v>1</v>
      </c>
      <c r="S22" s="647"/>
      <c r="T22" s="95">
        <f t="shared" si="4"/>
        <v>0</v>
      </c>
      <c r="U22" s="473">
        <f t="shared" si="5"/>
        <v>0</v>
      </c>
    </row>
    <row r="23" spans="1:21" x14ac:dyDescent="0.25">
      <c r="A23" s="578" t="s">
        <v>82</v>
      </c>
      <c r="B23" s="578"/>
      <c r="C23" s="143">
        <v>0</v>
      </c>
      <c r="D23" s="143">
        <v>0</v>
      </c>
      <c r="E23" s="116">
        <f t="shared" si="1"/>
        <v>0</v>
      </c>
      <c r="F23" s="663">
        <f>'1461'!F23:G23</f>
        <v>5.992</v>
      </c>
      <c r="G23" s="663"/>
      <c r="H23" s="80">
        <f t="shared" si="2"/>
        <v>0</v>
      </c>
      <c r="I23" s="101">
        <f t="shared" si="3"/>
        <v>0</v>
      </c>
      <c r="N23" s="601" t="s">
        <v>82</v>
      </c>
      <c r="O23" s="601"/>
      <c r="P23" s="642">
        <f t="shared" si="0"/>
        <v>0</v>
      </c>
      <c r="Q23" s="642"/>
      <c r="R23" s="647">
        <v>1</v>
      </c>
      <c r="S23" s="647"/>
      <c r="T23" s="95">
        <f t="shared" si="4"/>
        <v>0</v>
      </c>
      <c r="U23" s="473">
        <f t="shared" si="5"/>
        <v>0</v>
      </c>
    </row>
    <row r="24" spans="1:21" x14ac:dyDescent="0.25">
      <c r="A24" s="578" t="s">
        <v>83</v>
      </c>
      <c r="B24" s="578"/>
      <c r="C24" s="143">
        <v>0</v>
      </c>
      <c r="D24" s="143">
        <v>0</v>
      </c>
      <c r="E24" s="116">
        <f t="shared" si="1"/>
        <v>0</v>
      </c>
      <c r="F24" s="663">
        <f>'1461'!F24:G24</f>
        <v>5.992</v>
      </c>
      <c r="G24" s="663"/>
      <c r="H24" s="80">
        <f t="shared" si="2"/>
        <v>0</v>
      </c>
      <c r="I24" s="101">
        <f t="shared" si="3"/>
        <v>0</v>
      </c>
      <c r="N24" s="601" t="s">
        <v>83</v>
      </c>
      <c r="O24" s="601"/>
      <c r="P24" s="642">
        <f t="shared" si="0"/>
        <v>0</v>
      </c>
      <c r="Q24" s="642"/>
      <c r="R24" s="647">
        <v>1</v>
      </c>
      <c r="S24" s="647"/>
      <c r="T24" s="95">
        <f t="shared" si="4"/>
        <v>0</v>
      </c>
      <c r="U24" s="473">
        <f t="shared" si="5"/>
        <v>0</v>
      </c>
    </row>
    <row r="25" spans="1:21" x14ac:dyDescent="0.25">
      <c r="A25" s="578" t="s">
        <v>84</v>
      </c>
      <c r="B25" s="578"/>
      <c r="C25" s="143">
        <v>0</v>
      </c>
      <c r="D25" s="143">
        <v>0</v>
      </c>
      <c r="E25" s="116">
        <f t="shared" si="1"/>
        <v>0</v>
      </c>
      <c r="F25" s="663">
        <f>'1461'!F25:G25</f>
        <v>5.992</v>
      </c>
      <c r="G25" s="663"/>
      <c r="H25" s="80">
        <f t="shared" si="2"/>
        <v>0</v>
      </c>
      <c r="I25" s="101">
        <f t="shared" si="3"/>
        <v>0</v>
      </c>
      <c r="N25" s="601" t="s">
        <v>84</v>
      </c>
      <c r="O25" s="601"/>
      <c r="P25" s="642">
        <f t="shared" si="0"/>
        <v>0</v>
      </c>
      <c r="Q25" s="642"/>
      <c r="R25" s="647">
        <v>1</v>
      </c>
      <c r="S25" s="647"/>
      <c r="T25" s="95">
        <f t="shared" si="4"/>
        <v>0</v>
      </c>
      <c r="U25" s="473">
        <f t="shared" si="5"/>
        <v>0</v>
      </c>
    </row>
    <row r="26" spans="1:21" x14ac:dyDescent="0.25">
      <c r="A26" s="578" t="s">
        <v>85</v>
      </c>
      <c r="B26" s="578"/>
      <c r="C26" s="143">
        <v>0</v>
      </c>
      <c r="D26" s="143">
        <v>0</v>
      </c>
      <c r="E26" s="116">
        <f t="shared" si="1"/>
        <v>0</v>
      </c>
      <c r="F26" s="663">
        <f>'1461'!F26:G26</f>
        <v>1.1919999999999999</v>
      </c>
      <c r="G26" s="663"/>
      <c r="H26" s="80">
        <f t="shared" si="2"/>
        <v>0</v>
      </c>
      <c r="I26" s="101">
        <f t="shared" si="3"/>
        <v>0</v>
      </c>
      <c r="N26" s="601" t="s">
        <v>85</v>
      </c>
      <c r="O26" s="601"/>
      <c r="P26" s="642">
        <f t="shared" si="0"/>
        <v>0</v>
      </c>
      <c r="Q26" s="642"/>
      <c r="R26" s="647">
        <v>1</v>
      </c>
      <c r="S26" s="647"/>
      <c r="T26" s="95">
        <f t="shared" si="4"/>
        <v>0</v>
      </c>
      <c r="U26" s="473">
        <f t="shared" si="5"/>
        <v>0</v>
      </c>
    </row>
    <row r="27" spans="1:21" x14ac:dyDescent="0.25">
      <c r="A27" s="578" t="s">
        <v>86</v>
      </c>
      <c r="B27" s="578"/>
      <c r="C27" s="143">
        <v>0</v>
      </c>
      <c r="D27" s="143">
        <v>0</v>
      </c>
      <c r="E27" s="116">
        <f t="shared" si="1"/>
        <v>0</v>
      </c>
      <c r="F27" s="663">
        <f>'1461'!F27:G27</f>
        <v>1.1919999999999999</v>
      </c>
      <c r="G27" s="663"/>
      <c r="H27" s="80">
        <f t="shared" si="2"/>
        <v>0</v>
      </c>
      <c r="I27" s="101">
        <f t="shared" si="3"/>
        <v>0</v>
      </c>
      <c r="N27" s="601" t="s">
        <v>86</v>
      </c>
      <c r="O27" s="601"/>
      <c r="P27" s="642">
        <f t="shared" si="0"/>
        <v>0</v>
      </c>
      <c r="Q27" s="642"/>
      <c r="R27" s="647">
        <v>1</v>
      </c>
      <c r="S27" s="647"/>
      <c r="T27" s="95">
        <f t="shared" si="4"/>
        <v>0</v>
      </c>
      <c r="U27" s="473">
        <f t="shared" si="5"/>
        <v>0</v>
      </c>
    </row>
    <row r="28" spans="1:21" x14ac:dyDescent="0.25">
      <c r="A28" s="578" t="s">
        <v>87</v>
      </c>
      <c r="B28" s="578"/>
      <c r="C28" s="143">
        <v>11.15</v>
      </c>
      <c r="D28" s="143">
        <v>11.09</v>
      </c>
      <c r="E28" s="116">
        <f t="shared" si="1"/>
        <v>22.240000000000002</v>
      </c>
      <c r="F28" s="663">
        <f>'1461'!F28:G28</f>
        <v>1.1919999999999999</v>
      </c>
      <c r="G28" s="663"/>
      <c r="H28" s="80">
        <f t="shared" si="2"/>
        <v>26.510100000000001</v>
      </c>
      <c r="I28" s="101">
        <f t="shared" si="3"/>
        <v>147090.87</v>
      </c>
      <c r="N28" s="601" t="s">
        <v>87</v>
      </c>
      <c r="O28" s="601"/>
      <c r="P28" s="642">
        <f t="shared" si="0"/>
        <v>0</v>
      </c>
      <c r="Q28" s="642"/>
      <c r="R28" s="647">
        <v>1</v>
      </c>
      <c r="S28" s="647"/>
      <c r="T28" s="95">
        <f t="shared" si="4"/>
        <v>0</v>
      </c>
      <c r="U28" s="473">
        <f t="shared" si="5"/>
        <v>0</v>
      </c>
    </row>
    <row r="29" spans="1:21" x14ac:dyDescent="0.25">
      <c r="A29" s="578" t="s">
        <v>88</v>
      </c>
      <c r="B29" s="578"/>
      <c r="C29" s="110">
        <v>26.61</v>
      </c>
      <c r="D29" s="110">
        <v>26.39</v>
      </c>
      <c r="E29" s="116">
        <f t="shared" si="1"/>
        <v>53</v>
      </c>
      <c r="F29" s="663">
        <f>'1461'!F29:G29</f>
        <v>1.079</v>
      </c>
      <c r="G29" s="663"/>
      <c r="H29" s="93">
        <f t="shared" si="2"/>
        <v>57.186999999999998</v>
      </c>
      <c r="I29" s="94">
        <f t="shared" si="3"/>
        <v>317301.15000000002</v>
      </c>
      <c r="N29" s="616" t="s">
        <v>88</v>
      </c>
      <c r="O29" s="616"/>
      <c r="P29" s="642">
        <f t="shared" si="0"/>
        <v>0</v>
      </c>
      <c r="Q29" s="642"/>
      <c r="R29" s="643">
        <v>1</v>
      </c>
      <c r="S29" s="643"/>
      <c r="T29" s="95">
        <f t="shared" si="4"/>
        <v>0</v>
      </c>
      <c r="U29" s="473">
        <f t="shared" si="5"/>
        <v>0</v>
      </c>
    </row>
    <row r="30" spans="1:21" x14ac:dyDescent="0.25">
      <c r="A30" s="590" t="s">
        <v>5</v>
      </c>
      <c r="B30" s="590"/>
      <c r="C30" s="94">
        <f>SUM(C14:C29)</f>
        <v>341.69</v>
      </c>
      <c r="D30" s="94">
        <f>SUM(D14:D29)</f>
        <v>332.86999999999995</v>
      </c>
      <c r="E30" s="97">
        <f>SUM(E14:E29)</f>
        <v>674.56000000000006</v>
      </c>
      <c r="F30" s="582"/>
      <c r="G30" s="582"/>
      <c r="H30" s="99">
        <f>SUM(H14:H29)</f>
        <v>669.83209999999997</v>
      </c>
      <c r="I30" s="94">
        <f>SUM(I14:I29)</f>
        <v>3716552.68</v>
      </c>
      <c r="N30" s="644" t="s">
        <v>5</v>
      </c>
      <c r="O30" s="644"/>
      <c r="P30" s="645">
        <f>SUM(P14:P29)</f>
        <v>0</v>
      </c>
      <c r="Q30" s="645"/>
      <c r="R30" s="617"/>
      <c r="S30" s="617"/>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0" t="s">
        <v>233</v>
      </c>
      <c r="G34" s="670"/>
      <c r="H34" s="670"/>
      <c r="I34" s="101"/>
      <c r="N34" s="28"/>
      <c r="O34" s="28"/>
      <c r="P34" s="29"/>
      <c r="Q34" s="29"/>
      <c r="R34" s="30"/>
      <c r="S34" s="30"/>
      <c r="T34" s="102"/>
      <c r="U34" s="103"/>
    </row>
    <row r="35" spans="1:21" hidden="1" x14ac:dyDescent="0.25">
      <c r="A35" s="3"/>
      <c r="B35" s="69"/>
      <c r="C35" s="69"/>
      <c r="D35" s="69"/>
      <c r="E35" s="69"/>
      <c r="F35" s="670"/>
      <c r="G35" s="670"/>
      <c r="H35" s="670"/>
      <c r="I35" s="24" t="s">
        <v>61</v>
      </c>
      <c r="N35" s="627" t="s">
        <v>26</v>
      </c>
      <c r="O35" s="627"/>
      <c r="P35" s="627"/>
      <c r="Q35" s="627"/>
      <c r="R35" s="627"/>
      <c r="S35" s="627"/>
      <c r="T35" s="627"/>
      <c r="U35" s="25" t="str">
        <f>I35</f>
        <v>2015-16</v>
      </c>
    </row>
    <row r="36" spans="1:21" hidden="1" x14ac:dyDescent="0.25">
      <c r="A36" s="26"/>
      <c r="B36" s="26"/>
      <c r="C36" s="88" t="s">
        <v>93</v>
      </c>
      <c r="D36" s="88" t="s">
        <v>94</v>
      </c>
      <c r="E36" s="89" t="s">
        <v>8</v>
      </c>
      <c r="F36" s="670"/>
      <c r="G36" s="670"/>
      <c r="H36" s="670"/>
      <c r="I36" s="24" t="s">
        <v>27</v>
      </c>
      <c r="N36" s="28"/>
      <c r="O36" s="28"/>
      <c r="P36" s="29"/>
      <c r="Q36" s="29"/>
      <c r="R36" s="30"/>
      <c r="S36" s="30"/>
      <c r="T36" s="102"/>
      <c r="U36" s="25" t="s">
        <v>27</v>
      </c>
    </row>
    <row r="37" spans="1:21" ht="26.25" hidden="1" x14ac:dyDescent="0.25">
      <c r="A37" s="572" t="s">
        <v>50</v>
      </c>
      <c r="B37" s="572"/>
      <c r="C37" s="90" t="s">
        <v>2</v>
      </c>
      <c r="D37" s="90" t="s">
        <v>2</v>
      </c>
      <c r="E37" s="90" t="s">
        <v>2</v>
      </c>
      <c r="F37" s="671"/>
      <c r="G37" s="671"/>
      <c r="H37" s="671"/>
      <c r="I37" s="31" t="s">
        <v>395</v>
      </c>
      <c r="N37" s="639" t="s">
        <v>50</v>
      </c>
      <c r="O37" s="639"/>
      <c r="P37" s="640" t="s">
        <v>19</v>
      </c>
      <c r="Q37" s="640"/>
      <c r="R37" s="640"/>
      <c r="S37" s="640"/>
      <c r="T37" s="640"/>
      <c r="U37" s="19" t="str">
        <f>I37</f>
        <v>(WFTE x BSA x CWF x SDF)</v>
      </c>
    </row>
    <row r="38" spans="1:21" hidden="1" x14ac:dyDescent="0.25">
      <c r="A38" s="576" t="s">
        <v>45</v>
      </c>
      <c r="B38" s="576"/>
      <c r="C38" s="147">
        <v>0</v>
      </c>
      <c r="D38" s="147">
        <v>0</v>
      </c>
      <c r="E38" s="187">
        <f t="shared" ref="E38:E43" si="6">IF(D$44=0,C38*2,C38+D38)</f>
        <v>0</v>
      </c>
      <c r="F38" s="148"/>
      <c r="G38" s="148"/>
      <c r="H38" s="148"/>
      <c r="I38" s="111">
        <f>ROUND(ROUND(ROUND(E38*$C$8,4)*($H$8),2)*(MAX($H$9,1)),2)</f>
        <v>0</v>
      </c>
      <c r="N38" s="641" t="s">
        <v>45</v>
      </c>
      <c r="O38" s="641"/>
      <c r="P38" s="608">
        <f t="shared" ref="P38:P43" si="7">IF($H$133=1,E38,0)</f>
        <v>0</v>
      </c>
      <c r="Q38" s="608"/>
      <c r="R38" s="608"/>
      <c r="S38" s="608"/>
      <c r="T38" s="608"/>
      <c r="U38" s="98">
        <f>ROUND(ROUND(ROUND(P38*$C$8,4)*($H$8),2)*(MAX($H$9,1)),2)</f>
        <v>0</v>
      </c>
    </row>
    <row r="39" spans="1:21" hidden="1" x14ac:dyDescent="0.25">
      <c r="A39" s="578" t="s">
        <v>46</v>
      </c>
      <c r="B39" s="578"/>
      <c r="C39" s="150">
        <v>0</v>
      </c>
      <c r="D39" s="150">
        <v>0</v>
      </c>
      <c r="E39" s="116">
        <f t="shared" si="6"/>
        <v>0</v>
      </c>
      <c r="F39" s="151"/>
      <c r="G39" s="151"/>
      <c r="H39" s="151"/>
      <c r="I39" s="101">
        <f t="shared" ref="I39:I43" si="8">ROUND(ROUND(ROUND(E39*$C$8,4)*($H$8),2)*(MAX($H$9,1)),2)</f>
        <v>0</v>
      </c>
      <c r="N39" s="601" t="s">
        <v>46</v>
      </c>
      <c r="O39" s="601"/>
      <c r="P39" s="608">
        <f t="shared" si="7"/>
        <v>0</v>
      </c>
      <c r="Q39" s="608"/>
      <c r="R39" s="608"/>
      <c r="S39" s="608"/>
      <c r="T39" s="608"/>
      <c r="U39" s="98">
        <f t="shared" ref="U39:U43" si="9">ROUND(ROUND(ROUND(P39*$C$8,4)*($H$8),2)*(MAX($H$9,1)),2)</f>
        <v>0</v>
      </c>
    </row>
    <row r="40" spans="1:21" hidden="1" x14ac:dyDescent="0.25">
      <c r="A40" s="583" t="s">
        <v>47</v>
      </c>
      <c r="B40" s="583"/>
      <c r="C40" s="150">
        <v>0</v>
      </c>
      <c r="D40" s="150">
        <v>0</v>
      </c>
      <c r="E40" s="116">
        <f t="shared" si="6"/>
        <v>0</v>
      </c>
      <c r="F40" s="151"/>
      <c r="G40" s="151"/>
      <c r="H40" s="151"/>
      <c r="I40" s="101">
        <f t="shared" si="8"/>
        <v>0</v>
      </c>
      <c r="N40" s="646" t="s">
        <v>47</v>
      </c>
      <c r="O40" s="646"/>
      <c r="P40" s="608">
        <f t="shared" si="7"/>
        <v>0</v>
      </c>
      <c r="Q40" s="608"/>
      <c r="R40" s="608"/>
      <c r="S40" s="608"/>
      <c r="T40" s="608"/>
      <c r="U40" s="98">
        <f t="shared" si="9"/>
        <v>0</v>
      </c>
    </row>
    <row r="41" spans="1:21" hidden="1" x14ac:dyDescent="0.25">
      <c r="A41" s="578" t="s">
        <v>48</v>
      </c>
      <c r="B41" s="578"/>
      <c r="C41" s="150">
        <v>0</v>
      </c>
      <c r="D41" s="150">
        <v>0</v>
      </c>
      <c r="E41" s="116">
        <f t="shared" si="6"/>
        <v>0</v>
      </c>
      <c r="F41" s="151"/>
      <c r="G41" s="151"/>
      <c r="H41" s="151"/>
      <c r="I41" s="101">
        <f t="shared" si="8"/>
        <v>0</v>
      </c>
      <c r="N41" s="601" t="s">
        <v>48</v>
      </c>
      <c r="O41" s="601"/>
      <c r="P41" s="608">
        <f t="shared" si="7"/>
        <v>0</v>
      </c>
      <c r="Q41" s="608"/>
      <c r="R41" s="608"/>
      <c r="S41" s="608"/>
      <c r="T41" s="608"/>
      <c r="U41" s="98">
        <f t="shared" si="9"/>
        <v>0</v>
      </c>
    </row>
    <row r="42" spans="1:21" hidden="1" x14ac:dyDescent="0.25">
      <c r="A42" s="578" t="s">
        <v>49</v>
      </c>
      <c r="B42" s="578"/>
      <c r="C42" s="150">
        <v>0</v>
      </c>
      <c r="D42" s="150">
        <v>0</v>
      </c>
      <c r="E42" s="116">
        <f t="shared" si="6"/>
        <v>0</v>
      </c>
      <c r="F42" s="151"/>
      <c r="G42" s="151"/>
      <c r="H42" s="151"/>
      <c r="I42" s="101">
        <f t="shared" si="8"/>
        <v>0</v>
      </c>
      <c r="N42" s="601" t="s">
        <v>49</v>
      </c>
      <c r="O42" s="601"/>
      <c r="P42" s="608">
        <f t="shared" si="7"/>
        <v>0</v>
      </c>
      <c r="Q42" s="608"/>
      <c r="R42" s="608"/>
      <c r="S42" s="608"/>
      <c r="T42" s="608"/>
      <c r="U42" s="98">
        <f t="shared" si="9"/>
        <v>0</v>
      </c>
    </row>
    <row r="43" spans="1:21" hidden="1" x14ac:dyDescent="0.25">
      <c r="A43" s="578" t="s">
        <v>41</v>
      </c>
      <c r="B43" s="578"/>
      <c r="C43" s="149">
        <v>0</v>
      </c>
      <c r="D43" s="149">
        <v>0</v>
      </c>
      <c r="E43" s="154">
        <f t="shared" si="6"/>
        <v>0</v>
      </c>
      <c r="F43" s="151"/>
      <c r="G43" s="151"/>
      <c r="H43" s="151"/>
      <c r="I43" s="94">
        <f t="shared" si="8"/>
        <v>0</v>
      </c>
      <c r="N43" s="616" t="s">
        <v>41</v>
      </c>
      <c r="O43" s="616"/>
      <c r="P43" s="608">
        <f t="shared" si="7"/>
        <v>0</v>
      </c>
      <c r="Q43" s="608"/>
      <c r="R43" s="608"/>
      <c r="S43" s="608"/>
      <c r="T43" s="60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3" t="s">
        <v>43</v>
      </c>
      <c r="O44" s="603"/>
      <c r="P44" s="603"/>
      <c r="Q44" s="603"/>
      <c r="R44" s="33">
        <f>SUM(P38:R43)</f>
        <v>0</v>
      </c>
      <c r="S44" s="617" t="s">
        <v>51</v>
      </c>
      <c r="T44" s="617"/>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669.83209999999997</v>
      </c>
      <c r="F46" s="34"/>
      <c r="G46" s="106"/>
      <c r="H46" s="107" t="s">
        <v>98</v>
      </c>
      <c r="I46" s="94">
        <f>SUM(I44,I30)</f>
        <v>3716552.68</v>
      </c>
      <c r="N46" s="603" t="s">
        <v>44</v>
      </c>
      <c r="O46" s="603"/>
      <c r="P46" s="603"/>
      <c r="Q46" s="603"/>
      <c r="R46" s="35">
        <f>R44+T30</f>
        <v>0</v>
      </c>
      <c r="S46" s="617" t="s">
        <v>42</v>
      </c>
      <c r="T46" s="617"/>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396</v>
      </c>
      <c r="B48" s="26"/>
      <c r="C48" s="26"/>
      <c r="D48" s="26"/>
      <c r="E48" s="26"/>
      <c r="F48" s="34"/>
      <c r="G48" s="27"/>
      <c r="H48" s="27"/>
      <c r="I48" s="101"/>
      <c r="N48" s="383" t="s">
        <v>396</v>
      </c>
      <c r="O48" s="28"/>
      <c r="P48" s="28"/>
      <c r="Q48" s="28"/>
      <c r="R48" s="35"/>
      <c r="S48" s="30"/>
      <c r="T48" s="30"/>
      <c r="U48" s="402"/>
    </row>
    <row r="49" spans="1:22" s="391" customFormat="1" ht="9" customHeight="1" x14ac:dyDescent="0.2">
      <c r="A49" s="481" t="s">
        <v>397</v>
      </c>
      <c r="F49" s="392"/>
      <c r="G49" s="393"/>
      <c r="H49" s="393"/>
      <c r="I49" s="394"/>
      <c r="N49" s="403" t="s">
        <v>397</v>
      </c>
      <c r="O49" s="395"/>
      <c r="P49" s="395"/>
      <c r="Q49" s="395"/>
      <c r="R49" s="396"/>
      <c r="S49" s="397"/>
      <c r="T49" s="397"/>
      <c r="U49" s="404"/>
    </row>
    <row r="50" spans="1:22" s="391" customFormat="1" ht="11.25" customHeight="1" x14ac:dyDescent="0.2">
      <c r="A50" s="483" t="s">
        <v>398</v>
      </c>
      <c r="F50" s="392"/>
      <c r="G50" s="393"/>
      <c r="H50" s="393"/>
      <c r="I50" s="394"/>
      <c r="N50" s="405" t="s">
        <v>398</v>
      </c>
      <c r="O50" s="395"/>
      <c r="P50" s="395"/>
      <c r="Q50" s="395"/>
      <c r="R50" s="396"/>
      <c r="S50" s="397"/>
      <c r="T50" s="397"/>
      <c r="U50" s="404"/>
    </row>
    <row r="51" spans="1:22" x14ac:dyDescent="0.25">
      <c r="A51" s="389"/>
      <c r="B51" s="399" t="s">
        <v>399</v>
      </c>
      <c r="C51" s="26"/>
      <c r="D51" s="26"/>
      <c r="E51" s="43" t="s">
        <v>400</v>
      </c>
      <c r="F51" s="400">
        <f>I46</f>
        <v>3716552.68</v>
      </c>
      <c r="G51" s="109" t="s">
        <v>6</v>
      </c>
      <c r="H51" s="401">
        <v>4.5199999999999997E-2</v>
      </c>
      <c r="I51" s="101">
        <f>ROUND(F51*H51,2)</f>
        <v>167988.18</v>
      </c>
      <c r="N51" s="406"/>
      <c r="O51" s="407" t="s">
        <v>399</v>
      </c>
      <c r="P51" s="28"/>
      <c r="Q51" s="44" t="s">
        <v>400</v>
      </c>
      <c r="R51" s="408">
        <f>U30</f>
        <v>0</v>
      </c>
      <c r="S51" s="409" t="s">
        <v>6</v>
      </c>
      <c r="T51" s="410">
        <v>4.5199999999999997E-2</v>
      </c>
      <c r="U51" s="402">
        <f>ROUND(R51*T51,2)</f>
        <v>0</v>
      </c>
    </row>
    <row r="52" spans="1:22" x14ac:dyDescent="0.25">
      <c r="A52" s="26"/>
      <c r="B52" s="81" t="s">
        <v>401</v>
      </c>
      <c r="C52" s="26"/>
      <c r="D52" s="26"/>
      <c r="E52" s="43" t="s">
        <v>400</v>
      </c>
      <c r="F52" s="400">
        <f>I46</f>
        <v>3716552.68</v>
      </c>
      <c r="G52" s="109" t="s">
        <v>6</v>
      </c>
      <c r="H52" s="401">
        <v>1.41E-2</v>
      </c>
      <c r="I52" s="101">
        <f>ROUND(F52*H52,2)</f>
        <v>52403.39</v>
      </c>
      <c r="N52" s="28"/>
      <c r="O52" s="383" t="s">
        <v>401</v>
      </c>
      <c r="P52" s="28"/>
      <c r="Q52" s="44" t="s">
        <v>400</v>
      </c>
      <c r="R52" s="408">
        <f>U30</f>
        <v>0</v>
      </c>
      <c r="S52" s="409" t="s">
        <v>6</v>
      </c>
      <c r="T52" s="410">
        <v>1.41E-2</v>
      </c>
      <c r="U52" s="411">
        <f>ROUND(R52*T52,2)</f>
        <v>0</v>
      </c>
    </row>
    <row r="53" spans="1:22" x14ac:dyDescent="0.25">
      <c r="A53" s="26"/>
      <c r="B53" s="81" t="s">
        <v>402</v>
      </c>
      <c r="C53" s="26"/>
      <c r="D53" s="26"/>
      <c r="E53" s="43"/>
      <c r="F53" s="400"/>
      <c r="G53" s="109"/>
      <c r="H53" s="401"/>
      <c r="I53" s="97">
        <f>SUM(I51:I52)</f>
        <v>220391.57</v>
      </c>
      <c r="N53" s="28"/>
      <c r="O53" s="383" t="s">
        <v>402</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440</v>
      </c>
      <c r="G55" s="109" t="s">
        <v>441</v>
      </c>
      <c r="H55" s="454" t="s">
        <v>442</v>
      </c>
      <c r="I55" s="101"/>
      <c r="N55" s="448"/>
      <c r="O55" s="448"/>
      <c r="P55" s="464"/>
      <c r="Q55" s="465"/>
      <c r="R55" s="466"/>
      <c r="S55" s="468" t="s">
        <v>441</v>
      </c>
      <c r="T55" s="469" t="s">
        <v>442</v>
      </c>
      <c r="U55" s="467"/>
      <c r="V55" s="424"/>
    </row>
    <row r="56" spans="1:22" x14ac:dyDescent="0.25">
      <c r="A56" s="36" t="s">
        <v>443</v>
      </c>
      <c r="B56" s="36"/>
      <c r="C56" s="324" t="str">
        <f>'1461'!C56</f>
        <v>FTE</v>
      </c>
      <c r="D56" s="324" t="str">
        <f>'1461'!D56</f>
        <v>FTE</v>
      </c>
      <c r="E56" s="90" t="s">
        <v>2</v>
      </c>
      <c r="F56" s="439" t="s">
        <v>444</v>
      </c>
      <c r="G56" s="441" t="s">
        <v>444</v>
      </c>
      <c r="H56" s="455" t="s">
        <v>445</v>
      </c>
      <c r="I56" s="36"/>
      <c r="N56" s="459" t="s">
        <v>443</v>
      </c>
      <c r="O56" s="459"/>
      <c r="P56" s="620" t="s">
        <v>2</v>
      </c>
      <c r="Q56" s="620"/>
      <c r="R56" s="459" t="s">
        <v>449</v>
      </c>
      <c r="S56" s="450" t="s">
        <v>444</v>
      </c>
      <c r="T56" s="470" t="s">
        <v>445</v>
      </c>
      <c r="U56" s="459"/>
      <c r="V56" s="458"/>
    </row>
    <row r="57" spans="1:22" x14ac:dyDescent="0.25">
      <c r="A57" s="588" t="s">
        <v>447</v>
      </c>
      <c r="B57" s="588"/>
      <c r="C57" s="143">
        <v>0</v>
      </c>
      <c r="D57" s="143">
        <v>0</v>
      </c>
      <c r="E57" s="116">
        <f t="shared" ref="E57:E65" si="10">IF(D$66=0,C57*2,C57+D57)</f>
        <v>0</v>
      </c>
      <c r="F57" s="443" t="s">
        <v>439</v>
      </c>
      <c r="G57" s="443">
        <v>251</v>
      </c>
      <c r="H57" s="457">
        <f>'1461'!H57</f>
        <v>1047</v>
      </c>
      <c r="I57" s="101">
        <f>ROUND(E57*H57,2)</f>
        <v>0</v>
      </c>
      <c r="N57" s="618" t="s">
        <v>447</v>
      </c>
      <c r="O57" s="618"/>
      <c r="P57" s="621"/>
      <c r="Q57" s="621"/>
      <c r="R57" s="449" t="s">
        <v>439</v>
      </c>
      <c r="S57" s="449">
        <v>251</v>
      </c>
      <c r="T57" s="460">
        <f>H57</f>
        <v>1047</v>
      </c>
      <c r="U57" s="474">
        <f>ROUND(P57*T57,2)</f>
        <v>0</v>
      </c>
      <c r="V57" s="424"/>
    </row>
    <row r="58" spans="1:22" x14ac:dyDescent="0.25">
      <c r="A58" s="589"/>
      <c r="B58" s="589"/>
      <c r="C58" s="143">
        <v>0</v>
      </c>
      <c r="D58" s="143">
        <v>0</v>
      </c>
      <c r="E58" s="116">
        <f t="shared" si="10"/>
        <v>0</v>
      </c>
      <c r="F58" s="443" t="s">
        <v>439</v>
      </c>
      <c r="G58" s="443">
        <v>252</v>
      </c>
      <c r="H58" s="457">
        <f>'1461'!H58</f>
        <v>3380</v>
      </c>
      <c r="I58" s="101">
        <f t="shared" ref="I58:I65" si="11">ROUND(E58*H58,2)</f>
        <v>0</v>
      </c>
      <c r="N58" s="619"/>
      <c r="O58" s="619"/>
      <c r="P58" s="622"/>
      <c r="Q58" s="622"/>
      <c r="R58" s="449" t="s">
        <v>439</v>
      </c>
      <c r="S58" s="449">
        <v>252</v>
      </c>
      <c r="T58" s="460">
        <f t="shared" ref="T58:T65" si="12">H58</f>
        <v>3380</v>
      </c>
      <c r="U58" s="474">
        <f t="shared" ref="U58:U65" si="13">ROUND(P58*T58,2)</f>
        <v>0</v>
      </c>
      <c r="V58" s="424"/>
    </row>
    <row r="59" spans="1:22" x14ac:dyDescent="0.25">
      <c r="A59" s="589"/>
      <c r="B59" s="589"/>
      <c r="C59" s="143">
        <v>0</v>
      </c>
      <c r="D59" s="143">
        <v>0</v>
      </c>
      <c r="E59" s="116">
        <f t="shared" si="10"/>
        <v>0</v>
      </c>
      <c r="F59" s="443" t="s">
        <v>439</v>
      </c>
      <c r="G59" s="443">
        <v>253</v>
      </c>
      <c r="H59" s="457">
        <f>'1461'!H59</f>
        <v>6896</v>
      </c>
      <c r="I59" s="101">
        <f t="shared" si="11"/>
        <v>0</v>
      </c>
      <c r="N59" s="619"/>
      <c r="O59" s="619"/>
      <c r="P59" s="622"/>
      <c r="Q59" s="622"/>
      <c r="R59" s="449" t="s">
        <v>439</v>
      </c>
      <c r="S59" s="449">
        <v>253</v>
      </c>
      <c r="T59" s="460">
        <f t="shared" si="12"/>
        <v>6896</v>
      </c>
      <c r="U59" s="474">
        <f t="shared" si="13"/>
        <v>0</v>
      </c>
      <c r="V59" s="424"/>
    </row>
    <row r="60" spans="1:22" x14ac:dyDescent="0.25">
      <c r="A60" s="589"/>
      <c r="B60" s="589"/>
      <c r="C60" s="143">
        <v>0</v>
      </c>
      <c r="D60" s="143">
        <v>0</v>
      </c>
      <c r="E60" s="116">
        <f t="shared" si="10"/>
        <v>0</v>
      </c>
      <c r="F60" s="444" t="s">
        <v>13</v>
      </c>
      <c r="G60" s="443">
        <v>251</v>
      </c>
      <c r="H60" s="457">
        <f>'1461'!H60</f>
        <v>1173</v>
      </c>
      <c r="I60" s="101">
        <f t="shared" si="11"/>
        <v>0</v>
      </c>
      <c r="N60" s="619"/>
      <c r="O60" s="619"/>
      <c r="P60" s="622"/>
      <c r="Q60" s="622"/>
      <c r="R60" s="40" t="s">
        <v>13</v>
      </c>
      <c r="S60" s="449">
        <v>251</v>
      </c>
      <c r="T60" s="460">
        <f t="shared" si="12"/>
        <v>1173</v>
      </c>
      <c r="U60" s="474">
        <f t="shared" si="13"/>
        <v>0</v>
      </c>
      <c r="V60" s="424"/>
    </row>
    <row r="61" spans="1:22" x14ac:dyDescent="0.25">
      <c r="A61" s="589"/>
      <c r="B61" s="589"/>
      <c r="C61" s="143">
        <v>0</v>
      </c>
      <c r="D61" s="143">
        <v>0</v>
      </c>
      <c r="E61" s="116">
        <f t="shared" si="10"/>
        <v>0</v>
      </c>
      <c r="F61" s="444" t="s">
        <v>13</v>
      </c>
      <c r="G61" s="443">
        <v>252</v>
      </c>
      <c r="H61" s="457">
        <f>'1461'!H61</f>
        <v>3506</v>
      </c>
      <c r="I61" s="101">
        <f t="shared" si="11"/>
        <v>0</v>
      </c>
      <c r="N61" s="619"/>
      <c r="O61" s="619"/>
      <c r="P61" s="622"/>
      <c r="Q61" s="622"/>
      <c r="R61" s="40" t="s">
        <v>13</v>
      </c>
      <c r="S61" s="449">
        <v>252</v>
      </c>
      <c r="T61" s="460">
        <f t="shared" si="12"/>
        <v>3506</v>
      </c>
      <c r="U61" s="474">
        <f t="shared" si="13"/>
        <v>0</v>
      </c>
      <c r="V61" s="424"/>
    </row>
    <row r="62" spans="1:22" x14ac:dyDescent="0.25">
      <c r="A62" s="589"/>
      <c r="B62" s="589"/>
      <c r="C62" s="143">
        <v>0</v>
      </c>
      <c r="D62" s="143">
        <v>0</v>
      </c>
      <c r="E62" s="116">
        <f t="shared" si="10"/>
        <v>0</v>
      </c>
      <c r="F62" s="444" t="s">
        <v>13</v>
      </c>
      <c r="G62" s="443">
        <v>253</v>
      </c>
      <c r="H62" s="457">
        <f>'1461'!H62</f>
        <v>7023</v>
      </c>
      <c r="I62" s="101">
        <f t="shared" si="11"/>
        <v>0</v>
      </c>
      <c r="N62" s="619"/>
      <c r="O62" s="619"/>
      <c r="P62" s="622"/>
      <c r="Q62" s="622"/>
      <c r="R62" s="40" t="s">
        <v>13</v>
      </c>
      <c r="S62" s="449">
        <v>253</v>
      </c>
      <c r="T62" s="460">
        <f t="shared" si="12"/>
        <v>7023</v>
      </c>
      <c r="U62" s="474">
        <f t="shared" si="13"/>
        <v>0</v>
      </c>
      <c r="V62" s="424"/>
    </row>
    <row r="63" spans="1:22" x14ac:dyDescent="0.25">
      <c r="A63" s="589"/>
      <c r="B63" s="589"/>
      <c r="C63" s="143">
        <v>39.99</v>
      </c>
      <c r="D63" s="143">
        <v>37.950000000000003</v>
      </c>
      <c r="E63" s="116">
        <f t="shared" si="10"/>
        <v>77.94</v>
      </c>
      <c r="F63" s="444" t="s">
        <v>14</v>
      </c>
      <c r="G63" s="443">
        <v>251</v>
      </c>
      <c r="H63" s="457">
        <f>'1461'!H63</f>
        <v>835</v>
      </c>
      <c r="I63" s="101">
        <f t="shared" si="11"/>
        <v>65079.9</v>
      </c>
      <c r="N63" s="619"/>
      <c r="O63" s="619"/>
      <c r="P63" s="622"/>
      <c r="Q63" s="622"/>
      <c r="R63" s="40" t="s">
        <v>14</v>
      </c>
      <c r="S63" s="449">
        <v>251</v>
      </c>
      <c r="T63" s="460">
        <f t="shared" si="12"/>
        <v>835</v>
      </c>
      <c r="U63" s="474">
        <f t="shared" si="13"/>
        <v>0</v>
      </c>
      <c r="V63" s="424"/>
    </row>
    <row r="64" spans="1:22" x14ac:dyDescent="0.25">
      <c r="A64" s="589"/>
      <c r="B64" s="589"/>
      <c r="C64" s="143">
        <v>4.01</v>
      </c>
      <c r="D64" s="143">
        <v>2</v>
      </c>
      <c r="E64" s="116">
        <f t="shared" si="10"/>
        <v>6.01</v>
      </c>
      <c r="F64" s="444" t="s">
        <v>14</v>
      </c>
      <c r="G64" s="443">
        <v>252</v>
      </c>
      <c r="H64" s="457">
        <f>'1461'!H64</f>
        <v>3168</v>
      </c>
      <c r="I64" s="101">
        <f t="shared" si="11"/>
        <v>19039.68</v>
      </c>
      <c r="N64" s="619"/>
      <c r="O64" s="619"/>
      <c r="P64" s="622"/>
      <c r="Q64" s="622"/>
      <c r="R64" s="40" t="s">
        <v>14</v>
      </c>
      <c r="S64" s="449">
        <v>252</v>
      </c>
      <c r="T64" s="460">
        <f t="shared" si="12"/>
        <v>3168</v>
      </c>
      <c r="U64" s="474">
        <f t="shared" si="13"/>
        <v>0</v>
      </c>
      <c r="V64" s="424"/>
    </row>
    <row r="65" spans="1:22" ht="16.5" thickBot="1" x14ac:dyDescent="0.3">
      <c r="A65" s="589"/>
      <c r="B65" s="589"/>
      <c r="C65" s="143">
        <v>0</v>
      </c>
      <c r="D65" s="143">
        <v>0</v>
      </c>
      <c r="E65" s="116">
        <f t="shared" si="10"/>
        <v>0</v>
      </c>
      <c r="F65" s="444" t="s">
        <v>14</v>
      </c>
      <c r="G65" s="443">
        <v>253</v>
      </c>
      <c r="H65" s="457">
        <f>'1461'!H65</f>
        <v>6685</v>
      </c>
      <c r="I65" s="101">
        <f t="shared" si="11"/>
        <v>0</v>
      </c>
      <c r="N65" s="619"/>
      <c r="O65" s="619"/>
      <c r="P65" s="623"/>
      <c r="Q65" s="623"/>
      <c r="R65" s="40" t="s">
        <v>14</v>
      </c>
      <c r="S65" s="449">
        <v>253</v>
      </c>
      <c r="T65" s="460">
        <f t="shared" si="12"/>
        <v>6685</v>
      </c>
      <c r="U65" s="475">
        <f t="shared" si="13"/>
        <v>0</v>
      </c>
      <c r="V65" s="424"/>
    </row>
    <row r="66" spans="1:22" ht="16.5" thickBot="1" x14ac:dyDescent="0.3">
      <c r="A66" s="440"/>
      <c r="C66" s="97">
        <f>SUM(C57:C65)</f>
        <v>44</v>
      </c>
      <c r="D66" s="97">
        <f>SUM(D57:D65)</f>
        <v>39.950000000000003</v>
      </c>
      <c r="E66" s="97">
        <f>SUM(E57:E65)</f>
        <v>83.95</v>
      </c>
      <c r="F66" s="590" t="s">
        <v>448</v>
      </c>
      <c r="G66" s="590"/>
      <c r="H66" s="590"/>
      <c r="I66" s="97">
        <f>SUM(I57:I65)</f>
        <v>84119.58</v>
      </c>
      <c r="N66" s="446"/>
      <c r="O66" s="51"/>
      <c r="P66" s="602">
        <f>SUM(P57:P65)</f>
        <v>0</v>
      </c>
      <c r="Q66" s="602"/>
      <c r="R66" s="603" t="s">
        <v>448</v>
      </c>
      <c r="S66" s="603"/>
      <c r="T66" s="603"/>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450</v>
      </c>
      <c r="N68" s="453" t="s">
        <v>458</v>
      </c>
      <c r="O68" s="51"/>
      <c r="P68" s="51"/>
      <c r="Q68" s="51"/>
      <c r="R68" s="51"/>
      <c r="S68" s="51"/>
      <c r="T68" s="51"/>
      <c r="U68" s="51"/>
    </row>
    <row r="69" spans="1:22" x14ac:dyDescent="0.25">
      <c r="A69" s="584" t="s">
        <v>403</v>
      </c>
      <c r="B69" s="578"/>
      <c r="C69" s="112">
        <f>E30</f>
        <v>674.56000000000006</v>
      </c>
      <c r="D69" s="565" t="s">
        <v>414</v>
      </c>
      <c r="E69" s="565"/>
      <c r="F69" s="565"/>
      <c r="G69" s="565"/>
      <c r="H69" s="300">
        <f>'1461'!H69</f>
        <v>210228.91</v>
      </c>
      <c r="I69" s="113"/>
      <c r="N69" s="600" t="s">
        <v>407</v>
      </c>
      <c r="O69" s="601"/>
      <c r="P69" s="41">
        <f>P30</f>
        <v>0</v>
      </c>
      <c r="Q69" s="606" t="s">
        <v>409</v>
      </c>
      <c r="R69" s="607"/>
      <c r="S69" s="607"/>
      <c r="T69" s="604">
        <f>H69</f>
        <v>210228.91</v>
      </c>
      <c r="U69" s="604"/>
    </row>
    <row r="70" spans="1:22" x14ac:dyDescent="0.25">
      <c r="B70" s="69"/>
      <c r="G70" s="42" t="s">
        <v>12</v>
      </c>
      <c r="H70" s="114">
        <f>ROUND(C69/H69,6)</f>
        <v>3.209E-3</v>
      </c>
      <c r="I70" s="115"/>
      <c r="N70" s="601"/>
      <c r="O70" s="601"/>
      <c r="P70" s="601"/>
      <c r="Q70" s="601"/>
      <c r="R70" s="601"/>
      <c r="S70" s="601"/>
      <c r="T70" s="605">
        <f>ROUND(P69/T69,6)</f>
        <v>0</v>
      </c>
      <c r="U70" s="605"/>
    </row>
    <row r="71" spans="1:22" x14ac:dyDescent="0.25">
      <c r="A71" s="442" t="s">
        <v>451</v>
      </c>
      <c r="N71" s="453" t="s">
        <v>459</v>
      </c>
      <c r="O71" s="51"/>
      <c r="P71" s="51"/>
      <c r="Q71" s="51"/>
      <c r="R71" s="51"/>
      <c r="S71" s="51"/>
      <c r="T71" s="51"/>
      <c r="U71" s="51"/>
    </row>
    <row r="72" spans="1:22" x14ac:dyDescent="0.25">
      <c r="A72" s="584" t="s">
        <v>404</v>
      </c>
      <c r="B72" s="578"/>
      <c r="C72" s="112">
        <f>H30</f>
        <v>669.83209999999997</v>
      </c>
      <c r="D72" s="565" t="s">
        <v>415</v>
      </c>
      <c r="E72" s="565"/>
      <c r="F72" s="565"/>
      <c r="G72" s="565"/>
      <c r="H72" s="301">
        <f>'1461'!H72</f>
        <v>234891.44</v>
      </c>
      <c r="I72" s="116"/>
      <c r="N72" s="600" t="s">
        <v>408</v>
      </c>
      <c r="O72" s="601"/>
      <c r="P72" s="41">
        <f>T30</f>
        <v>0</v>
      </c>
      <c r="Q72" s="606" t="s">
        <v>410</v>
      </c>
      <c r="R72" s="607"/>
      <c r="S72" s="607"/>
      <c r="T72" s="604">
        <f>H72</f>
        <v>234891.44</v>
      </c>
      <c r="U72" s="604"/>
    </row>
    <row r="73" spans="1:22" x14ac:dyDescent="0.25">
      <c r="G73" s="42" t="s">
        <v>12</v>
      </c>
      <c r="H73" s="114">
        <f>ROUND(C72/H72,6)</f>
        <v>2.8519999999999999E-3</v>
      </c>
      <c r="I73" s="114"/>
      <c r="N73" s="601"/>
      <c r="O73" s="601"/>
      <c r="P73" s="601"/>
      <c r="Q73" s="601"/>
      <c r="R73" s="601"/>
      <c r="S73" s="601"/>
      <c r="T73" s="605">
        <f>ROUND(P72/T72,6)</f>
        <v>0</v>
      </c>
      <c r="U73" s="605"/>
    </row>
    <row r="74" spans="1:22" x14ac:dyDescent="0.25">
      <c r="A74" s="417" t="s">
        <v>452</v>
      </c>
      <c r="B74" s="414"/>
      <c r="C74" s="414"/>
      <c r="D74" s="414"/>
      <c r="E74" s="414"/>
      <c r="F74" s="414"/>
      <c r="G74" s="414"/>
      <c r="H74" s="414"/>
      <c r="I74" s="414"/>
      <c r="N74" s="416" t="s">
        <v>460</v>
      </c>
      <c r="O74" s="415"/>
      <c r="P74" s="415"/>
      <c r="Q74" s="415"/>
      <c r="R74" s="415"/>
      <c r="S74" s="415"/>
      <c r="T74" s="415"/>
      <c r="U74" s="415"/>
      <c r="V74" s="414"/>
    </row>
    <row r="75" spans="1:22" x14ac:dyDescent="0.25">
      <c r="A75" s="584" t="s">
        <v>405</v>
      </c>
      <c r="B75" s="578"/>
      <c r="C75" s="112">
        <f>E30</f>
        <v>674.56000000000006</v>
      </c>
      <c r="D75" s="557" t="s">
        <v>416</v>
      </c>
      <c r="E75" s="557"/>
      <c r="F75" s="557"/>
      <c r="G75" s="557"/>
      <c r="H75" s="300">
        <f>'1461'!H75</f>
        <v>187665.41</v>
      </c>
      <c r="I75" s="113"/>
      <c r="N75" s="600" t="s">
        <v>406</v>
      </c>
      <c r="O75" s="601"/>
      <c r="P75" s="41">
        <f>P30</f>
        <v>0</v>
      </c>
      <c r="Q75" s="636" t="s">
        <v>411</v>
      </c>
      <c r="R75" s="637"/>
      <c r="S75" s="637"/>
      <c r="T75" s="604">
        <f>H75</f>
        <v>187665.41</v>
      </c>
      <c r="U75" s="604"/>
    </row>
    <row r="76" spans="1:22" x14ac:dyDescent="0.25">
      <c r="B76" s="69"/>
      <c r="G76" s="42" t="s">
        <v>12</v>
      </c>
      <c r="H76" s="114">
        <f>ROUND(C75/H75,6)</f>
        <v>3.594E-3</v>
      </c>
      <c r="I76" s="115"/>
      <c r="N76" s="601"/>
      <c r="O76" s="601"/>
      <c r="P76" s="601"/>
      <c r="Q76" s="601"/>
      <c r="R76" s="601"/>
      <c r="S76" s="601"/>
      <c r="T76" s="605">
        <f>ROUND(P75/T75,6)</f>
        <v>0</v>
      </c>
      <c r="U76" s="605"/>
    </row>
    <row r="77" spans="1:22" x14ac:dyDescent="0.25">
      <c r="A77" s="417" t="s">
        <v>453</v>
      </c>
      <c r="B77" s="414"/>
      <c r="C77" s="414"/>
      <c r="D77" s="414"/>
      <c r="E77" s="414"/>
      <c r="F77" s="414"/>
      <c r="G77" s="414"/>
      <c r="H77" s="414"/>
      <c r="I77" s="414"/>
      <c r="N77" s="416" t="s">
        <v>461</v>
      </c>
      <c r="O77" s="415"/>
      <c r="P77" s="415"/>
      <c r="Q77" s="415"/>
      <c r="R77" s="415"/>
      <c r="S77" s="415"/>
      <c r="T77" s="415"/>
      <c r="U77" s="415"/>
      <c r="V77" s="414"/>
    </row>
    <row r="78" spans="1:22" x14ac:dyDescent="0.25">
      <c r="A78" s="584" t="s">
        <v>405</v>
      </c>
      <c r="B78" s="578"/>
      <c r="C78" s="112">
        <f>E30</f>
        <v>674.56000000000006</v>
      </c>
      <c r="D78" s="585" t="s">
        <v>417</v>
      </c>
      <c r="E78" s="585"/>
      <c r="F78" s="585"/>
      <c r="G78" s="585"/>
      <c r="H78" s="300">
        <f>'1461'!H78</f>
        <v>209892.26</v>
      </c>
      <c r="I78" s="113"/>
      <c r="N78" s="600" t="s">
        <v>406</v>
      </c>
      <c r="O78" s="601"/>
      <c r="P78" s="41">
        <f>P30</f>
        <v>0</v>
      </c>
      <c r="Q78" s="634" t="s">
        <v>412</v>
      </c>
      <c r="R78" s="635"/>
      <c r="S78" s="635"/>
      <c r="T78" s="604">
        <f>H78</f>
        <v>209892.26</v>
      </c>
      <c r="U78" s="604"/>
    </row>
    <row r="79" spans="1:22" x14ac:dyDescent="0.25">
      <c r="B79" s="69"/>
      <c r="G79" s="42" t="s">
        <v>12</v>
      </c>
      <c r="H79" s="114">
        <f>ROUND(C78/H78,6)</f>
        <v>3.2139999999999998E-3</v>
      </c>
      <c r="I79" s="115"/>
      <c r="N79" s="601"/>
      <c r="O79" s="601"/>
      <c r="P79" s="601"/>
      <c r="Q79" s="601"/>
      <c r="R79" s="601"/>
      <c r="S79" s="601"/>
      <c r="T79" s="605">
        <f>ROUND(P78/T78,6)</f>
        <v>0</v>
      </c>
      <c r="U79" s="605"/>
    </row>
    <row r="80" spans="1:22" x14ac:dyDescent="0.25">
      <c r="A80" s="417" t="s">
        <v>454</v>
      </c>
      <c r="B80" s="414"/>
      <c r="C80" s="414"/>
      <c r="D80" s="414"/>
      <c r="E80" s="414"/>
      <c r="F80" s="414"/>
      <c r="G80" s="414"/>
      <c r="H80" s="414"/>
      <c r="I80" s="414"/>
      <c r="N80" s="416" t="s">
        <v>462</v>
      </c>
      <c r="O80" s="415"/>
      <c r="P80" s="415"/>
      <c r="Q80" s="415"/>
      <c r="R80" s="415"/>
      <c r="S80" s="415"/>
      <c r="T80" s="415"/>
      <c r="U80" s="415"/>
      <c r="V80" s="414"/>
    </row>
    <row r="81" spans="1:21" x14ac:dyDescent="0.25">
      <c r="A81" s="584" t="s">
        <v>413</v>
      </c>
      <c r="B81" s="578"/>
      <c r="C81" s="112">
        <f>E30</f>
        <v>674.56000000000006</v>
      </c>
      <c r="D81" s="557" t="s">
        <v>418</v>
      </c>
      <c r="E81" s="557"/>
      <c r="F81" s="557"/>
      <c r="G81" s="557"/>
      <c r="H81" s="300">
        <f>'1461'!H81</f>
        <v>187328.76</v>
      </c>
      <c r="I81" s="113"/>
      <c r="N81" s="600" t="s">
        <v>419</v>
      </c>
      <c r="O81" s="601"/>
      <c r="P81" s="41">
        <f>P30</f>
        <v>0</v>
      </c>
      <c r="Q81" s="636" t="s">
        <v>420</v>
      </c>
      <c r="R81" s="637"/>
      <c r="S81" s="637"/>
      <c r="T81" s="604">
        <f>H81</f>
        <v>187328.76</v>
      </c>
      <c r="U81" s="604"/>
    </row>
    <row r="82" spans="1:21" x14ac:dyDescent="0.25">
      <c r="B82" s="69"/>
      <c r="G82" s="42" t="s">
        <v>12</v>
      </c>
      <c r="H82" s="114">
        <f>ROUND(C81/H81,6)</f>
        <v>3.601E-3</v>
      </c>
      <c r="I82" s="115"/>
      <c r="N82" s="601"/>
      <c r="O82" s="601"/>
      <c r="P82" s="601"/>
      <c r="Q82" s="601"/>
      <c r="R82" s="601"/>
      <c r="S82" s="601"/>
      <c r="T82" s="605">
        <f>ROUND(P81/T81,6)</f>
        <v>0</v>
      </c>
      <c r="U82" s="605"/>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455</v>
      </c>
      <c r="D85" s="69"/>
      <c r="E85" s="43" t="s">
        <v>299</v>
      </c>
      <c r="F85" s="302">
        <f>'1461'!F85</f>
        <v>46163704</v>
      </c>
      <c r="G85" s="37" t="s">
        <v>6</v>
      </c>
      <c r="H85" s="422">
        <f>H79</f>
        <v>3.2139999999999998E-3</v>
      </c>
      <c r="I85" s="101">
        <f>ROUND(F85*H85,2)</f>
        <v>148370.14000000001</v>
      </c>
      <c r="N85" s="453" t="s">
        <v>455</v>
      </c>
      <c r="O85" s="51"/>
      <c r="P85" s="51"/>
      <c r="Q85" s="44"/>
      <c r="R85" s="419">
        <f>F85</f>
        <v>46163704</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87" t="s">
        <v>71</v>
      </c>
      <c r="B87" s="578"/>
      <c r="C87" s="578"/>
      <c r="D87" s="69"/>
      <c r="E87" s="43"/>
      <c r="F87" s="117"/>
      <c r="G87" s="37"/>
      <c r="H87" s="422"/>
      <c r="I87" s="101"/>
      <c r="N87" s="600" t="s">
        <v>463</v>
      </c>
      <c r="O87" s="601"/>
      <c r="P87" s="601"/>
      <c r="Q87" s="51"/>
      <c r="R87" s="420"/>
      <c r="S87" s="51"/>
      <c r="T87" s="38"/>
      <c r="U87" s="478"/>
    </row>
    <row r="88" spans="1:21" x14ac:dyDescent="0.25">
      <c r="A88" s="587" t="s">
        <v>99</v>
      </c>
      <c r="B88" s="578"/>
      <c r="C88" s="578"/>
      <c r="D88" s="69"/>
      <c r="E88" s="43" t="s">
        <v>3</v>
      </c>
      <c r="F88" s="302">
        <f>'1461'!F88</f>
        <v>0</v>
      </c>
      <c r="G88" s="37" t="s">
        <v>6</v>
      </c>
      <c r="H88" s="422">
        <f>H70</f>
        <v>3.209E-3</v>
      </c>
      <c r="I88" s="101">
        <f>ROUND(F88*H88,2)</f>
        <v>0</v>
      </c>
      <c r="N88" s="638" t="s">
        <v>99</v>
      </c>
      <c r="O88" s="601"/>
      <c r="P88" s="601"/>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456</v>
      </c>
      <c r="D90" s="69"/>
      <c r="E90" s="43" t="s">
        <v>421</v>
      </c>
      <c r="F90" s="302">
        <f>'1461'!F90</f>
        <v>19042026</v>
      </c>
      <c r="G90" s="37" t="s">
        <v>6</v>
      </c>
      <c r="H90" s="422">
        <f>H82</f>
        <v>3.601E-3</v>
      </c>
      <c r="I90" s="101">
        <f>ROUND(F90*H90,2)</f>
        <v>68570.34</v>
      </c>
      <c r="N90" s="453" t="s">
        <v>456</v>
      </c>
      <c r="O90" s="51"/>
      <c r="P90" s="51"/>
      <c r="Q90" s="44"/>
      <c r="R90" s="419">
        <f>F90</f>
        <v>19042026</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457</v>
      </c>
      <c r="D92" s="69"/>
      <c r="E92" s="43" t="s">
        <v>3</v>
      </c>
      <c r="F92" s="302">
        <f>'1461'!F92</f>
        <v>11441151</v>
      </c>
      <c r="G92" s="37" t="s">
        <v>6</v>
      </c>
      <c r="H92" s="422">
        <f>H76</f>
        <v>3.594E-3</v>
      </c>
      <c r="I92" s="101">
        <f t="shared" ref="I92:I96" si="14">ROUND(F92*H92,2)</f>
        <v>41119.5</v>
      </c>
      <c r="N92" s="453" t="s">
        <v>457</v>
      </c>
      <c r="O92" s="51"/>
      <c r="P92" s="51"/>
      <c r="Q92" s="44"/>
      <c r="R92" s="419">
        <f t="shared" ref="R92:R96" si="15">F92</f>
        <v>11441151</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84" t="s">
        <v>422</v>
      </c>
      <c r="B94" s="578"/>
      <c r="C94" s="578"/>
      <c r="D94" s="69"/>
      <c r="E94" s="43" t="s">
        <v>4</v>
      </c>
      <c r="F94" s="302">
        <f>'1461'!F94</f>
        <v>247265670</v>
      </c>
      <c r="G94" s="37" t="s">
        <v>6</v>
      </c>
      <c r="H94" s="422">
        <f>H73</f>
        <v>2.8519999999999999E-3</v>
      </c>
      <c r="I94" s="101">
        <f t="shared" si="14"/>
        <v>705201.69</v>
      </c>
      <c r="N94" s="601" t="s">
        <v>422</v>
      </c>
      <c r="O94" s="601"/>
      <c r="P94" s="601"/>
      <c r="Q94" s="44"/>
      <c r="R94" s="419">
        <f t="shared" si="15"/>
        <v>247265670</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4" t="s">
        <v>423</v>
      </c>
      <c r="B96" s="578"/>
      <c r="C96" s="578"/>
      <c r="D96" s="69"/>
      <c r="E96" s="43" t="s">
        <v>4</v>
      </c>
      <c r="F96" s="302">
        <f>'1461'!F96</f>
        <v>0</v>
      </c>
      <c r="G96" s="37" t="s">
        <v>6</v>
      </c>
      <c r="H96" s="422">
        <f>H73</f>
        <v>2.8519999999999999E-3</v>
      </c>
      <c r="I96" s="101">
        <f t="shared" si="14"/>
        <v>0</v>
      </c>
      <c r="N96" s="600" t="s">
        <v>423</v>
      </c>
      <c r="O96" s="601"/>
      <c r="P96" s="601"/>
      <c r="Q96" s="44"/>
      <c r="R96" s="419">
        <f t="shared" si="15"/>
        <v>0</v>
      </c>
      <c r="S96" s="38" t="s">
        <v>6</v>
      </c>
      <c r="T96" s="421">
        <f>T73</f>
        <v>0</v>
      </c>
      <c r="U96" s="473">
        <f>ROUND(R96*T96,2)</f>
        <v>0</v>
      </c>
    </row>
    <row r="97" spans="1:21" x14ac:dyDescent="0.25">
      <c r="A97" s="530"/>
      <c r="B97" s="529"/>
      <c r="C97" s="529"/>
      <c r="D97" s="529"/>
      <c r="E97" s="527"/>
      <c r="F97" s="117"/>
      <c r="G97" s="528"/>
      <c r="H97" s="422"/>
      <c r="I97" s="101"/>
      <c r="N97" s="533"/>
      <c r="O97" s="532"/>
      <c r="P97" s="532"/>
      <c r="Q97" s="44"/>
      <c r="R97" s="535"/>
      <c r="S97" s="534"/>
      <c r="T97" s="421"/>
      <c r="U97" s="477"/>
    </row>
    <row r="98" spans="1:21" x14ac:dyDescent="0.25">
      <c r="A98" s="530" t="s">
        <v>497</v>
      </c>
      <c r="B98" s="529"/>
      <c r="C98" s="529"/>
      <c r="D98" s="529"/>
      <c r="E98" s="527" t="s">
        <v>3</v>
      </c>
      <c r="F98" s="290">
        <v>0</v>
      </c>
      <c r="G98" s="528" t="s">
        <v>6</v>
      </c>
      <c r="H98" s="422">
        <f>H70</f>
        <v>3.209E-3</v>
      </c>
      <c r="I98" s="101">
        <f t="shared" ref="I98" si="16">ROUND(F98*H98,2)</f>
        <v>0</v>
      </c>
      <c r="N98" s="533" t="s">
        <v>497</v>
      </c>
      <c r="O98" s="533"/>
      <c r="P98" s="533"/>
      <c r="Q98" s="44"/>
      <c r="R98" s="536">
        <f>F98</f>
        <v>0</v>
      </c>
      <c r="S98" s="534" t="s">
        <v>6</v>
      </c>
      <c r="T98" s="421">
        <f>T70</f>
        <v>0</v>
      </c>
      <c r="U98" s="473">
        <f>ROUND(R98*T98,2)</f>
        <v>0</v>
      </c>
    </row>
    <row r="99" spans="1:21" x14ac:dyDescent="0.25">
      <c r="A99" s="530"/>
      <c r="B99" s="529"/>
      <c r="C99" s="529"/>
      <c r="D99" s="529"/>
      <c r="E99" s="527"/>
      <c r="F99" s="276"/>
      <c r="G99" s="528"/>
      <c r="H99" s="422"/>
      <c r="I99" s="101"/>
      <c r="N99" s="533"/>
      <c r="O99" s="533"/>
      <c r="P99" s="533"/>
      <c r="Q99" s="44"/>
      <c r="R99" s="535"/>
      <c r="S99" s="534"/>
      <c r="T99" s="421"/>
      <c r="U99" s="477"/>
    </row>
    <row r="100" spans="1:21" x14ac:dyDescent="0.25">
      <c r="A100" s="530"/>
      <c r="B100" s="529"/>
      <c r="C100" s="529"/>
      <c r="D100" s="529"/>
      <c r="E100" s="527"/>
      <c r="F100" s="276"/>
      <c r="G100" s="528"/>
      <c r="H100" s="422"/>
      <c r="I100" s="101"/>
      <c r="N100" s="533"/>
      <c r="O100" s="533"/>
      <c r="P100" s="533"/>
      <c r="Q100" s="44"/>
      <c r="R100" s="420"/>
      <c r="S100" s="534"/>
      <c r="T100" s="421"/>
      <c r="U100" s="103"/>
    </row>
    <row r="101" spans="1:21" x14ac:dyDescent="0.25">
      <c r="A101" s="399" t="s">
        <v>424</v>
      </c>
      <c r="N101" s="407" t="s">
        <v>424</v>
      </c>
      <c r="O101" s="51"/>
      <c r="P101" s="51"/>
      <c r="Q101" s="51"/>
      <c r="R101" s="51"/>
      <c r="S101" s="51"/>
      <c r="T101" s="51"/>
      <c r="U101" s="51"/>
    </row>
    <row r="102" spans="1:21" x14ac:dyDescent="0.25">
      <c r="B102" s="69"/>
      <c r="C102" s="563" t="s">
        <v>60</v>
      </c>
      <c r="D102" s="563"/>
      <c r="E102" s="69"/>
      <c r="F102" s="39" t="s">
        <v>28</v>
      </c>
      <c r="G102" s="69"/>
      <c r="H102" s="69"/>
      <c r="I102" s="69"/>
      <c r="N102" s="45"/>
      <c r="O102" s="45"/>
      <c r="P102" s="45"/>
      <c r="Q102" s="45"/>
      <c r="R102" s="45"/>
      <c r="S102" s="45"/>
      <c r="T102" s="45"/>
      <c r="U102" s="45"/>
    </row>
    <row r="103" spans="1:21" x14ac:dyDescent="0.25">
      <c r="A103" s="3"/>
      <c r="B103" s="118"/>
      <c r="C103" s="564" t="s">
        <v>101</v>
      </c>
      <c r="D103" s="564"/>
      <c r="E103" s="423" t="s">
        <v>426</v>
      </c>
      <c r="F103" s="120" t="s">
        <v>106</v>
      </c>
      <c r="G103" s="121"/>
      <c r="H103" s="121"/>
      <c r="I103" s="121"/>
      <c r="N103" s="631" t="s">
        <v>35</v>
      </c>
      <c r="O103" s="631"/>
      <c r="P103" s="672" t="s">
        <v>428</v>
      </c>
      <c r="Q103" s="633"/>
      <c r="R103" s="604" t="s">
        <v>31</v>
      </c>
      <c r="S103" s="604"/>
      <c r="T103" s="604"/>
      <c r="U103" s="604"/>
    </row>
    <row r="104" spans="1:21" x14ac:dyDescent="0.25">
      <c r="A104" s="26"/>
      <c r="B104" s="52" t="s">
        <v>105</v>
      </c>
      <c r="C104" s="596">
        <f>H14+H15+H20+H23+H26</f>
        <v>0</v>
      </c>
      <c r="D104" s="596"/>
      <c r="E104" s="46">
        <f>H8</f>
        <v>1.0407999999999999</v>
      </c>
      <c r="F104" s="303">
        <f>'1461'!F104</f>
        <v>950.92</v>
      </c>
      <c r="G104" s="39" t="s">
        <v>12</v>
      </c>
      <c r="H104" s="101">
        <f>ROUND(C104*E104*F104,2)</f>
        <v>0</v>
      </c>
      <c r="I104" s="104"/>
      <c r="N104" s="28" t="s">
        <v>17</v>
      </c>
      <c r="O104" s="47">
        <f>T14+T15+T20+T23+T26</f>
        <v>0</v>
      </c>
      <c r="P104" s="611">
        <f>T8</f>
        <v>1.0407999999999999</v>
      </c>
      <c r="Q104" s="611"/>
      <c r="R104" s="48">
        <f>F104</f>
        <v>950.92</v>
      </c>
      <c r="S104" s="40" t="s">
        <v>12</v>
      </c>
      <c r="T104" s="479">
        <f>ROUND(O104*P104*R104,2)</f>
        <v>0</v>
      </c>
      <c r="U104" s="102"/>
    </row>
    <row r="105" spans="1:21" x14ac:dyDescent="0.25">
      <c r="A105" s="49"/>
      <c r="B105" s="49" t="s">
        <v>104</v>
      </c>
      <c r="C105" s="596">
        <f>H16+H17+H21+H24+H27</f>
        <v>0</v>
      </c>
      <c r="D105" s="596"/>
      <c r="E105" s="46">
        <f>H8</f>
        <v>1.0407999999999999</v>
      </c>
      <c r="F105" s="303">
        <f>'1461'!F105</f>
        <v>907.92</v>
      </c>
      <c r="G105" s="39" t="s">
        <v>12</v>
      </c>
      <c r="H105" s="101">
        <f>ROUND(C105*E105*F105,2)</f>
        <v>0</v>
      </c>
      <c r="N105" s="50" t="s">
        <v>13</v>
      </c>
      <c r="O105" s="47">
        <f>T16+T17+T21+T24+T27</f>
        <v>0</v>
      </c>
      <c r="P105" s="611">
        <f>T8</f>
        <v>1.0407999999999999</v>
      </c>
      <c r="Q105" s="611"/>
      <c r="R105" s="48">
        <f>F105</f>
        <v>907.92</v>
      </c>
      <c r="S105" s="40" t="s">
        <v>12</v>
      </c>
      <c r="T105" s="479">
        <f>ROUND(O105*P105*R105,2)</f>
        <v>0</v>
      </c>
      <c r="U105" s="51"/>
    </row>
    <row r="106" spans="1:21" ht="16.5" thickBot="1" x14ac:dyDescent="0.3">
      <c r="A106" s="52"/>
      <c r="B106" s="52" t="s">
        <v>103</v>
      </c>
      <c r="C106" s="596">
        <f>H18+H19+H22+H25+H28+H29</f>
        <v>669.83209999999997</v>
      </c>
      <c r="D106" s="596"/>
      <c r="E106" s="46">
        <f>H8</f>
        <v>1.0407999999999999</v>
      </c>
      <c r="F106" s="303">
        <f>'1461'!F106</f>
        <v>910.12</v>
      </c>
      <c r="G106" s="39" t="s">
        <v>12</v>
      </c>
      <c r="H106" s="94">
        <f>ROUND(C106*E106*F106,2)</f>
        <v>634500.4</v>
      </c>
      <c r="N106" s="53" t="s">
        <v>14</v>
      </c>
      <c r="O106" s="54">
        <f>T18+T19+T22+T25+T28+T29</f>
        <v>0</v>
      </c>
      <c r="P106" s="611">
        <f>T8</f>
        <v>1.0407999999999999</v>
      </c>
      <c r="Q106" s="611"/>
      <c r="R106" s="48">
        <f>F106</f>
        <v>910.12</v>
      </c>
      <c r="S106" s="40" t="s">
        <v>12</v>
      </c>
      <c r="T106" s="479">
        <f>ROUND(O106*P106*R106,2)</f>
        <v>0</v>
      </c>
      <c r="U106" s="51"/>
    </row>
    <row r="107" spans="1:21" ht="16.5" thickBot="1" x14ac:dyDescent="0.3">
      <c r="A107" s="55"/>
      <c r="B107" s="122" t="s">
        <v>102</v>
      </c>
      <c r="C107" s="586">
        <f>SUM(C104:C106)</f>
        <v>669.83209999999997</v>
      </c>
      <c r="D107" s="586"/>
      <c r="E107" s="123"/>
      <c r="F107" s="123"/>
      <c r="G107" s="123"/>
      <c r="H107" s="124" t="s">
        <v>100</v>
      </c>
      <c r="I107" s="101">
        <f>IF(A1=75,0,H106+H105+H104)</f>
        <v>634500.4</v>
      </c>
      <c r="N107" s="56" t="s">
        <v>89</v>
      </c>
      <c r="O107" s="57">
        <f>SUM(O104:O106)</f>
        <v>0</v>
      </c>
      <c r="P107" s="612" t="s">
        <v>16</v>
      </c>
      <c r="Q107" s="613"/>
      <c r="R107" s="613"/>
      <c r="S107" s="613"/>
      <c r="T107" s="613"/>
      <c r="U107" s="473">
        <f>IF(N1=75,0,T106+T105+T104)</f>
        <v>0</v>
      </c>
    </row>
    <row r="108" spans="1:21" ht="16.5" thickTop="1" x14ac:dyDescent="0.25">
      <c r="A108" s="555" t="s">
        <v>65</v>
      </c>
      <c r="B108" s="555"/>
      <c r="C108" s="555"/>
      <c r="D108" s="555"/>
      <c r="E108" s="555"/>
      <c r="F108" s="555"/>
      <c r="G108" s="555"/>
      <c r="H108" s="555"/>
      <c r="I108" s="555"/>
      <c r="N108" s="614" t="s">
        <v>65</v>
      </c>
      <c r="O108" s="614"/>
      <c r="P108" s="614"/>
      <c r="Q108" s="614"/>
      <c r="R108" s="614"/>
      <c r="S108" s="614"/>
      <c r="T108" s="614"/>
      <c r="U108" s="614"/>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81" t="s">
        <v>429</v>
      </c>
      <c r="C110" s="43"/>
      <c r="D110" s="69"/>
      <c r="E110" s="43" t="s">
        <v>32</v>
      </c>
      <c r="F110" s="556"/>
      <c r="G110" s="556"/>
      <c r="H110" s="556"/>
      <c r="I110" s="556"/>
      <c r="N110" s="600" t="s">
        <v>429</v>
      </c>
      <c r="O110" s="601"/>
      <c r="P110" s="601"/>
      <c r="Q110" s="615"/>
      <c r="R110" s="615"/>
      <c r="S110" s="615"/>
      <c r="T110" s="615"/>
      <c r="U110" s="103"/>
    </row>
    <row r="111" spans="1:21" x14ac:dyDescent="0.25">
      <c r="B111" s="69"/>
      <c r="C111" s="88" t="s">
        <v>494</v>
      </c>
      <c r="D111" s="333" t="s">
        <v>495</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57" t="s">
        <v>381</v>
      </c>
      <c r="B113" s="558"/>
      <c r="C113" s="143">
        <v>384</v>
      </c>
      <c r="D113" s="143">
        <v>281</v>
      </c>
      <c r="E113" s="116">
        <f>(C113+D113)/2</f>
        <v>332.5</v>
      </c>
      <c r="F113" s="126" t="s">
        <v>30</v>
      </c>
      <c r="G113" s="304">
        <f>'1461'!G113</f>
        <v>576</v>
      </c>
      <c r="I113" s="101">
        <f>ROUND(G113*E113,2)</f>
        <v>191520</v>
      </c>
      <c r="N113" s="630" t="s">
        <v>52</v>
      </c>
      <c r="O113" s="630"/>
      <c r="P113" s="610">
        <f>IF(H133=1,E113,0)</f>
        <v>0</v>
      </c>
      <c r="Q113" s="610"/>
      <c r="R113" s="610"/>
      <c r="S113" s="83" t="s">
        <v>30</v>
      </c>
      <c r="T113" s="58">
        <f>G113</f>
        <v>576</v>
      </c>
      <c r="U113" s="473">
        <f>ROUND(T113*P113,2)</f>
        <v>0</v>
      </c>
    </row>
    <row r="114" spans="1:21" x14ac:dyDescent="0.25">
      <c r="A114" s="557" t="s">
        <v>382</v>
      </c>
      <c r="B114" s="558"/>
      <c r="C114" s="143">
        <v>1</v>
      </c>
      <c r="D114" s="143">
        <v>0</v>
      </c>
      <c r="E114" s="116">
        <f>(C114+D114)/2</f>
        <v>0.5</v>
      </c>
      <c r="F114" s="126" t="s">
        <v>30</v>
      </c>
      <c r="G114" s="304">
        <f>'1461'!G114</f>
        <v>1823</v>
      </c>
      <c r="I114" s="101">
        <f>ROUND(G114*E114,2)</f>
        <v>911.5</v>
      </c>
      <c r="N114" s="630" t="s">
        <v>64</v>
      </c>
      <c r="O114" s="630"/>
      <c r="P114" s="608"/>
      <c r="Q114" s="608"/>
      <c r="R114" s="608"/>
      <c r="S114" s="83" t="s">
        <v>30</v>
      </c>
      <c r="T114" s="58">
        <f>G114</f>
        <v>1823</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4" t="s">
        <v>430</v>
      </c>
      <c r="B117" s="578"/>
      <c r="C117" s="578"/>
      <c r="D117" s="69"/>
      <c r="E117" s="39" t="s">
        <v>300</v>
      </c>
      <c r="F117" s="563"/>
      <c r="G117" s="563"/>
      <c r="H117" s="563"/>
      <c r="I117" s="563"/>
      <c r="N117" s="600" t="s">
        <v>431</v>
      </c>
      <c r="O117" s="601"/>
      <c r="P117" s="601"/>
      <c r="Q117" s="601"/>
      <c r="R117" s="601"/>
      <c r="S117" s="601"/>
      <c r="T117" s="601"/>
      <c r="U117" s="601"/>
    </row>
    <row r="118" spans="1:21" hidden="1" x14ac:dyDescent="0.25">
      <c r="B118" s="69"/>
      <c r="C118" s="564" t="s">
        <v>66</v>
      </c>
      <c r="D118" s="564"/>
      <c r="E118" s="564"/>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5" t="s">
        <v>109</v>
      </c>
      <c r="G119" s="563"/>
      <c r="H119" s="37" t="s">
        <v>29</v>
      </c>
      <c r="I119" s="37"/>
      <c r="N119" s="45"/>
      <c r="O119" s="45"/>
      <c r="P119" s="45"/>
      <c r="Q119" s="45"/>
      <c r="R119" s="45"/>
      <c r="S119" s="45"/>
      <c r="T119" s="45"/>
      <c r="U119" s="45"/>
    </row>
    <row r="120" spans="1:21" hidden="1" x14ac:dyDescent="0.25">
      <c r="A120" s="564" t="s">
        <v>69</v>
      </c>
      <c r="B120" s="564"/>
      <c r="C120" s="90" t="s">
        <v>2</v>
      </c>
      <c r="D120" s="90" t="s">
        <v>2</v>
      </c>
      <c r="E120" s="59" t="s">
        <v>2</v>
      </c>
      <c r="F120" s="564" t="s">
        <v>28</v>
      </c>
      <c r="G120" s="564"/>
      <c r="H120" s="59" t="s">
        <v>28</v>
      </c>
      <c r="I120" s="59" t="s">
        <v>8</v>
      </c>
      <c r="N120" s="609" t="s">
        <v>53</v>
      </c>
      <c r="O120" s="609"/>
      <c r="P120" s="610" t="s">
        <v>66</v>
      </c>
      <c r="Q120" s="610"/>
      <c r="R120" s="609" t="s">
        <v>54</v>
      </c>
      <c r="S120" s="609"/>
      <c r="T120" s="60" t="s">
        <v>55</v>
      </c>
      <c r="U120" s="60" t="s">
        <v>8</v>
      </c>
    </row>
    <row r="121" spans="1:21" hidden="1" x14ac:dyDescent="0.25">
      <c r="A121" s="561" t="s">
        <v>56</v>
      </c>
      <c r="B121" s="561"/>
      <c r="C121" s="141">
        <v>0</v>
      </c>
      <c r="D121" s="141">
        <v>0</v>
      </c>
      <c r="E121" s="187">
        <f>IF(D30=0,C121*2,C121+D121)</f>
        <v>0</v>
      </c>
      <c r="F121" s="562">
        <v>0</v>
      </c>
      <c r="G121" s="562"/>
      <c r="H121" s="224">
        <f>IF(C121=0,0,125)</f>
        <v>0</v>
      </c>
      <c r="I121" s="101">
        <f>ROUND((H121+F121)*E121,2)</f>
        <v>0</v>
      </c>
      <c r="N121" s="601" t="s">
        <v>56</v>
      </c>
      <c r="O121" s="601"/>
      <c r="P121" s="608">
        <f>IF(H$133=1,C121,0)</f>
        <v>0</v>
      </c>
      <c r="Q121" s="608"/>
      <c r="R121" s="628">
        <f>F121</f>
        <v>0</v>
      </c>
      <c r="S121" s="628"/>
      <c r="T121" s="62">
        <f>H121</f>
        <v>0</v>
      </c>
      <c r="U121" s="96">
        <f>ROUND((T121+R121)*P121,0)</f>
        <v>0</v>
      </c>
    </row>
    <row r="122" spans="1:21" hidden="1" x14ac:dyDescent="0.25">
      <c r="A122" s="581" t="s">
        <v>57</v>
      </c>
      <c r="B122" s="581"/>
      <c r="C122" s="143">
        <v>0</v>
      </c>
      <c r="D122" s="143">
        <v>0</v>
      </c>
      <c r="E122" s="116">
        <f>IF(D31=0,C122*2,C122+D122)</f>
        <v>0</v>
      </c>
      <c r="F122" s="598">
        <f>ROUND(F121/2,2)</f>
        <v>0</v>
      </c>
      <c r="G122" s="598"/>
      <c r="H122" s="224">
        <f>IF(C122=0,0,62.5)</f>
        <v>0</v>
      </c>
      <c r="I122" s="101">
        <f>ROUND((H122+F122)*E122,2)</f>
        <v>0</v>
      </c>
      <c r="N122" s="601" t="s">
        <v>57</v>
      </c>
      <c r="O122" s="601"/>
      <c r="P122" s="608">
        <f>IF(H$133=1,C122,0)</f>
        <v>0</v>
      </c>
      <c r="Q122" s="608"/>
      <c r="R122" s="629">
        <f>ROUND(R121/2,2)</f>
        <v>0</v>
      </c>
      <c r="S122" s="629"/>
      <c r="T122" s="62">
        <f>H122</f>
        <v>0</v>
      </c>
      <c r="U122" s="96">
        <f>ROUND((T122+R122)*P122,0)</f>
        <v>0</v>
      </c>
    </row>
    <row r="123" spans="1:21" ht="16.5" hidden="1" thickBot="1" x14ac:dyDescent="0.3">
      <c r="A123" s="581" t="s">
        <v>58</v>
      </c>
      <c r="B123" s="581"/>
      <c r="C123" s="143">
        <v>0</v>
      </c>
      <c r="D123" s="143">
        <v>0</v>
      </c>
      <c r="E123" s="116">
        <f>IF(D32=0,C123*2,C123+D123)</f>
        <v>0</v>
      </c>
      <c r="F123" s="599"/>
      <c r="G123" s="599"/>
      <c r="H123" s="225">
        <f>IF(H121&gt;0,436,0)</f>
        <v>0</v>
      </c>
      <c r="I123" s="101">
        <f>ROUND(H123*E123,2)</f>
        <v>0</v>
      </c>
      <c r="N123" s="616" t="s">
        <v>58</v>
      </c>
      <c r="O123" s="616"/>
      <c r="P123" s="608">
        <f>IF(H$133=1,C123,0)</f>
        <v>0</v>
      </c>
      <c r="Q123" s="608"/>
      <c r="R123" s="609"/>
      <c r="S123" s="609"/>
      <c r="T123" s="64">
        <f>H123</f>
        <v>0</v>
      </c>
      <c r="U123" s="103">
        <f>ROUND(T123*P123,0)</f>
        <v>0</v>
      </c>
    </row>
    <row r="124" spans="1:21" ht="16.5" hidden="1" thickBot="1" x14ac:dyDescent="0.3">
      <c r="A124" s="563" t="s">
        <v>8</v>
      </c>
      <c r="B124" s="563"/>
      <c r="C124" s="65"/>
      <c r="D124" s="65"/>
      <c r="E124" s="65"/>
      <c r="F124" s="65"/>
      <c r="G124" s="65"/>
      <c r="H124" s="65"/>
      <c r="I124" s="97">
        <f>SUM(I121:I123)</f>
        <v>0</v>
      </c>
      <c r="N124" s="627" t="s">
        <v>8</v>
      </c>
      <c r="O124" s="627"/>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4" t="s">
        <v>505</v>
      </c>
      <c r="B126" s="578"/>
      <c r="C126" s="578"/>
      <c r="D126" s="69"/>
      <c r="E126" s="68" t="s">
        <v>34</v>
      </c>
      <c r="F126" s="597"/>
      <c r="G126" s="597"/>
      <c r="H126" s="597"/>
      <c r="I126" s="154">
        <v>0</v>
      </c>
      <c r="N126" s="600" t="s">
        <v>505</v>
      </c>
      <c r="O126" s="601"/>
      <c r="P126" s="601"/>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90" t="s">
        <v>8</v>
      </c>
      <c r="B128" s="590"/>
      <c r="C128" s="590"/>
      <c r="D128" s="590"/>
      <c r="E128" s="590"/>
      <c r="F128" s="590"/>
      <c r="G128" s="590"/>
      <c r="H128" s="590"/>
      <c r="I128" s="94">
        <f>SUM(I46,I66,I85,I88,I90,I92,I94,I96,I107,I113,I114,I124,I126)</f>
        <v>5590865.8300000001</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434</v>
      </c>
      <c r="B130" s="26"/>
      <c r="C130" s="26"/>
      <c r="D130" s="26"/>
      <c r="E130" s="26"/>
      <c r="F130" s="26"/>
      <c r="G130" s="26"/>
      <c r="H130" s="26"/>
      <c r="I130" s="101">
        <f>I128-I53</f>
        <v>5370474.2599999998</v>
      </c>
      <c r="N130" s="601" t="s">
        <v>434</v>
      </c>
      <c r="O130" s="601"/>
      <c r="P130" s="601"/>
      <c r="Q130" s="601"/>
      <c r="R130" s="601"/>
      <c r="S130" s="601"/>
      <c r="T130" s="601"/>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4" t="s">
        <v>502</v>
      </c>
      <c r="B132" s="578"/>
      <c r="C132" s="578"/>
      <c r="D132" s="578"/>
      <c r="E132" s="578"/>
      <c r="F132" s="578"/>
      <c r="G132" s="578"/>
      <c r="H132" s="81" t="s">
        <v>333</v>
      </c>
      <c r="I132" s="134"/>
      <c r="N132" s="600" t="s">
        <v>502</v>
      </c>
      <c r="O132" s="601"/>
      <c r="P132" s="601"/>
      <c r="Q132" s="601"/>
      <c r="R132" s="601"/>
      <c r="S132" s="601"/>
      <c r="T132" s="601"/>
      <c r="U132" s="138"/>
    </row>
    <row r="133" spans="1:21" x14ac:dyDescent="0.25">
      <c r="A133" s="578" t="s">
        <v>70</v>
      </c>
      <c r="B133" s="578"/>
      <c r="C133" s="578"/>
      <c r="D133" s="578"/>
      <c r="E133" s="578"/>
      <c r="F133" s="578"/>
      <c r="G133" s="578"/>
      <c r="H133" s="70" t="str">
        <f>IF(E30=0,"",IF((E15+E17+SUM(E19:E25))/E30&gt;0.75,1,""))</f>
        <v/>
      </c>
      <c r="I133" s="116">
        <f>U130</f>
        <v>0</v>
      </c>
      <c r="N133" s="601" t="s">
        <v>70</v>
      </c>
      <c r="O133" s="601"/>
      <c r="P133" s="601"/>
      <c r="Q133" s="601"/>
      <c r="R133" s="601"/>
      <c r="S133" s="601"/>
      <c r="T133" s="601"/>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8"/>
      <c r="H135" s="139">
        <f>IF(H133=1,I133,I130)</f>
        <v>5370474.2599999998</v>
      </c>
      <c r="I135" s="94">
        <f>ROUND(IF(E30=0,0,IF(E30&gt;250,-(((250/E30)*H135)*IF(G135="H",0.02,0.05)),IF(G135="H",-0.02*H135,-0.05*H135))),2)</f>
        <v>-99518.1</v>
      </c>
      <c r="N135" s="626"/>
      <c r="O135" s="626"/>
      <c r="P135" s="626"/>
      <c r="Q135" s="626"/>
      <c r="R135" s="626"/>
      <c r="S135" s="626"/>
      <c r="T135" s="626"/>
      <c r="U135" s="626"/>
    </row>
    <row r="136" spans="1:21" x14ac:dyDescent="0.25">
      <c r="B136" s="69"/>
      <c r="C136" s="69"/>
      <c r="D136" s="69"/>
      <c r="E136" s="69"/>
      <c r="F136" s="69"/>
      <c r="G136" s="69"/>
      <c r="H136" s="65"/>
      <c r="I136" s="101"/>
      <c r="N136" s="624" t="s">
        <v>7</v>
      </c>
      <c r="O136" s="624"/>
      <c r="P136" s="624"/>
      <c r="Q136" s="624"/>
      <c r="R136" s="624"/>
      <c r="S136" s="624"/>
      <c r="T136" s="624"/>
      <c r="U136" s="624"/>
    </row>
    <row r="137" spans="1:21" x14ac:dyDescent="0.25">
      <c r="A137" s="309" t="s">
        <v>74</v>
      </c>
      <c r="B137" s="310"/>
      <c r="C137" s="310"/>
      <c r="D137" s="310"/>
      <c r="E137" s="310"/>
      <c r="F137" s="310"/>
      <c r="G137" s="310"/>
      <c r="H137" s="311"/>
      <c r="I137" s="312">
        <f>I128+I135</f>
        <v>5491347.7300000004</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Payments'!Q83</f>
        <v>0</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5491347.7300000004</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457612.31</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169005.61</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372</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373</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374</v>
      </c>
      <c r="B155" s="252"/>
      <c r="C155" s="252"/>
      <c r="D155" s="252"/>
      <c r="E155" s="252"/>
      <c r="F155" s="252"/>
      <c r="G155" s="252"/>
      <c r="H155" s="252"/>
      <c r="I155" s="252"/>
      <c r="N155" s="625"/>
      <c r="O155" s="625"/>
      <c r="P155" s="625"/>
      <c r="Q155" s="625"/>
      <c r="R155" s="625"/>
      <c r="S155" s="625"/>
      <c r="T155" s="625"/>
      <c r="U155" s="625"/>
    </row>
    <row r="156" spans="1:21" s="76" customFormat="1" x14ac:dyDescent="0.2">
      <c r="A156" s="320" t="s">
        <v>375</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376</v>
      </c>
      <c r="B157" s="252"/>
      <c r="C157" s="252"/>
      <c r="D157" s="252"/>
      <c r="E157" s="252"/>
      <c r="F157" s="252"/>
      <c r="G157" s="252"/>
      <c r="H157" s="252"/>
      <c r="I157" s="252"/>
      <c r="N157" s="78"/>
      <c r="O157" s="79"/>
      <c r="P157" s="79"/>
      <c r="Q157" s="79"/>
      <c r="R157" s="79"/>
      <c r="S157" s="79"/>
      <c r="T157" s="79"/>
      <c r="U157" s="79"/>
    </row>
    <row r="158" spans="1:21" s="76" customFormat="1" x14ac:dyDescent="0.2">
      <c r="A158" s="320" t="s">
        <v>377</v>
      </c>
      <c r="B158" s="252"/>
      <c r="C158" s="252"/>
      <c r="D158" s="252"/>
      <c r="E158" s="252"/>
      <c r="F158" s="252"/>
      <c r="G158" s="252"/>
      <c r="H158" s="252"/>
      <c r="I158" s="252"/>
      <c r="N158" s="78"/>
    </row>
    <row r="159" spans="1:21" s="76" customFormat="1" x14ac:dyDescent="0.2">
      <c r="A159" s="320" t="s">
        <v>379</v>
      </c>
      <c r="B159" s="252"/>
      <c r="C159" s="252"/>
      <c r="D159" s="252"/>
      <c r="E159" s="252"/>
      <c r="F159" s="252"/>
      <c r="G159" s="252"/>
      <c r="H159" s="252"/>
      <c r="I159" s="252"/>
      <c r="N159" s="78"/>
    </row>
    <row r="160" spans="1:21" s="76" customFormat="1" x14ac:dyDescent="0.2">
      <c r="A160" s="385" t="s">
        <v>378</v>
      </c>
      <c r="B160" s="252"/>
      <c r="C160" s="252"/>
      <c r="D160" s="252"/>
      <c r="E160" s="252"/>
      <c r="F160" s="252"/>
      <c r="G160" s="252"/>
      <c r="H160" s="252"/>
      <c r="I160" s="252"/>
      <c r="N160" s="78"/>
    </row>
    <row r="161" spans="1:14" s="76" customFormat="1" x14ac:dyDescent="0.2">
      <c r="A161" s="320" t="s">
        <v>380</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383</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385</v>
      </c>
      <c r="B165" s="293"/>
      <c r="C165" s="293"/>
      <c r="D165" s="293"/>
      <c r="E165" s="293"/>
      <c r="F165" s="293"/>
      <c r="G165" s="293"/>
      <c r="H165" s="293"/>
      <c r="I165" s="293"/>
      <c r="N165" s="78"/>
    </row>
    <row r="166" spans="1:14" s="76" customFormat="1" ht="15.75" customHeight="1" x14ac:dyDescent="0.2">
      <c r="A166" s="351" t="s">
        <v>384</v>
      </c>
      <c r="B166" s="293"/>
      <c r="C166" s="293"/>
      <c r="D166" s="293"/>
      <c r="E166" s="293"/>
      <c r="F166" s="293"/>
      <c r="G166" s="293"/>
      <c r="H166" s="293"/>
      <c r="I166" s="293"/>
      <c r="N166" s="78"/>
    </row>
    <row r="167" spans="1:14" s="76" customFormat="1" ht="15.75" customHeight="1" x14ac:dyDescent="0.2">
      <c r="A167" s="320" t="s">
        <v>386</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388</v>
      </c>
      <c r="B169" s="343"/>
      <c r="C169" s="343"/>
      <c r="D169" s="343"/>
      <c r="E169" s="343"/>
      <c r="F169" s="343"/>
      <c r="G169" s="343"/>
      <c r="H169" s="343"/>
      <c r="I169" s="343"/>
      <c r="N169" s="78"/>
    </row>
    <row r="170" spans="1:14" s="76" customFormat="1" ht="15.75" customHeight="1" x14ac:dyDescent="0.2">
      <c r="A170" s="351" t="s">
        <v>387</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389</v>
      </c>
      <c r="B175" s="293"/>
      <c r="C175" s="293"/>
      <c r="D175" s="293"/>
      <c r="E175" s="293"/>
      <c r="F175" s="293"/>
      <c r="G175" s="293"/>
      <c r="H175" s="293"/>
      <c r="I175" s="293"/>
      <c r="J175" s="3"/>
      <c r="K175" s="3"/>
      <c r="L175" s="3"/>
      <c r="M175" s="3"/>
      <c r="N175" s="78"/>
    </row>
    <row r="176" spans="1:14" s="76" customFormat="1" ht="15.75" customHeight="1" x14ac:dyDescent="0.2">
      <c r="A176" s="361" t="s">
        <v>390</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B12"/>
    <mergeCell ref="A132:G132"/>
    <mergeCell ref="N136:U136"/>
    <mergeCell ref="A133:G133"/>
    <mergeCell ref="R123:S123"/>
    <mergeCell ref="A121:B121"/>
    <mergeCell ref="F121:G121"/>
    <mergeCell ref="N121:O121"/>
    <mergeCell ref="A122:B122"/>
    <mergeCell ref="F122:G122"/>
    <mergeCell ref="N122:O122"/>
    <mergeCell ref="P122:Q122"/>
    <mergeCell ref="R122:S122"/>
    <mergeCell ref="C118:E118"/>
    <mergeCell ref="F119:G119"/>
    <mergeCell ref="A120:B120"/>
    <mergeCell ref="F120:G120"/>
    <mergeCell ref="N120:O120"/>
    <mergeCell ref="P120:Q120"/>
    <mergeCell ref="R120:S120"/>
    <mergeCell ref="P121:Q121"/>
    <mergeCell ref="R121:S121"/>
    <mergeCell ref="A117:C117"/>
    <mergeCell ref="F117:I117"/>
    <mergeCell ref="N117:U117"/>
    <mergeCell ref="N155:U155"/>
    <mergeCell ref="N135:U135"/>
    <mergeCell ref="N126:P126"/>
    <mergeCell ref="A126:C126"/>
    <mergeCell ref="F126:H126"/>
    <mergeCell ref="N130:T130"/>
    <mergeCell ref="A128:H128"/>
    <mergeCell ref="A123:B123"/>
    <mergeCell ref="F123:G123"/>
    <mergeCell ref="N123:O123"/>
    <mergeCell ref="P123:Q123"/>
    <mergeCell ref="A124:B124"/>
    <mergeCell ref="N124:O124"/>
    <mergeCell ref="N132:T132"/>
    <mergeCell ref="N133:T133"/>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F13:G13"/>
    <mergeCell ref="N13:O13"/>
    <mergeCell ref="P13:Q13"/>
    <mergeCell ref="R13:S13"/>
    <mergeCell ref="A14:B14"/>
    <mergeCell ref="F14:G14"/>
    <mergeCell ref="N14:O14"/>
    <mergeCell ref="P14:Q14"/>
    <mergeCell ref="R14:S14"/>
    <mergeCell ref="A13:B13"/>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6">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6" t="s">
        <v>15</v>
      </c>
      <c r="C1" s="567"/>
      <c r="D1" s="567"/>
      <c r="E1" s="567"/>
      <c r="F1" s="567"/>
      <c r="G1" s="567"/>
      <c r="H1" s="567"/>
      <c r="I1" s="567"/>
      <c r="J1" s="135"/>
      <c r="K1" s="135"/>
      <c r="L1" s="135"/>
      <c r="N1" s="82">
        <f>A1</f>
        <v>0</v>
      </c>
      <c r="O1" s="658" t="s">
        <v>15</v>
      </c>
      <c r="P1" s="659"/>
      <c r="Q1" s="659"/>
      <c r="R1" s="659"/>
      <c r="S1" s="659"/>
      <c r="T1" s="659"/>
      <c r="U1" s="659"/>
    </row>
    <row r="2" spans="1:21" ht="21" x14ac:dyDescent="0.35">
      <c r="A2" s="1" t="s">
        <v>121</v>
      </c>
      <c r="B2" s="2"/>
      <c r="C2" s="2"/>
      <c r="D2" s="2"/>
      <c r="E2" s="2"/>
      <c r="F2" s="2"/>
      <c r="G2" s="2"/>
      <c r="H2" s="2"/>
      <c r="I2" s="2"/>
      <c r="N2" s="660" t="s">
        <v>18</v>
      </c>
      <c r="O2" s="660"/>
      <c r="P2" s="660"/>
      <c r="Q2" s="660"/>
      <c r="R2" s="660"/>
      <c r="S2" s="660"/>
      <c r="T2" s="660"/>
      <c r="U2" s="660"/>
    </row>
    <row r="3" spans="1:21" x14ac:dyDescent="0.25">
      <c r="A3" s="81" t="str">
        <f>'1461'!A3</f>
        <v>Based on the FLDOE 2024-25 Conference Calculation</v>
      </c>
      <c r="N3" s="627" t="str">
        <f>A3</f>
        <v>Based on the FLDOE 2024-25 Conference Calculation</v>
      </c>
      <c r="O3" s="627"/>
      <c r="P3" s="627"/>
      <c r="Q3" s="627"/>
      <c r="R3" s="627"/>
      <c r="S3" s="627"/>
      <c r="T3" s="627"/>
      <c r="U3" s="627"/>
    </row>
    <row r="4" spans="1:21" x14ac:dyDescent="0.25">
      <c r="A4" s="568" t="s">
        <v>0</v>
      </c>
      <c r="B4" s="568"/>
      <c r="C4" s="569" t="s">
        <v>9</v>
      </c>
      <c r="D4" s="569"/>
      <c r="E4" s="569"/>
      <c r="F4" s="4" t="str">
        <f>'1461'!F4</f>
        <v>July 2024</v>
      </c>
      <c r="G4" s="4"/>
      <c r="H4" s="4"/>
      <c r="I4" s="4"/>
      <c r="N4" s="661" t="s">
        <v>0</v>
      </c>
      <c r="O4" s="661"/>
      <c r="P4" s="662" t="str">
        <f>C4</f>
        <v>Palm Beach</v>
      </c>
      <c r="Q4" s="662"/>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70" t="s">
        <v>433</v>
      </c>
      <c r="B7" s="664"/>
      <c r="C7" s="664"/>
      <c r="D7" s="664"/>
      <c r="E7" s="664"/>
      <c r="F7" s="664"/>
      <c r="G7" s="664"/>
      <c r="H7" s="664"/>
      <c r="I7" s="664"/>
      <c r="N7" s="661" t="str">
        <f>A7</f>
        <v>1A.   2023-24 FEFP State and Local Funding</v>
      </c>
      <c r="O7" s="661"/>
      <c r="P7" s="661"/>
      <c r="Q7" s="661"/>
      <c r="R7" s="661"/>
      <c r="S7" s="661"/>
      <c r="T7" s="661"/>
      <c r="U7" s="661"/>
    </row>
    <row r="8" spans="1:21" x14ac:dyDescent="0.25">
      <c r="A8" s="84"/>
      <c r="B8" s="85" t="s">
        <v>92</v>
      </c>
      <c r="C8" s="299">
        <f>'1461'!C8</f>
        <v>5330.98</v>
      </c>
      <c r="D8" s="86"/>
      <c r="E8" s="87"/>
      <c r="F8" s="84"/>
      <c r="G8" s="85" t="s">
        <v>393</v>
      </c>
      <c r="H8" s="287">
        <f>'1461'!H8</f>
        <v>1.0407999999999999</v>
      </c>
      <c r="I8" s="75"/>
      <c r="N8" s="665" t="s">
        <v>10</v>
      </c>
      <c r="O8" s="665"/>
      <c r="P8" s="666">
        <f>C8</f>
        <v>5330.98</v>
      </c>
      <c r="Q8" s="666"/>
      <c r="R8" s="648" t="s">
        <v>394</v>
      </c>
      <c r="S8" s="649"/>
      <c r="T8" s="650">
        <f>H8</f>
        <v>1.0407999999999999</v>
      </c>
      <c r="U8" s="650"/>
    </row>
    <row r="9" spans="1:21" x14ac:dyDescent="0.25">
      <c r="A9" s="84"/>
      <c r="B9" s="85"/>
      <c r="C9" s="222"/>
      <c r="D9" s="86"/>
      <c r="E9" s="87"/>
      <c r="F9" s="84"/>
      <c r="G9" s="85" t="s">
        <v>391</v>
      </c>
      <c r="H9" s="287">
        <f>'1461'!H9</f>
        <v>1</v>
      </c>
      <c r="I9" s="75"/>
      <c r="N9" s="12"/>
      <c r="O9" s="12"/>
      <c r="P9" s="13"/>
      <c r="Q9" s="13"/>
      <c r="R9" s="387" t="s">
        <v>392</v>
      </c>
      <c r="S9" s="384"/>
      <c r="T9" s="650">
        <f>H9</f>
        <v>1</v>
      </c>
      <c r="U9" s="650"/>
    </row>
    <row r="10" spans="1:21" x14ac:dyDescent="0.25">
      <c r="A10" s="7"/>
      <c r="B10" s="42" t="s">
        <v>310</v>
      </c>
      <c r="C10" s="334" t="str">
        <f>'1461'!C10</f>
        <v xml:space="preserve"> </v>
      </c>
      <c r="D10" s="334" t="str">
        <f>'1461'!D10</f>
        <v xml:space="preserve"> </v>
      </c>
      <c r="E10" s="8"/>
      <c r="F10" s="9"/>
      <c r="G10" s="9"/>
      <c r="H10" s="10"/>
      <c r="I10" s="305" t="str">
        <f>'1461'!I10</f>
        <v>2024-25</v>
      </c>
      <c r="N10" s="12"/>
      <c r="O10" s="12"/>
      <c r="P10" s="13"/>
      <c r="Q10" s="13"/>
      <c r="R10" s="14"/>
      <c r="S10" s="14"/>
      <c r="T10" s="15"/>
      <c r="U10" s="366" t="str">
        <f>I10</f>
        <v>2024-25</v>
      </c>
    </row>
    <row r="11" spans="1:21" x14ac:dyDescent="0.25">
      <c r="A11" s="7"/>
      <c r="B11" s="7"/>
      <c r="C11" s="88" t="str">
        <f>'1461'!C11</f>
        <v>Oct 2023</v>
      </c>
      <c r="D11" s="333" t="str">
        <f>'1461'!D11</f>
        <v>Feb 2024</v>
      </c>
      <c r="E11" s="89" t="s">
        <v>8</v>
      </c>
      <c r="F11" s="571" t="s">
        <v>1</v>
      </c>
      <c r="G11" s="571"/>
      <c r="H11" s="10" t="s">
        <v>60</v>
      </c>
      <c r="I11" s="11" t="s">
        <v>27</v>
      </c>
      <c r="N11" s="12"/>
      <c r="O11" s="12"/>
      <c r="P11" s="13"/>
      <c r="Q11" s="13"/>
      <c r="R11" s="651" t="s">
        <v>1</v>
      </c>
      <c r="S11" s="651"/>
      <c r="T11" s="15" t="s">
        <v>60</v>
      </c>
      <c r="U11" s="16" t="s">
        <v>27</v>
      </c>
    </row>
    <row r="12" spans="1:21" ht="15.75" customHeight="1" x14ac:dyDescent="0.25">
      <c r="A12" s="572" t="s">
        <v>1</v>
      </c>
      <c r="B12" s="572"/>
      <c r="C12" s="324" t="str">
        <f>'1461'!C12</f>
        <v>FTE</v>
      </c>
      <c r="D12" s="324" t="str">
        <f>'1461'!D12</f>
        <v>FTE</v>
      </c>
      <c r="E12" s="324" t="s">
        <v>2</v>
      </c>
      <c r="F12" s="573" t="s">
        <v>63</v>
      </c>
      <c r="G12" s="573"/>
      <c r="H12" s="17" t="s">
        <v>59</v>
      </c>
      <c r="I12" s="388" t="s">
        <v>395</v>
      </c>
      <c r="N12" s="639" t="s">
        <v>1</v>
      </c>
      <c r="O12" s="639"/>
      <c r="P12" s="652" t="s">
        <v>19</v>
      </c>
      <c r="Q12" s="652"/>
      <c r="R12" s="653" t="s">
        <v>63</v>
      </c>
      <c r="S12" s="653"/>
      <c r="T12" s="18" t="s">
        <v>59</v>
      </c>
      <c r="U12" s="19" t="str">
        <f>I12</f>
        <v>(WFTE x BSA x CWF x SDF)</v>
      </c>
    </row>
    <row r="13" spans="1:21" x14ac:dyDescent="0.25">
      <c r="A13" s="574" t="s">
        <v>36</v>
      </c>
      <c r="B13" s="574"/>
      <c r="C13" s="91"/>
      <c r="D13" s="91"/>
      <c r="E13" s="92" t="s">
        <v>37</v>
      </c>
      <c r="F13" s="575" t="s">
        <v>38</v>
      </c>
      <c r="G13" s="575"/>
      <c r="H13" s="20" t="s">
        <v>39</v>
      </c>
      <c r="I13" s="21" t="s">
        <v>40</v>
      </c>
      <c r="N13" s="654" t="s">
        <v>36</v>
      </c>
      <c r="O13" s="654"/>
      <c r="P13" s="655" t="s">
        <v>37</v>
      </c>
      <c r="Q13" s="655"/>
      <c r="R13" s="656" t="s">
        <v>38</v>
      </c>
      <c r="S13" s="656"/>
      <c r="T13" s="22" t="s">
        <v>39</v>
      </c>
      <c r="U13" s="23" t="s">
        <v>40</v>
      </c>
    </row>
    <row r="14" spans="1:21" x14ac:dyDescent="0.25">
      <c r="A14" s="576" t="s">
        <v>20</v>
      </c>
      <c r="B14" s="576"/>
      <c r="C14" s="143">
        <v>0</v>
      </c>
      <c r="D14" s="141">
        <v>0</v>
      </c>
      <c r="E14" s="187">
        <f>IF(D$30=0,C14*2,C14+D14)</f>
        <v>0</v>
      </c>
      <c r="F14" s="667">
        <f>'1461'!F14:G14</f>
        <v>1.1180000000000001</v>
      </c>
      <c r="G14" s="667"/>
      <c r="H14" s="145">
        <f>ROUND(E14*F14,4)</f>
        <v>0</v>
      </c>
      <c r="I14" s="111">
        <f>ROUND(ROUND(ROUND(H14*$C$8,4)*($H$8),2)*(MAX($H$9,1)),2)</f>
        <v>0</v>
      </c>
      <c r="N14" s="641" t="s">
        <v>20</v>
      </c>
      <c r="O14" s="641"/>
      <c r="P14" s="642">
        <f t="shared" ref="P14:P29" si="0">IF($H$133=1,E14,0)</f>
        <v>0</v>
      </c>
      <c r="Q14" s="642"/>
      <c r="R14" s="657">
        <v>1</v>
      </c>
      <c r="S14" s="657"/>
      <c r="T14" s="95">
        <f>ROUND(P14*R14,4)</f>
        <v>0</v>
      </c>
      <c r="U14" s="473">
        <f>ROUND(ROUND(ROUND(T14*$C$8,4)*($H$8),2)*(MAX($H$9,1)),2)</f>
        <v>0</v>
      </c>
    </row>
    <row r="15" spans="1:21" x14ac:dyDescent="0.25">
      <c r="A15" s="578" t="s">
        <v>21</v>
      </c>
      <c r="B15" s="578"/>
      <c r="C15" s="143">
        <v>0</v>
      </c>
      <c r="D15" s="143">
        <v>0</v>
      </c>
      <c r="E15" s="116">
        <f t="shared" ref="E15:E29" si="1">IF(D$30=0,C15*2,C15+D15)</f>
        <v>0</v>
      </c>
      <c r="F15" s="663">
        <f>'1461'!F15:G15</f>
        <v>1.1180000000000001</v>
      </c>
      <c r="G15" s="663"/>
      <c r="H15" s="80">
        <f t="shared" ref="H15:H29" si="2">ROUND(E15*F15,4)</f>
        <v>0</v>
      </c>
      <c r="I15" s="101">
        <f t="shared" ref="I15:I29" si="3">ROUND(ROUND(ROUND(H15*$C$8,4)*($H$8),2)*(MAX($H$9,1)),2)</f>
        <v>0</v>
      </c>
      <c r="J15" s="65" t="str">
        <f>IF(ROUND(E15,2)=ROUND(SUM(E57:E59),2)," ","CHECK PK-3 LINES BELOW")</f>
        <v xml:space="preserve"> </v>
      </c>
      <c r="N15" s="601" t="s">
        <v>21</v>
      </c>
      <c r="O15" s="601"/>
      <c r="P15" s="642">
        <f t="shared" si="0"/>
        <v>0</v>
      </c>
      <c r="Q15" s="642"/>
      <c r="R15" s="647">
        <v>1</v>
      </c>
      <c r="S15" s="647"/>
      <c r="T15" s="95">
        <f t="shared" ref="T15:T29" si="4">ROUND(P15*R15,4)</f>
        <v>0</v>
      </c>
      <c r="U15" s="473">
        <f t="shared" ref="U15:U29" si="5">ROUND(ROUND(ROUND(T15*$C$8,4)*($H$8),2)*(MAX($H$9,1)),2)</f>
        <v>0</v>
      </c>
    </row>
    <row r="16" spans="1:21" x14ac:dyDescent="0.25">
      <c r="A16" s="578" t="s">
        <v>22</v>
      </c>
      <c r="B16" s="578"/>
      <c r="C16" s="143">
        <v>6</v>
      </c>
      <c r="D16" s="143">
        <v>4.8899999999999997</v>
      </c>
      <c r="E16" s="116">
        <f t="shared" si="1"/>
        <v>10.89</v>
      </c>
      <c r="F16" s="663">
        <f>'1461'!F16:G16</f>
        <v>1</v>
      </c>
      <c r="G16" s="663"/>
      <c r="H16" s="80">
        <f t="shared" si="2"/>
        <v>10.89</v>
      </c>
      <c r="I16" s="101">
        <f t="shared" si="3"/>
        <v>60422.99</v>
      </c>
      <c r="N16" s="601" t="s">
        <v>22</v>
      </c>
      <c r="O16" s="601"/>
      <c r="P16" s="642">
        <f t="shared" si="0"/>
        <v>0</v>
      </c>
      <c r="Q16" s="642"/>
      <c r="R16" s="647">
        <v>1</v>
      </c>
      <c r="S16" s="647"/>
      <c r="T16" s="95">
        <f t="shared" si="4"/>
        <v>0</v>
      </c>
      <c r="U16" s="473">
        <f t="shared" si="5"/>
        <v>0</v>
      </c>
    </row>
    <row r="17" spans="1:21" x14ac:dyDescent="0.25">
      <c r="A17" s="578" t="s">
        <v>23</v>
      </c>
      <c r="B17" s="578"/>
      <c r="C17" s="143">
        <v>0.5</v>
      </c>
      <c r="D17" s="143">
        <v>0.98</v>
      </c>
      <c r="E17" s="116">
        <f t="shared" si="1"/>
        <v>1.48</v>
      </c>
      <c r="F17" s="663">
        <f>'1461'!F17:G17</f>
        <v>1</v>
      </c>
      <c r="G17" s="663"/>
      <c r="H17" s="80">
        <f t="shared" si="2"/>
        <v>1.48</v>
      </c>
      <c r="I17" s="101">
        <f t="shared" si="3"/>
        <v>8211.76</v>
      </c>
      <c r="J17" s="65" t="str">
        <f>IF(ROUND(E17,2)=ROUND(SUM(E60:E62),2)," ","CHECK 4-8 LINES BELOW")</f>
        <v xml:space="preserve"> </v>
      </c>
      <c r="N17" s="601" t="s">
        <v>23</v>
      </c>
      <c r="O17" s="601"/>
      <c r="P17" s="642">
        <f t="shared" si="0"/>
        <v>0</v>
      </c>
      <c r="Q17" s="642"/>
      <c r="R17" s="647">
        <v>1</v>
      </c>
      <c r="S17" s="647"/>
      <c r="T17" s="95">
        <f t="shared" si="4"/>
        <v>0</v>
      </c>
      <c r="U17" s="473">
        <f t="shared" si="5"/>
        <v>0</v>
      </c>
    </row>
    <row r="18" spans="1:21" x14ac:dyDescent="0.25">
      <c r="A18" s="578" t="s">
        <v>24</v>
      </c>
      <c r="B18" s="578"/>
      <c r="C18" s="143">
        <v>41.11</v>
      </c>
      <c r="D18" s="143">
        <v>39.1</v>
      </c>
      <c r="E18" s="116">
        <f t="shared" si="1"/>
        <v>80.210000000000008</v>
      </c>
      <c r="F18" s="663">
        <f>'1461'!F18:G18</f>
        <v>0.97799999999999998</v>
      </c>
      <c r="G18" s="663"/>
      <c r="H18" s="80">
        <f t="shared" si="2"/>
        <v>78.445400000000006</v>
      </c>
      <c r="I18" s="101">
        <f t="shared" si="3"/>
        <v>435253.05</v>
      </c>
      <c r="N18" s="601" t="s">
        <v>24</v>
      </c>
      <c r="O18" s="601"/>
      <c r="P18" s="642">
        <f t="shared" si="0"/>
        <v>0</v>
      </c>
      <c r="Q18" s="642"/>
      <c r="R18" s="647">
        <v>1</v>
      </c>
      <c r="S18" s="647"/>
      <c r="T18" s="95">
        <f t="shared" si="4"/>
        <v>0</v>
      </c>
      <c r="U18" s="473">
        <f t="shared" si="5"/>
        <v>0</v>
      </c>
    </row>
    <row r="19" spans="1:21" x14ac:dyDescent="0.25">
      <c r="A19" s="578" t="s">
        <v>25</v>
      </c>
      <c r="B19" s="578"/>
      <c r="C19" s="143">
        <v>13.15</v>
      </c>
      <c r="D19" s="143">
        <v>12.99</v>
      </c>
      <c r="E19" s="116">
        <f t="shared" si="1"/>
        <v>26.14</v>
      </c>
      <c r="F19" s="663">
        <f>'1461'!F19:G19</f>
        <v>0.97799999999999998</v>
      </c>
      <c r="G19" s="663"/>
      <c r="H19" s="80">
        <f t="shared" si="2"/>
        <v>25.564900000000002</v>
      </c>
      <c r="I19" s="101">
        <f t="shared" si="3"/>
        <v>141846.44</v>
      </c>
      <c r="J19" s="65" t="str">
        <f>IF(ROUND(E19,2)=ROUND(SUM(E63:E65),2)," ","CHECK 4-8 LINES BELOW")</f>
        <v xml:space="preserve"> </v>
      </c>
      <c r="N19" s="601" t="s">
        <v>25</v>
      </c>
      <c r="O19" s="601"/>
      <c r="P19" s="642">
        <f t="shared" si="0"/>
        <v>0</v>
      </c>
      <c r="Q19" s="642"/>
      <c r="R19" s="647">
        <v>1</v>
      </c>
      <c r="S19" s="647"/>
      <c r="T19" s="95">
        <f t="shared" si="4"/>
        <v>0</v>
      </c>
      <c r="U19" s="472">
        <f t="shared" si="5"/>
        <v>0</v>
      </c>
    </row>
    <row r="20" spans="1:21" x14ac:dyDescent="0.25">
      <c r="A20" s="578" t="s">
        <v>79</v>
      </c>
      <c r="B20" s="578"/>
      <c r="C20" s="143">
        <v>0</v>
      </c>
      <c r="D20" s="143">
        <v>0</v>
      </c>
      <c r="E20" s="116">
        <f t="shared" si="1"/>
        <v>0</v>
      </c>
      <c r="F20" s="663">
        <f>'1461'!F20:G20</f>
        <v>3.6970000000000001</v>
      </c>
      <c r="G20" s="663"/>
      <c r="H20" s="80">
        <f t="shared" si="2"/>
        <v>0</v>
      </c>
      <c r="I20" s="101">
        <f t="shared" si="3"/>
        <v>0</v>
      </c>
      <c r="N20" s="601" t="s">
        <v>79</v>
      </c>
      <c r="O20" s="601"/>
      <c r="P20" s="642">
        <f t="shared" si="0"/>
        <v>0</v>
      </c>
      <c r="Q20" s="642"/>
      <c r="R20" s="647">
        <v>1</v>
      </c>
      <c r="S20" s="647"/>
      <c r="T20" s="95">
        <f t="shared" si="4"/>
        <v>0</v>
      </c>
      <c r="U20" s="473">
        <f t="shared" si="5"/>
        <v>0</v>
      </c>
    </row>
    <row r="21" spans="1:21" x14ac:dyDescent="0.25">
      <c r="A21" s="578" t="s">
        <v>80</v>
      </c>
      <c r="B21" s="578"/>
      <c r="C21" s="143">
        <v>0</v>
      </c>
      <c r="D21" s="143">
        <v>0</v>
      </c>
      <c r="E21" s="116">
        <f t="shared" si="1"/>
        <v>0</v>
      </c>
      <c r="F21" s="663">
        <f>'1461'!F21:G21</f>
        <v>3.6970000000000001</v>
      </c>
      <c r="G21" s="663"/>
      <c r="H21" s="80">
        <f t="shared" si="2"/>
        <v>0</v>
      </c>
      <c r="I21" s="101">
        <f t="shared" si="3"/>
        <v>0</v>
      </c>
      <c r="N21" s="601" t="s">
        <v>80</v>
      </c>
      <c r="O21" s="601"/>
      <c r="P21" s="642">
        <f t="shared" si="0"/>
        <v>0</v>
      </c>
      <c r="Q21" s="642"/>
      <c r="R21" s="647">
        <v>1</v>
      </c>
      <c r="S21" s="647"/>
      <c r="T21" s="95">
        <f t="shared" si="4"/>
        <v>0</v>
      </c>
      <c r="U21" s="473">
        <f t="shared" si="5"/>
        <v>0</v>
      </c>
    </row>
    <row r="22" spans="1:21" x14ac:dyDescent="0.25">
      <c r="A22" s="578" t="s">
        <v>81</v>
      </c>
      <c r="B22" s="578"/>
      <c r="C22" s="143">
        <v>0</v>
      </c>
      <c r="D22" s="143">
        <v>0</v>
      </c>
      <c r="E22" s="116">
        <f t="shared" si="1"/>
        <v>0</v>
      </c>
      <c r="F22" s="663">
        <f>'1461'!F22:G22</f>
        <v>3.6970000000000001</v>
      </c>
      <c r="G22" s="663"/>
      <c r="H22" s="80">
        <f t="shared" si="2"/>
        <v>0</v>
      </c>
      <c r="I22" s="101">
        <f t="shared" si="3"/>
        <v>0</v>
      </c>
      <c r="N22" s="601" t="s">
        <v>81</v>
      </c>
      <c r="O22" s="601"/>
      <c r="P22" s="642">
        <f t="shared" si="0"/>
        <v>0</v>
      </c>
      <c r="Q22" s="642"/>
      <c r="R22" s="647">
        <v>1</v>
      </c>
      <c r="S22" s="647"/>
      <c r="T22" s="95">
        <f t="shared" si="4"/>
        <v>0</v>
      </c>
      <c r="U22" s="473">
        <f t="shared" si="5"/>
        <v>0</v>
      </c>
    </row>
    <row r="23" spans="1:21" x14ac:dyDescent="0.25">
      <c r="A23" s="578" t="s">
        <v>82</v>
      </c>
      <c r="B23" s="578"/>
      <c r="C23" s="143">
        <v>0</v>
      </c>
      <c r="D23" s="143">
        <v>0</v>
      </c>
      <c r="E23" s="116">
        <f t="shared" si="1"/>
        <v>0</v>
      </c>
      <c r="F23" s="663">
        <f>'1461'!F23:G23</f>
        <v>5.992</v>
      </c>
      <c r="G23" s="663"/>
      <c r="H23" s="80">
        <f t="shared" si="2"/>
        <v>0</v>
      </c>
      <c r="I23" s="101">
        <f t="shared" si="3"/>
        <v>0</v>
      </c>
      <c r="N23" s="601" t="s">
        <v>82</v>
      </c>
      <c r="O23" s="601"/>
      <c r="P23" s="642">
        <f t="shared" si="0"/>
        <v>0</v>
      </c>
      <c r="Q23" s="642"/>
      <c r="R23" s="647">
        <v>1</v>
      </c>
      <c r="S23" s="647"/>
      <c r="T23" s="95">
        <f t="shared" si="4"/>
        <v>0</v>
      </c>
      <c r="U23" s="473">
        <f t="shared" si="5"/>
        <v>0</v>
      </c>
    </row>
    <row r="24" spans="1:21" x14ac:dyDescent="0.25">
      <c r="A24" s="578" t="s">
        <v>83</v>
      </c>
      <c r="B24" s="578"/>
      <c r="C24" s="143">
        <v>0</v>
      </c>
      <c r="D24" s="143">
        <v>0</v>
      </c>
      <c r="E24" s="116">
        <f t="shared" si="1"/>
        <v>0</v>
      </c>
      <c r="F24" s="663">
        <f>'1461'!F24:G24</f>
        <v>5.992</v>
      </c>
      <c r="G24" s="663"/>
      <c r="H24" s="80">
        <f t="shared" si="2"/>
        <v>0</v>
      </c>
      <c r="I24" s="101">
        <f t="shared" si="3"/>
        <v>0</v>
      </c>
      <c r="N24" s="601" t="s">
        <v>83</v>
      </c>
      <c r="O24" s="601"/>
      <c r="P24" s="642">
        <f t="shared" si="0"/>
        <v>0</v>
      </c>
      <c r="Q24" s="642"/>
      <c r="R24" s="647">
        <v>1</v>
      </c>
      <c r="S24" s="647"/>
      <c r="T24" s="95">
        <f t="shared" si="4"/>
        <v>0</v>
      </c>
      <c r="U24" s="473">
        <f t="shared" si="5"/>
        <v>0</v>
      </c>
    </row>
    <row r="25" spans="1:21" x14ac:dyDescent="0.25">
      <c r="A25" s="578" t="s">
        <v>84</v>
      </c>
      <c r="B25" s="578"/>
      <c r="C25" s="143">
        <v>0</v>
      </c>
      <c r="D25" s="143">
        <v>0</v>
      </c>
      <c r="E25" s="116">
        <f t="shared" si="1"/>
        <v>0</v>
      </c>
      <c r="F25" s="663">
        <f>'1461'!F25:G25</f>
        <v>5.992</v>
      </c>
      <c r="G25" s="663"/>
      <c r="H25" s="80">
        <f t="shared" si="2"/>
        <v>0</v>
      </c>
      <c r="I25" s="101">
        <f t="shared" si="3"/>
        <v>0</v>
      </c>
      <c r="N25" s="601" t="s">
        <v>84</v>
      </c>
      <c r="O25" s="601"/>
      <c r="P25" s="642">
        <f t="shared" si="0"/>
        <v>0</v>
      </c>
      <c r="Q25" s="642"/>
      <c r="R25" s="647">
        <v>1</v>
      </c>
      <c r="S25" s="647"/>
      <c r="T25" s="95">
        <f t="shared" si="4"/>
        <v>0</v>
      </c>
      <c r="U25" s="473">
        <f t="shared" si="5"/>
        <v>0</v>
      </c>
    </row>
    <row r="26" spans="1:21" x14ac:dyDescent="0.25">
      <c r="A26" s="578" t="s">
        <v>85</v>
      </c>
      <c r="B26" s="578"/>
      <c r="C26" s="143">
        <v>0</v>
      </c>
      <c r="D26" s="143">
        <v>0</v>
      </c>
      <c r="E26" s="116">
        <f t="shared" si="1"/>
        <v>0</v>
      </c>
      <c r="F26" s="663">
        <f>'1461'!F26:G26</f>
        <v>1.1919999999999999</v>
      </c>
      <c r="G26" s="663"/>
      <c r="H26" s="80">
        <f t="shared" si="2"/>
        <v>0</v>
      </c>
      <c r="I26" s="101">
        <f t="shared" si="3"/>
        <v>0</v>
      </c>
      <c r="N26" s="601" t="s">
        <v>85</v>
      </c>
      <c r="O26" s="601"/>
      <c r="P26" s="642">
        <f t="shared" si="0"/>
        <v>0</v>
      </c>
      <c r="Q26" s="642"/>
      <c r="R26" s="647">
        <v>1</v>
      </c>
      <c r="S26" s="647"/>
      <c r="T26" s="95">
        <f t="shared" si="4"/>
        <v>0</v>
      </c>
      <c r="U26" s="473">
        <f t="shared" si="5"/>
        <v>0</v>
      </c>
    </row>
    <row r="27" spans="1:21" x14ac:dyDescent="0.25">
      <c r="A27" s="578" t="s">
        <v>86</v>
      </c>
      <c r="B27" s="578"/>
      <c r="C27" s="143">
        <v>0</v>
      </c>
      <c r="D27" s="143">
        <v>0</v>
      </c>
      <c r="E27" s="116">
        <f t="shared" si="1"/>
        <v>0</v>
      </c>
      <c r="F27" s="663">
        <f>'1461'!F27:G27</f>
        <v>1.1919999999999999</v>
      </c>
      <c r="G27" s="663"/>
      <c r="H27" s="80">
        <f t="shared" si="2"/>
        <v>0</v>
      </c>
      <c r="I27" s="101">
        <f t="shared" si="3"/>
        <v>0</v>
      </c>
      <c r="N27" s="601" t="s">
        <v>86</v>
      </c>
      <c r="O27" s="601"/>
      <c r="P27" s="642">
        <f t="shared" si="0"/>
        <v>0</v>
      </c>
      <c r="Q27" s="642"/>
      <c r="R27" s="647">
        <v>1</v>
      </c>
      <c r="S27" s="647"/>
      <c r="T27" s="95">
        <f t="shared" si="4"/>
        <v>0</v>
      </c>
      <c r="U27" s="473">
        <f t="shared" si="5"/>
        <v>0</v>
      </c>
    </row>
    <row r="28" spans="1:21" x14ac:dyDescent="0.25">
      <c r="A28" s="578" t="s">
        <v>87</v>
      </c>
      <c r="B28" s="578"/>
      <c r="C28" s="143">
        <v>0</v>
      </c>
      <c r="D28" s="143">
        <v>0</v>
      </c>
      <c r="E28" s="116">
        <f t="shared" si="1"/>
        <v>0</v>
      </c>
      <c r="F28" s="663">
        <f>'1461'!F28:G28</f>
        <v>1.1919999999999999</v>
      </c>
      <c r="G28" s="663"/>
      <c r="H28" s="80">
        <f t="shared" si="2"/>
        <v>0</v>
      </c>
      <c r="I28" s="101">
        <f t="shared" si="3"/>
        <v>0</v>
      </c>
      <c r="N28" s="601" t="s">
        <v>87</v>
      </c>
      <c r="O28" s="601"/>
      <c r="P28" s="642">
        <f t="shared" si="0"/>
        <v>0</v>
      </c>
      <c r="Q28" s="642"/>
      <c r="R28" s="647">
        <v>1</v>
      </c>
      <c r="S28" s="647"/>
      <c r="T28" s="95">
        <f t="shared" si="4"/>
        <v>0</v>
      </c>
      <c r="U28" s="473">
        <f t="shared" si="5"/>
        <v>0</v>
      </c>
    </row>
    <row r="29" spans="1:21" x14ac:dyDescent="0.25">
      <c r="A29" s="578" t="s">
        <v>88</v>
      </c>
      <c r="B29" s="578"/>
      <c r="C29" s="110">
        <v>1.56</v>
      </c>
      <c r="D29" s="110">
        <v>2.4700000000000002</v>
      </c>
      <c r="E29" s="116">
        <f t="shared" si="1"/>
        <v>4.03</v>
      </c>
      <c r="F29" s="663">
        <f>'1461'!F29:G29</f>
        <v>1.079</v>
      </c>
      <c r="G29" s="663"/>
      <c r="H29" s="93">
        <f t="shared" si="2"/>
        <v>4.3483999999999998</v>
      </c>
      <c r="I29" s="94">
        <f t="shared" si="3"/>
        <v>24127.03</v>
      </c>
      <c r="N29" s="616" t="s">
        <v>88</v>
      </c>
      <c r="O29" s="616"/>
      <c r="P29" s="642">
        <f t="shared" si="0"/>
        <v>0</v>
      </c>
      <c r="Q29" s="642"/>
      <c r="R29" s="643">
        <v>1</v>
      </c>
      <c r="S29" s="643"/>
      <c r="T29" s="95">
        <f t="shared" si="4"/>
        <v>0</v>
      </c>
      <c r="U29" s="473">
        <f t="shared" si="5"/>
        <v>0</v>
      </c>
    </row>
    <row r="30" spans="1:21" x14ac:dyDescent="0.25">
      <c r="A30" s="590" t="s">
        <v>5</v>
      </c>
      <c r="B30" s="590"/>
      <c r="C30" s="94">
        <f>SUM(C14:C29)</f>
        <v>62.32</v>
      </c>
      <c r="D30" s="94">
        <f>SUM(D14:D29)</f>
        <v>60.43</v>
      </c>
      <c r="E30" s="97">
        <f>SUM(E14:E29)</f>
        <v>122.75000000000001</v>
      </c>
      <c r="F30" s="582"/>
      <c r="G30" s="582"/>
      <c r="H30" s="99">
        <f>SUM(H14:H29)</f>
        <v>120.7287</v>
      </c>
      <c r="I30" s="94">
        <f>SUM(I14:I29)</f>
        <v>669861.27</v>
      </c>
      <c r="N30" s="644" t="s">
        <v>5</v>
      </c>
      <c r="O30" s="644"/>
      <c r="P30" s="645">
        <f>SUM(P14:P29)</f>
        <v>0</v>
      </c>
      <c r="Q30" s="645"/>
      <c r="R30" s="617"/>
      <c r="S30" s="617"/>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0" t="s">
        <v>233</v>
      </c>
      <c r="G34" s="670"/>
      <c r="H34" s="670"/>
      <c r="I34" s="101"/>
      <c r="N34" s="28"/>
      <c r="O34" s="28"/>
      <c r="P34" s="29"/>
      <c r="Q34" s="29"/>
      <c r="R34" s="30"/>
      <c r="S34" s="30"/>
      <c r="T34" s="102"/>
      <c r="U34" s="103"/>
    </row>
    <row r="35" spans="1:21" hidden="1" x14ac:dyDescent="0.25">
      <c r="A35" s="3"/>
      <c r="B35" s="69"/>
      <c r="C35" s="69"/>
      <c r="D35" s="69"/>
      <c r="E35" s="69"/>
      <c r="F35" s="670"/>
      <c r="G35" s="670"/>
      <c r="H35" s="670"/>
      <c r="I35" s="24" t="s">
        <v>61</v>
      </c>
      <c r="N35" s="627" t="s">
        <v>26</v>
      </c>
      <c r="O35" s="627"/>
      <c r="P35" s="627"/>
      <c r="Q35" s="627"/>
      <c r="R35" s="627"/>
      <c r="S35" s="627"/>
      <c r="T35" s="627"/>
      <c r="U35" s="25" t="str">
        <f>I35</f>
        <v>2015-16</v>
      </c>
    </row>
    <row r="36" spans="1:21" hidden="1" x14ac:dyDescent="0.25">
      <c r="A36" s="26"/>
      <c r="B36" s="26"/>
      <c r="C36" s="88" t="s">
        <v>93</v>
      </c>
      <c r="D36" s="88" t="s">
        <v>94</v>
      </c>
      <c r="E36" s="89" t="s">
        <v>8</v>
      </c>
      <c r="F36" s="670"/>
      <c r="G36" s="670"/>
      <c r="H36" s="670"/>
      <c r="I36" s="24" t="s">
        <v>27</v>
      </c>
      <c r="N36" s="28"/>
      <c r="O36" s="28"/>
      <c r="P36" s="29"/>
      <c r="Q36" s="29"/>
      <c r="R36" s="30"/>
      <c r="S36" s="30"/>
      <c r="T36" s="102"/>
      <c r="U36" s="25" t="s">
        <v>27</v>
      </c>
    </row>
    <row r="37" spans="1:21" ht="26.25" hidden="1" x14ac:dyDescent="0.25">
      <c r="A37" s="572" t="s">
        <v>50</v>
      </c>
      <c r="B37" s="572"/>
      <c r="C37" s="90" t="s">
        <v>2</v>
      </c>
      <c r="D37" s="90" t="s">
        <v>2</v>
      </c>
      <c r="E37" s="90" t="s">
        <v>2</v>
      </c>
      <c r="F37" s="671"/>
      <c r="G37" s="671"/>
      <c r="H37" s="671"/>
      <c r="I37" s="31" t="s">
        <v>395</v>
      </c>
      <c r="N37" s="639" t="s">
        <v>50</v>
      </c>
      <c r="O37" s="639"/>
      <c r="P37" s="640" t="s">
        <v>19</v>
      </c>
      <c r="Q37" s="640"/>
      <c r="R37" s="640"/>
      <c r="S37" s="640"/>
      <c r="T37" s="640"/>
      <c r="U37" s="19" t="str">
        <f>I37</f>
        <v>(WFTE x BSA x CWF x SDF)</v>
      </c>
    </row>
    <row r="38" spans="1:21" hidden="1" x14ac:dyDescent="0.25">
      <c r="A38" s="576" t="s">
        <v>45</v>
      </c>
      <c r="B38" s="576"/>
      <c r="C38" s="147">
        <v>0</v>
      </c>
      <c r="D38" s="147">
        <v>0</v>
      </c>
      <c r="E38" s="187">
        <f t="shared" ref="E38:E43" si="6">IF(D$44=0,C38*2,C38+D38)</f>
        <v>0</v>
      </c>
      <c r="F38" s="148"/>
      <c r="G38" s="148"/>
      <c r="H38" s="148"/>
      <c r="I38" s="111">
        <f>ROUND(ROUND(ROUND(E38*$C$8,4)*($H$8),2)*(MAX($H$9,1)),2)</f>
        <v>0</v>
      </c>
      <c r="N38" s="641" t="s">
        <v>45</v>
      </c>
      <c r="O38" s="641"/>
      <c r="P38" s="608">
        <f t="shared" ref="P38:P43" si="7">IF($H$133=1,E38,0)</f>
        <v>0</v>
      </c>
      <c r="Q38" s="608"/>
      <c r="R38" s="608"/>
      <c r="S38" s="608"/>
      <c r="T38" s="608"/>
      <c r="U38" s="98">
        <f>ROUND(ROUND(ROUND(P38*$C$8,4)*($H$8),2)*(MAX($H$9,1)),2)</f>
        <v>0</v>
      </c>
    </row>
    <row r="39" spans="1:21" hidden="1" x14ac:dyDescent="0.25">
      <c r="A39" s="578" t="s">
        <v>46</v>
      </c>
      <c r="B39" s="578"/>
      <c r="C39" s="150">
        <v>0</v>
      </c>
      <c r="D39" s="150">
        <v>0</v>
      </c>
      <c r="E39" s="116">
        <f t="shared" si="6"/>
        <v>0</v>
      </c>
      <c r="F39" s="151"/>
      <c r="G39" s="151"/>
      <c r="H39" s="151"/>
      <c r="I39" s="101">
        <f t="shared" ref="I39:I43" si="8">ROUND(ROUND(ROUND(E39*$C$8,4)*($H$8),2)*(MAX($H$9,1)),2)</f>
        <v>0</v>
      </c>
      <c r="N39" s="601" t="s">
        <v>46</v>
      </c>
      <c r="O39" s="601"/>
      <c r="P39" s="608">
        <f t="shared" si="7"/>
        <v>0</v>
      </c>
      <c r="Q39" s="608"/>
      <c r="R39" s="608"/>
      <c r="S39" s="608"/>
      <c r="T39" s="608"/>
      <c r="U39" s="98">
        <f t="shared" ref="U39:U43" si="9">ROUND(ROUND(ROUND(P39*$C$8,4)*($H$8),2)*(MAX($H$9,1)),2)</f>
        <v>0</v>
      </c>
    </row>
    <row r="40" spans="1:21" hidden="1" x14ac:dyDescent="0.25">
      <c r="A40" s="583" t="s">
        <v>47</v>
      </c>
      <c r="B40" s="583"/>
      <c r="C40" s="150">
        <v>0</v>
      </c>
      <c r="D40" s="150">
        <v>0</v>
      </c>
      <c r="E40" s="116">
        <f t="shared" si="6"/>
        <v>0</v>
      </c>
      <c r="F40" s="151"/>
      <c r="G40" s="151"/>
      <c r="H40" s="151"/>
      <c r="I40" s="101">
        <f t="shared" si="8"/>
        <v>0</v>
      </c>
      <c r="N40" s="646" t="s">
        <v>47</v>
      </c>
      <c r="O40" s="646"/>
      <c r="P40" s="608">
        <f t="shared" si="7"/>
        <v>0</v>
      </c>
      <c r="Q40" s="608"/>
      <c r="R40" s="608"/>
      <c r="S40" s="608"/>
      <c r="T40" s="608"/>
      <c r="U40" s="98">
        <f t="shared" si="9"/>
        <v>0</v>
      </c>
    </row>
    <row r="41" spans="1:21" hidden="1" x14ac:dyDescent="0.25">
      <c r="A41" s="578" t="s">
        <v>48</v>
      </c>
      <c r="B41" s="578"/>
      <c r="C41" s="150">
        <v>0</v>
      </c>
      <c r="D41" s="150">
        <v>0</v>
      </c>
      <c r="E41" s="116">
        <f t="shared" si="6"/>
        <v>0</v>
      </c>
      <c r="F41" s="151"/>
      <c r="G41" s="151"/>
      <c r="H41" s="151"/>
      <c r="I41" s="101">
        <f t="shared" si="8"/>
        <v>0</v>
      </c>
      <c r="N41" s="601" t="s">
        <v>48</v>
      </c>
      <c r="O41" s="601"/>
      <c r="P41" s="608">
        <f t="shared" si="7"/>
        <v>0</v>
      </c>
      <c r="Q41" s="608"/>
      <c r="R41" s="608"/>
      <c r="S41" s="608"/>
      <c r="T41" s="608"/>
      <c r="U41" s="98">
        <f t="shared" si="9"/>
        <v>0</v>
      </c>
    </row>
    <row r="42" spans="1:21" hidden="1" x14ac:dyDescent="0.25">
      <c r="A42" s="578" t="s">
        <v>49</v>
      </c>
      <c r="B42" s="578"/>
      <c r="C42" s="150">
        <v>0</v>
      </c>
      <c r="D42" s="150">
        <v>0</v>
      </c>
      <c r="E42" s="116">
        <f t="shared" si="6"/>
        <v>0</v>
      </c>
      <c r="F42" s="151"/>
      <c r="G42" s="151"/>
      <c r="H42" s="151"/>
      <c r="I42" s="101">
        <f t="shared" si="8"/>
        <v>0</v>
      </c>
      <c r="N42" s="601" t="s">
        <v>49</v>
      </c>
      <c r="O42" s="601"/>
      <c r="P42" s="608">
        <f t="shared" si="7"/>
        <v>0</v>
      </c>
      <c r="Q42" s="608"/>
      <c r="R42" s="608"/>
      <c r="S42" s="608"/>
      <c r="T42" s="608"/>
      <c r="U42" s="98">
        <f t="shared" si="9"/>
        <v>0</v>
      </c>
    </row>
    <row r="43" spans="1:21" hidden="1" x14ac:dyDescent="0.25">
      <c r="A43" s="578" t="s">
        <v>41</v>
      </c>
      <c r="B43" s="578"/>
      <c r="C43" s="149">
        <v>0</v>
      </c>
      <c r="D43" s="149">
        <v>0</v>
      </c>
      <c r="E43" s="154">
        <f t="shared" si="6"/>
        <v>0</v>
      </c>
      <c r="F43" s="151"/>
      <c r="G43" s="151"/>
      <c r="H43" s="151"/>
      <c r="I43" s="94">
        <f t="shared" si="8"/>
        <v>0</v>
      </c>
      <c r="N43" s="616" t="s">
        <v>41</v>
      </c>
      <c r="O43" s="616"/>
      <c r="P43" s="608">
        <f t="shared" si="7"/>
        <v>0</v>
      </c>
      <c r="Q43" s="608"/>
      <c r="R43" s="608"/>
      <c r="S43" s="608"/>
      <c r="T43" s="60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3" t="s">
        <v>43</v>
      </c>
      <c r="O44" s="603"/>
      <c r="P44" s="603"/>
      <c r="Q44" s="603"/>
      <c r="R44" s="33">
        <f>SUM(P38:R43)</f>
        <v>0</v>
      </c>
      <c r="S44" s="617" t="s">
        <v>51</v>
      </c>
      <c r="T44" s="617"/>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120.7287</v>
      </c>
      <c r="F46" s="34"/>
      <c r="G46" s="106"/>
      <c r="H46" s="107" t="s">
        <v>98</v>
      </c>
      <c r="I46" s="94">
        <f>SUM(I44,I30)</f>
        <v>669861.27</v>
      </c>
      <c r="N46" s="603" t="s">
        <v>44</v>
      </c>
      <c r="O46" s="603"/>
      <c r="P46" s="603"/>
      <c r="Q46" s="603"/>
      <c r="R46" s="35">
        <f>R44+T30</f>
        <v>0</v>
      </c>
      <c r="S46" s="617" t="s">
        <v>42</v>
      </c>
      <c r="T46" s="617"/>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396</v>
      </c>
      <c r="B48" s="26"/>
      <c r="C48" s="26"/>
      <c r="D48" s="26"/>
      <c r="E48" s="26"/>
      <c r="F48" s="34"/>
      <c r="G48" s="27"/>
      <c r="H48" s="27"/>
      <c r="I48" s="101"/>
      <c r="N48" s="383" t="s">
        <v>396</v>
      </c>
      <c r="O48" s="28"/>
      <c r="P48" s="28"/>
      <c r="Q48" s="28"/>
      <c r="R48" s="35"/>
      <c r="S48" s="30"/>
      <c r="T48" s="30"/>
      <c r="U48" s="402"/>
    </row>
    <row r="49" spans="1:22" s="391" customFormat="1" ht="9" customHeight="1" x14ac:dyDescent="0.2">
      <c r="A49" s="481" t="s">
        <v>397</v>
      </c>
      <c r="F49" s="392"/>
      <c r="G49" s="393"/>
      <c r="H49" s="393"/>
      <c r="I49" s="394"/>
      <c r="N49" s="403" t="s">
        <v>397</v>
      </c>
      <c r="O49" s="395"/>
      <c r="P49" s="395"/>
      <c r="Q49" s="395"/>
      <c r="R49" s="396"/>
      <c r="S49" s="397"/>
      <c r="T49" s="397"/>
      <c r="U49" s="404"/>
    </row>
    <row r="50" spans="1:22" s="391" customFormat="1" ht="11.25" customHeight="1" x14ac:dyDescent="0.2">
      <c r="A50" s="483" t="s">
        <v>398</v>
      </c>
      <c r="F50" s="392"/>
      <c r="G50" s="393"/>
      <c r="H50" s="393"/>
      <c r="I50" s="394"/>
      <c r="N50" s="405" t="s">
        <v>398</v>
      </c>
      <c r="O50" s="395"/>
      <c r="P50" s="395"/>
      <c r="Q50" s="395"/>
      <c r="R50" s="396"/>
      <c r="S50" s="397"/>
      <c r="T50" s="397"/>
      <c r="U50" s="404"/>
    </row>
    <row r="51" spans="1:22" x14ac:dyDescent="0.25">
      <c r="A51" s="389"/>
      <c r="B51" s="399" t="s">
        <v>399</v>
      </c>
      <c r="C51" s="26"/>
      <c r="D51" s="26"/>
      <c r="E51" s="43" t="s">
        <v>400</v>
      </c>
      <c r="F51" s="400">
        <f>I46</f>
        <v>669861.27</v>
      </c>
      <c r="G51" s="109" t="s">
        <v>6</v>
      </c>
      <c r="H51" s="401">
        <v>4.5199999999999997E-2</v>
      </c>
      <c r="I51" s="101">
        <f>ROUND(F51*H51,2)</f>
        <v>30277.73</v>
      </c>
      <c r="N51" s="406"/>
      <c r="O51" s="407" t="s">
        <v>399</v>
      </c>
      <c r="P51" s="28"/>
      <c r="Q51" s="44" t="s">
        <v>400</v>
      </c>
      <c r="R51" s="408">
        <f>U30</f>
        <v>0</v>
      </c>
      <c r="S51" s="409" t="s">
        <v>6</v>
      </c>
      <c r="T51" s="410">
        <v>4.5199999999999997E-2</v>
      </c>
      <c r="U51" s="402">
        <f>ROUND(R51*T51,2)</f>
        <v>0</v>
      </c>
    </row>
    <row r="52" spans="1:22" x14ac:dyDescent="0.25">
      <c r="A52" s="26"/>
      <c r="B52" s="81" t="s">
        <v>401</v>
      </c>
      <c r="C52" s="26"/>
      <c r="D52" s="26"/>
      <c r="E52" s="43" t="s">
        <v>400</v>
      </c>
      <c r="F52" s="400">
        <f>I46</f>
        <v>669861.27</v>
      </c>
      <c r="G52" s="109" t="s">
        <v>6</v>
      </c>
      <c r="H52" s="401">
        <v>1.41E-2</v>
      </c>
      <c r="I52" s="101">
        <f>ROUND(F52*H52,2)</f>
        <v>9445.0400000000009</v>
      </c>
      <c r="N52" s="28"/>
      <c r="O52" s="383" t="s">
        <v>401</v>
      </c>
      <c r="P52" s="28"/>
      <c r="Q52" s="44" t="s">
        <v>400</v>
      </c>
      <c r="R52" s="408">
        <f>U30</f>
        <v>0</v>
      </c>
      <c r="S52" s="409" t="s">
        <v>6</v>
      </c>
      <c r="T52" s="410">
        <v>1.41E-2</v>
      </c>
      <c r="U52" s="411">
        <f>ROUND(R52*T52,2)</f>
        <v>0</v>
      </c>
    </row>
    <row r="53" spans="1:22" x14ac:dyDescent="0.25">
      <c r="A53" s="26"/>
      <c r="B53" s="81" t="s">
        <v>402</v>
      </c>
      <c r="C53" s="26"/>
      <c r="D53" s="26"/>
      <c r="E53" s="43"/>
      <c r="F53" s="400"/>
      <c r="G53" s="109"/>
      <c r="H53" s="401"/>
      <c r="I53" s="97">
        <f>SUM(I51:I52)</f>
        <v>39722.770000000004</v>
      </c>
      <c r="N53" s="28"/>
      <c r="O53" s="383" t="s">
        <v>402</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440</v>
      </c>
      <c r="G55" s="109" t="s">
        <v>441</v>
      </c>
      <c r="H55" s="454" t="s">
        <v>442</v>
      </c>
      <c r="I55" s="101"/>
      <c r="N55" s="448"/>
      <c r="O55" s="448"/>
      <c r="P55" s="464"/>
      <c r="Q55" s="465"/>
      <c r="R55" s="466"/>
      <c r="S55" s="468" t="s">
        <v>441</v>
      </c>
      <c r="T55" s="469" t="s">
        <v>442</v>
      </c>
      <c r="U55" s="467"/>
      <c r="V55" s="424"/>
    </row>
    <row r="56" spans="1:22" x14ac:dyDescent="0.25">
      <c r="A56" s="36" t="s">
        <v>443</v>
      </c>
      <c r="B56" s="36"/>
      <c r="C56" s="324" t="str">
        <f>'1461'!C56</f>
        <v>FTE</v>
      </c>
      <c r="D56" s="324" t="str">
        <f>'1461'!D56</f>
        <v>FTE</v>
      </c>
      <c r="E56" s="90" t="s">
        <v>2</v>
      </c>
      <c r="F56" s="439" t="s">
        <v>444</v>
      </c>
      <c r="G56" s="441" t="s">
        <v>444</v>
      </c>
      <c r="H56" s="455" t="s">
        <v>445</v>
      </c>
      <c r="I56" s="36"/>
      <c r="N56" s="459" t="s">
        <v>443</v>
      </c>
      <c r="O56" s="459"/>
      <c r="P56" s="620" t="s">
        <v>2</v>
      </c>
      <c r="Q56" s="620"/>
      <c r="R56" s="459" t="s">
        <v>449</v>
      </c>
      <c r="S56" s="450" t="s">
        <v>444</v>
      </c>
      <c r="T56" s="470" t="s">
        <v>445</v>
      </c>
      <c r="U56" s="459"/>
      <c r="V56" s="458"/>
    </row>
    <row r="57" spans="1:22" x14ac:dyDescent="0.25">
      <c r="A57" s="588" t="s">
        <v>447</v>
      </c>
      <c r="B57" s="588"/>
      <c r="C57" s="143">
        <v>0</v>
      </c>
      <c r="D57" s="143">
        <v>0</v>
      </c>
      <c r="E57" s="116">
        <f t="shared" ref="E57:E65" si="10">IF(D$66=0,C57*2,C57+D57)</f>
        <v>0</v>
      </c>
      <c r="F57" s="443" t="s">
        <v>439</v>
      </c>
      <c r="G57" s="443">
        <v>251</v>
      </c>
      <c r="H57" s="457">
        <f>'1461'!H57</f>
        <v>1047</v>
      </c>
      <c r="I57" s="101">
        <f>ROUND(E57*H57,2)</f>
        <v>0</v>
      </c>
      <c r="N57" s="618" t="s">
        <v>447</v>
      </c>
      <c r="O57" s="618"/>
      <c r="P57" s="621"/>
      <c r="Q57" s="621"/>
      <c r="R57" s="449" t="s">
        <v>439</v>
      </c>
      <c r="S57" s="449">
        <v>251</v>
      </c>
      <c r="T57" s="460">
        <f>H57</f>
        <v>1047</v>
      </c>
      <c r="U57" s="474">
        <f>ROUND(P57*T57,2)</f>
        <v>0</v>
      </c>
      <c r="V57" s="424"/>
    </row>
    <row r="58" spans="1:22" x14ac:dyDescent="0.25">
      <c r="A58" s="589"/>
      <c r="B58" s="589"/>
      <c r="C58" s="143">
        <v>0</v>
      </c>
      <c r="D58" s="143">
        <v>0</v>
      </c>
      <c r="E58" s="116">
        <f t="shared" si="10"/>
        <v>0</v>
      </c>
      <c r="F58" s="443" t="s">
        <v>439</v>
      </c>
      <c r="G58" s="443">
        <v>252</v>
      </c>
      <c r="H58" s="457">
        <f>'1461'!H58</f>
        <v>3380</v>
      </c>
      <c r="I58" s="101">
        <f t="shared" ref="I58:I65" si="11">ROUND(E58*H58,2)</f>
        <v>0</v>
      </c>
      <c r="N58" s="619"/>
      <c r="O58" s="619"/>
      <c r="P58" s="622"/>
      <c r="Q58" s="622"/>
      <c r="R58" s="449" t="s">
        <v>439</v>
      </c>
      <c r="S58" s="449">
        <v>252</v>
      </c>
      <c r="T58" s="460">
        <f t="shared" ref="T58:T65" si="12">H58</f>
        <v>3380</v>
      </c>
      <c r="U58" s="474">
        <f t="shared" ref="U58:U65" si="13">ROUND(P58*T58,2)</f>
        <v>0</v>
      </c>
      <c r="V58" s="424"/>
    </row>
    <row r="59" spans="1:22" x14ac:dyDescent="0.25">
      <c r="A59" s="589"/>
      <c r="B59" s="589"/>
      <c r="C59" s="143">
        <v>0</v>
      </c>
      <c r="D59" s="143">
        <v>0</v>
      </c>
      <c r="E59" s="116">
        <f t="shared" si="10"/>
        <v>0</v>
      </c>
      <c r="F59" s="443" t="s">
        <v>439</v>
      </c>
      <c r="G59" s="443">
        <v>253</v>
      </c>
      <c r="H59" s="457">
        <f>'1461'!H59</f>
        <v>6896</v>
      </c>
      <c r="I59" s="101">
        <f t="shared" si="11"/>
        <v>0</v>
      </c>
      <c r="N59" s="619"/>
      <c r="O59" s="619"/>
      <c r="P59" s="622"/>
      <c r="Q59" s="622"/>
      <c r="R59" s="449" t="s">
        <v>439</v>
      </c>
      <c r="S59" s="449">
        <v>253</v>
      </c>
      <c r="T59" s="460">
        <f t="shared" si="12"/>
        <v>6896</v>
      </c>
      <c r="U59" s="474">
        <f t="shared" si="13"/>
        <v>0</v>
      </c>
      <c r="V59" s="424"/>
    </row>
    <row r="60" spans="1:22" x14ac:dyDescent="0.25">
      <c r="A60" s="589"/>
      <c r="B60" s="589"/>
      <c r="C60" s="143">
        <v>0.5</v>
      </c>
      <c r="D60" s="143">
        <v>0.98</v>
      </c>
      <c r="E60" s="116">
        <f t="shared" si="10"/>
        <v>1.48</v>
      </c>
      <c r="F60" s="444" t="s">
        <v>13</v>
      </c>
      <c r="G60" s="443">
        <v>251</v>
      </c>
      <c r="H60" s="457">
        <f>'1461'!H60</f>
        <v>1173</v>
      </c>
      <c r="I60" s="101">
        <f t="shared" si="11"/>
        <v>1736.04</v>
      </c>
      <c r="N60" s="619"/>
      <c r="O60" s="619"/>
      <c r="P60" s="622"/>
      <c r="Q60" s="622"/>
      <c r="R60" s="40" t="s">
        <v>13</v>
      </c>
      <c r="S60" s="449">
        <v>251</v>
      </c>
      <c r="T60" s="460">
        <f t="shared" si="12"/>
        <v>1173</v>
      </c>
      <c r="U60" s="474">
        <f t="shared" si="13"/>
        <v>0</v>
      </c>
      <c r="V60" s="424"/>
    </row>
    <row r="61" spans="1:22" x14ac:dyDescent="0.25">
      <c r="A61" s="589"/>
      <c r="B61" s="589"/>
      <c r="C61" s="143">
        <v>0</v>
      </c>
      <c r="D61" s="143">
        <v>0</v>
      </c>
      <c r="E61" s="116">
        <f t="shared" si="10"/>
        <v>0</v>
      </c>
      <c r="F61" s="444" t="s">
        <v>13</v>
      </c>
      <c r="G61" s="443">
        <v>252</v>
      </c>
      <c r="H61" s="457">
        <f>'1461'!H61</f>
        <v>3506</v>
      </c>
      <c r="I61" s="101">
        <f t="shared" si="11"/>
        <v>0</v>
      </c>
      <c r="N61" s="619"/>
      <c r="O61" s="619"/>
      <c r="P61" s="622"/>
      <c r="Q61" s="622"/>
      <c r="R61" s="40" t="s">
        <v>13</v>
      </c>
      <c r="S61" s="449">
        <v>252</v>
      </c>
      <c r="T61" s="460">
        <f t="shared" si="12"/>
        <v>3506</v>
      </c>
      <c r="U61" s="474">
        <f t="shared" si="13"/>
        <v>0</v>
      </c>
      <c r="V61" s="424"/>
    </row>
    <row r="62" spans="1:22" x14ac:dyDescent="0.25">
      <c r="A62" s="589"/>
      <c r="B62" s="589"/>
      <c r="C62" s="143">
        <v>0</v>
      </c>
      <c r="D62" s="143">
        <v>0</v>
      </c>
      <c r="E62" s="116">
        <f t="shared" si="10"/>
        <v>0</v>
      </c>
      <c r="F62" s="444" t="s">
        <v>13</v>
      </c>
      <c r="G62" s="443">
        <v>253</v>
      </c>
      <c r="H62" s="457">
        <f>'1461'!H62</f>
        <v>7023</v>
      </c>
      <c r="I62" s="101">
        <f t="shared" si="11"/>
        <v>0</v>
      </c>
      <c r="N62" s="619"/>
      <c r="O62" s="619"/>
      <c r="P62" s="622"/>
      <c r="Q62" s="622"/>
      <c r="R62" s="40" t="s">
        <v>13</v>
      </c>
      <c r="S62" s="449">
        <v>253</v>
      </c>
      <c r="T62" s="460">
        <f t="shared" si="12"/>
        <v>7023</v>
      </c>
      <c r="U62" s="474">
        <f t="shared" si="13"/>
        <v>0</v>
      </c>
      <c r="V62" s="424"/>
    </row>
    <row r="63" spans="1:22" x14ac:dyDescent="0.25">
      <c r="A63" s="589"/>
      <c r="B63" s="589"/>
      <c r="C63" s="143">
        <v>13.15</v>
      </c>
      <c r="D63" s="143">
        <v>12.99</v>
      </c>
      <c r="E63" s="116">
        <f t="shared" si="10"/>
        <v>26.14</v>
      </c>
      <c r="F63" s="444" t="s">
        <v>14</v>
      </c>
      <c r="G63" s="443">
        <v>251</v>
      </c>
      <c r="H63" s="457">
        <f>'1461'!H63</f>
        <v>835</v>
      </c>
      <c r="I63" s="101">
        <f t="shared" si="11"/>
        <v>21826.9</v>
      </c>
      <c r="N63" s="619"/>
      <c r="O63" s="619"/>
      <c r="P63" s="622"/>
      <c r="Q63" s="622"/>
      <c r="R63" s="40" t="s">
        <v>14</v>
      </c>
      <c r="S63" s="449">
        <v>251</v>
      </c>
      <c r="T63" s="460">
        <f t="shared" si="12"/>
        <v>835</v>
      </c>
      <c r="U63" s="474">
        <f t="shared" si="13"/>
        <v>0</v>
      </c>
      <c r="V63" s="424"/>
    </row>
    <row r="64" spans="1:22" x14ac:dyDescent="0.25">
      <c r="A64" s="589"/>
      <c r="B64" s="589"/>
      <c r="C64" s="143">
        <v>0</v>
      </c>
      <c r="D64" s="143">
        <v>0</v>
      </c>
      <c r="E64" s="116">
        <f t="shared" si="10"/>
        <v>0</v>
      </c>
      <c r="F64" s="444" t="s">
        <v>14</v>
      </c>
      <c r="G64" s="443">
        <v>252</v>
      </c>
      <c r="H64" s="457">
        <f>'1461'!H64</f>
        <v>3168</v>
      </c>
      <c r="I64" s="101">
        <f t="shared" si="11"/>
        <v>0</v>
      </c>
      <c r="N64" s="619"/>
      <c r="O64" s="619"/>
      <c r="P64" s="622"/>
      <c r="Q64" s="622"/>
      <c r="R64" s="40" t="s">
        <v>14</v>
      </c>
      <c r="S64" s="449">
        <v>252</v>
      </c>
      <c r="T64" s="460">
        <f t="shared" si="12"/>
        <v>3168</v>
      </c>
      <c r="U64" s="474">
        <f t="shared" si="13"/>
        <v>0</v>
      </c>
      <c r="V64" s="424"/>
    </row>
    <row r="65" spans="1:22" ht="16.5" thickBot="1" x14ac:dyDescent="0.3">
      <c r="A65" s="589"/>
      <c r="B65" s="589"/>
      <c r="C65" s="143">
        <v>0</v>
      </c>
      <c r="D65" s="143">
        <v>0</v>
      </c>
      <c r="E65" s="116">
        <f t="shared" si="10"/>
        <v>0</v>
      </c>
      <c r="F65" s="444" t="s">
        <v>14</v>
      </c>
      <c r="G65" s="443">
        <v>253</v>
      </c>
      <c r="H65" s="457">
        <f>'1461'!H65</f>
        <v>6685</v>
      </c>
      <c r="I65" s="101">
        <f t="shared" si="11"/>
        <v>0</v>
      </c>
      <c r="N65" s="619"/>
      <c r="O65" s="619"/>
      <c r="P65" s="623"/>
      <c r="Q65" s="623"/>
      <c r="R65" s="40" t="s">
        <v>14</v>
      </c>
      <c r="S65" s="449">
        <v>253</v>
      </c>
      <c r="T65" s="460">
        <f t="shared" si="12"/>
        <v>6685</v>
      </c>
      <c r="U65" s="475">
        <f t="shared" si="13"/>
        <v>0</v>
      </c>
      <c r="V65" s="424"/>
    </row>
    <row r="66" spans="1:22" ht="16.5" thickBot="1" x14ac:dyDescent="0.3">
      <c r="A66" s="440"/>
      <c r="C66" s="97">
        <f>SUM(C57:C65)</f>
        <v>13.65</v>
      </c>
      <c r="D66" s="97">
        <f>SUM(D57:D65)</f>
        <v>13.97</v>
      </c>
      <c r="E66" s="97">
        <f>SUM(E57:E65)</f>
        <v>27.62</v>
      </c>
      <c r="F66" s="590" t="s">
        <v>448</v>
      </c>
      <c r="G66" s="590"/>
      <c r="H66" s="590"/>
      <c r="I66" s="97">
        <f>SUM(I57:I65)</f>
        <v>23562.940000000002</v>
      </c>
      <c r="N66" s="446"/>
      <c r="O66" s="51"/>
      <c r="P66" s="602">
        <f>SUM(P57:P65)</f>
        <v>0</v>
      </c>
      <c r="Q66" s="602"/>
      <c r="R66" s="603" t="s">
        <v>448</v>
      </c>
      <c r="S66" s="603"/>
      <c r="T66" s="603"/>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450</v>
      </c>
      <c r="N68" s="453" t="s">
        <v>458</v>
      </c>
      <c r="O68" s="51"/>
      <c r="P68" s="51"/>
      <c r="Q68" s="51"/>
      <c r="R68" s="51"/>
      <c r="S68" s="51"/>
      <c r="T68" s="51"/>
      <c r="U68" s="51"/>
    </row>
    <row r="69" spans="1:22" x14ac:dyDescent="0.25">
      <c r="A69" s="584" t="s">
        <v>403</v>
      </c>
      <c r="B69" s="578"/>
      <c r="C69" s="112">
        <f>E30</f>
        <v>122.75000000000001</v>
      </c>
      <c r="D69" s="565" t="s">
        <v>414</v>
      </c>
      <c r="E69" s="565"/>
      <c r="F69" s="565"/>
      <c r="G69" s="565"/>
      <c r="H69" s="300">
        <f>'1461'!H69</f>
        <v>210228.91</v>
      </c>
      <c r="I69" s="113"/>
      <c r="N69" s="600" t="s">
        <v>407</v>
      </c>
      <c r="O69" s="601"/>
      <c r="P69" s="41">
        <f>P30</f>
        <v>0</v>
      </c>
      <c r="Q69" s="606" t="s">
        <v>409</v>
      </c>
      <c r="R69" s="607"/>
      <c r="S69" s="607"/>
      <c r="T69" s="604">
        <f>H69</f>
        <v>210228.91</v>
      </c>
      <c r="U69" s="604"/>
    </row>
    <row r="70" spans="1:22" x14ac:dyDescent="0.25">
      <c r="B70" s="69"/>
      <c r="G70" s="42" t="s">
        <v>12</v>
      </c>
      <c r="H70" s="114">
        <f>ROUND(C69/H69,6)</f>
        <v>5.8399999999999999E-4</v>
      </c>
      <c r="I70" s="115"/>
      <c r="N70" s="601"/>
      <c r="O70" s="601"/>
      <c r="P70" s="601"/>
      <c r="Q70" s="601"/>
      <c r="R70" s="601"/>
      <c r="S70" s="601"/>
      <c r="T70" s="605">
        <f>ROUND(P69/T69,6)</f>
        <v>0</v>
      </c>
      <c r="U70" s="605"/>
    </row>
    <row r="71" spans="1:22" x14ac:dyDescent="0.25">
      <c r="A71" s="442" t="s">
        <v>451</v>
      </c>
      <c r="N71" s="453" t="s">
        <v>459</v>
      </c>
      <c r="O71" s="51"/>
      <c r="P71" s="51"/>
      <c r="Q71" s="51"/>
      <c r="R71" s="51"/>
      <c r="S71" s="51"/>
      <c r="T71" s="51"/>
      <c r="U71" s="51"/>
    </row>
    <row r="72" spans="1:22" x14ac:dyDescent="0.25">
      <c r="A72" s="584" t="s">
        <v>404</v>
      </c>
      <c r="B72" s="578"/>
      <c r="C72" s="112">
        <f>H30</f>
        <v>120.7287</v>
      </c>
      <c r="D72" s="565" t="s">
        <v>415</v>
      </c>
      <c r="E72" s="565"/>
      <c r="F72" s="565"/>
      <c r="G72" s="565"/>
      <c r="H72" s="301">
        <f>'1461'!H72</f>
        <v>234891.44</v>
      </c>
      <c r="I72" s="116"/>
      <c r="N72" s="600" t="s">
        <v>408</v>
      </c>
      <c r="O72" s="601"/>
      <c r="P72" s="41">
        <f>T30</f>
        <v>0</v>
      </c>
      <c r="Q72" s="606" t="s">
        <v>410</v>
      </c>
      <c r="R72" s="607"/>
      <c r="S72" s="607"/>
      <c r="T72" s="604">
        <f>H72</f>
        <v>234891.44</v>
      </c>
      <c r="U72" s="604"/>
    </row>
    <row r="73" spans="1:22" x14ac:dyDescent="0.25">
      <c r="G73" s="42" t="s">
        <v>12</v>
      </c>
      <c r="H73" s="114">
        <f>ROUND(C72/H72,6)</f>
        <v>5.1400000000000003E-4</v>
      </c>
      <c r="I73" s="114"/>
      <c r="N73" s="601"/>
      <c r="O73" s="601"/>
      <c r="P73" s="601"/>
      <c r="Q73" s="601"/>
      <c r="R73" s="601"/>
      <c r="S73" s="601"/>
      <c r="T73" s="605">
        <f>ROUND(P72/T72,6)</f>
        <v>0</v>
      </c>
      <c r="U73" s="605"/>
    </row>
    <row r="74" spans="1:22" x14ac:dyDescent="0.25">
      <c r="A74" s="417" t="s">
        <v>452</v>
      </c>
      <c r="B74" s="414"/>
      <c r="C74" s="414"/>
      <c r="D74" s="414"/>
      <c r="E74" s="414"/>
      <c r="F74" s="414"/>
      <c r="G74" s="414"/>
      <c r="H74" s="414"/>
      <c r="I74" s="414"/>
      <c r="N74" s="416" t="s">
        <v>460</v>
      </c>
      <c r="O74" s="415"/>
      <c r="P74" s="415"/>
      <c r="Q74" s="415"/>
      <c r="R74" s="415"/>
      <c r="S74" s="415"/>
      <c r="T74" s="415"/>
      <c r="U74" s="415"/>
      <c r="V74" s="414"/>
    </row>
    <row r="75" spans="1:22" x14ac:dyDescent="0.25">
      <c r="A75" s="584" t="s">
        <v>405</v>
      </c>
      <c r="B75" s="578"/>
      <c r="C75" s="112">
        <f>E30</f>
        <v>122.75000000000001</v>
      </c>
      <c r="D75" s="557" t="s">
        <v>416</v>
      </c>
      <c r="E75" s="557"/>
      <c r="F75" s="557"/>
      <c r="G75" s="557"/>
      <c r="H75" s="300">
        <f>'1461'!H75</f>
        <v>187665.41</v>
      </c>
      <c r="I75" s="113"/>
      <c r="N75" s="600" t="s">
        <v>406</v>
      </c>
      <c r="O75" s="601"/>
      <c r="P75" s="41">
        <f>P30</f>
        <v>0</v>
      </c>
      <c r="Q75" s="636" t="s">
        <v>411</v>
      </c>
      <c r="R75" s="637"/>
      <c r="S75" s="637"/>
      <c r="T75" s="604">
        <f>H75</f>
        <v>187665.41</v>
      </c>
      <c r="U75" s="604"/>
    </row>
    <row r="76" spans="1:22" x14ac:dyDescent="0.25">
      <c r="B76" s="69"/>
      <c r="G76" s="42" t="s">
        <v>12</v>
      </c>
      <c r="H76" s="114">
        <f>ROUND(C75/H75,6)</f>
        <v>6.5399999999999996E-4</v>
      </c>
      <c r="I76" s="115"/>
      <c r="N76" s="601"/>
      <c r="O76" s="601"/>
      <c r="P76" s="601"/>
      <c r="Q76" s="601"/>
      <c r="R76" s="601"/>
      <c r="S76" s="601"/>
      <c r="T76" s="605">
        <f>ROUND(P75/T75,6)</f>
        <v>0</v>
      </c>
      <c r="U76" s="605"/>
    </row>
    <row r="77" spans="1:22" x14ac:dyDescent="0.25">
      <c r="A77" s="417" t="s">
        <v>453</v>
      </c>
      <c r="B77" s="414"/>
      <c r="C77" s="414"/>
      <c r="D77" s="414"/>
      <c r="E77" s="414"/>
      <c r="F77" s="414"/>
      <c r="G77" s="414"/>
      <c r="H77" s="414"/>
      <c r="I77" s="414"/>
      <c r="N77" s="416" t="s">
        <v>461</v>
      </c>
      <c r="O77" s="415"/>
      <c r="P77" s="415"/>
      <c r="Q77" s="415"/>
      <c r="R77" s="415"/>
      <c r="S77" s="415"/>
      <c r="T77" s="415"/>
      <c r="U77" s="415"/>
      <c r="V77" s="414"/>
    </row>
    <row r="78" spans="1:22" x14ac:dyDescent="0.25">
      <c r="A78" s="584" t="s">
        <v>405</v>
      </c>
      <c r="B78" s="578"/>
      <c r="C78" s="112">
        <f>E30</f>
        <v>122.75000000000001</v>
      </c>
      <c r="D78" s="585" t="s">
        <v>417</v>
      </c>
      <c r="E78" s="585"/>
      <c r="F78" s="585"/>
      <c r="G78" s="585"/>
      <c r="H78" s="300">
        <f>'1461'!H78</f>
        <v>209892.26</v>
      </c>
      <c r="I78" s="113"/>
      <c r="N78" s="600" t="s">
        <v>406</v>
      </c>
      <c r="O78" s="601"/>
      <c r="P78" s="41">
        <f>P30</f>
        <v>0</v>
      </c>
      <c r="Q78" s="634" t="s">
        <v>412</v>
      </c>
      <c r="R78" s="635"/>
      <c r="S78" s="635"/>
      <c r="T78" s="604">
        <f>H78</f>
        <v>209892.26</v>
      </c>
      <c r="U78" s="604"/>
    </row>
    <row r="79" spans="1:22" x14ac:dyDescent="0.25">
      <c r="B79" s="69"/>
      <c r="G79" s="42" t="s">
        <v>12</v>
      </c>
      <c r="H79" s="114">
        <f>ROUND(C78/H78,6)</f>
        <v>5.8500000000000002E-4</v>
      </c>
      <c r="I79" s="115"/>
      <c r="N79" s="601"/>
      <c r="O79" s="601"/>
      <c r="P79" s="601"/>
      <c r="Q79" s="601"/>
      <c r="R79" s="601"/>
      <c r="S79" s="601"/>
      <c r="T79" s="605">
        <f>ROUND(P78/T78,6)</f>
        <v>0</v>
      </c>
      <c r="U79" s="605"/>
    </row>
    <row r="80" spans="1:22" x14ac:dyDescent="0.25">
      <c r="A80" s="417" t="s">
        <v>454</v>
      </c>
      <c r="B80" s="414"/>
      <c r="C80" s="414"/>
      <c r="D80" s="414"/>
      <c r="E80" s="414"/>
      <c r="F80" s="414"/>
      <c r="G80" s="414"/>
      <c r="H80" s="414"/>
      <c r="I80" s="414"/>
      <c r="N80" s="416" t="s">
        <v>462</v>
      </c>
      <c r="O80" s="415"/>
      <c r="P80" s="415"/>
      <c r="Q80" s="415"/>
      <c r="R80" s="415"/>
      <c r="S80" s="415"/>
      <c r="T80" s="415"/>
      <c r="U80" s="415"/>
      <c r="V80" s="414"/>
    </row>
    <row r="81" spans="1:21" x14ac:dyDescent="0.25">
      <c r="A81" s="584" t="s">
        <v>413</v>
      </c>
      <c r="B81" s="578"/>
      <c r="C81" s="112">
        <f>E30</f>
        <v>122.75000000000001</v>
      </c>
      <c r="D81" s="557" t="s">
        <v>418</v>
      </c>
      <c r="E81" s="557"/>
      <c r="F81" s="557"/>
      <c r="G81" s="557"/>
      <c r="H81" s="300">
        <f>'1461'!H81</f>
        <v>187328.76</v>
      </c>
      <c r="I81" s="113"/>
      <c r="N81" s="600" t="s">
        <v>419</v>
      </c>
      <c r="O81" s="601"/>
      <c r="P81" s="41">
        <f>P30</f>
        <v>0</v>
      </c>
      <c r="Q81" s="636" t="s">
        <v>420</v>
      </c>
      <c r="R81" s="637"/>
      <c r="S81" s="637"/>
      <c r="T81" s="604">
        <f>H81</f>
        <v>187328.76</v>
      </c>
      <c r="U81" s="604"/>
    </row>
    <row r="82" spans="1:21" x14ac:dyDescent="0.25">
      <c r="B82" s="69"/>
      <c r="G82" s="42" t="s">
        <v>12</v>
      </c>
      <c r="H82" s="114">
        <f>ROUND(C81/H81,6)</f>
        <v>6.5499999999999998E-4</v>
      </c>
      <c r="I82" s="115"/>
      <c r="N82" s="601"/>
      <c r="O82" s="601"/>
      <c r="P82" s="601"/>
      <c r="Q82" s="601"/>
      <c r="R82" s="601"/>
      <c r="S82" s="601"/>
      <c r="T82" s="605">
        <f>ROUND(P81/T81,6)</f>
        <v>0</v>
      </c>
      <c r="U82" s="605"/>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455</v>
      </c>
      <c r="D85" s="69"/>
      <c r="E85" s="43" t="s">
        <v>299</v>
      </c>
      <c r="F85" s="302">
        <f>'1461'!F85</f>
        <v>46163704</v>
      </c>
      <c r="G85" s="37" t="s">
        <v>6</v>
      </c>
      <c r="H85" s="422">
        <f>H79</f>
        <v>5.8500000000000002E-4</v>
      </c>
      <c r="I85" s="101">
        <f>ROUND(F85*H85,2)</f>
        <v>27005.77</v>
      </c>
      <c r="N85" s="453" t="s">
        <v>455</v>
      </c>
      <c r="O85" s="51"/>
      <c r="P85" s="51"/>
      <c r="Q85" s="44"/>
      <c r="R85" s="419">
        <f>F85</f>
        <v>46163704</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87" t="s">
        <v>71</v>
      </c>
      <c r="B87" s="578"/>
      <c r="C87" s="578"/>
      <c r="D87" s="69"/>
      <c r="E87" s="43"/>
      <c r="F87" s="117"/>
      <c r="G87" s="37"/>
      <c r="H87" s="422"/>
      <c r="I87" s="101"/>
      <c r="N87" s="600" t="s">
        <v>463</v>
      </c>
      <c r="O87" s="601"/>
      <c r="P87" s="601"/>
      <c r="Q87" s="51"/>
      <c r="R87" s="420"/>
      <c r="S87" s="51"/>
      <c r="T87" s="38"/>
      <c r="U87" s="478"/>
    </row>
    <row r="88" spans="1:21" x14ac:dyDescent="0.25">
      <c r="A88" s="587" t="s">
        <v>99</v>
      </c>
      <c r="B88" s="578"/>
      <c r="C88" s="578"/>
      <c r="D88" s="69"/>
      <c r="E88" s="43" t="s">
        <v>3</v>
      </c>
      <c r="F88" s="302">
        <f>'1461'!F88</f>
        <v>0</v>
      </c>
      <c r="G88" s="37" t="s">
        <v>6</v>
      </c>
      <c r="H88" s="422">
        <f>H70</f>
        <v>5.8399999999999999E-4</v>
      </c>
      <c r="I88" s="101">
        <f>ROUND(F88*H88,2)</f>
        <v>0</v>
      </c>
      <c r="N88" s="638" t="s">
        <v>99</v>
      </c>
      <c r="O88" s="601"/>
      <c r="P88" s="601"/>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456</v>
      </c>
      <c r="D90" s="69"/>
      <c r="E90" s="43" t="s">
        <v>421</v>
      </c>
      <c r="F90" s="302">
        <f>'1461'!F90</f>
        <v>19042026</v>
      </c>
      <c r="G90" s="37" t="s">
        <v>6</v>
      </c>
      <c r="H90" s="422">
        <f>H82</f>
        <v>6.5499999999999998E-4</v>
      </c>
      <c r="I90" s="101">
        <f>ROUND(F90*H90,2)</f>
        <v>12472.53</v>
      </c>
      <c r="N90" s="453" t="s">
        <v>456</v>
      </c>
      <c r="O90" s="51"/>
      <c r="P90" s="51"/>
      <c r="Q90" s="44"/>
      <c r="R90" s="419">
        <f>F90</f>
        <v>19042026</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457</v>
      </c>
      <c r="D92" s="69"/>
      <c r="E92" s="43" t="s">
        <v>3</v>
      </c>
      <c r="F92" s="302">
        <f>'1461'!F92</f>
        <v>11441151</v>
      </c>
      <c r="G92" s="37" t="s">
        <v>6</v>
      </c>
      <c r="H92" s="422">
        <f>H76</f>
        <v>6.5399999999999996E-4</v>
      </c>
      <c r="I92" s="101">
        <f t="shared" ref="I92:I96" si="14">ROUND(F92*H92,2)</f>
        <v>7482.51</v>
      </c>
      <c r="N92" s="453" t="s">
        <v>457</v>
      </c>
      <c r="O92" s="51"/>
      <c r="P92" s="51"/>
      <c r="Q92" s="44"/>
      <c r="R92" s="419">
        <f t="shared" ref="R92:R96" si="15">F92</f>
        <v>11441151</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84" t="s">
        <v>422</v>
      </c>
      <c r="B94" s="578"/>
      <c r="C94" s="578"/>
      <c r="D94" s="69"/>
      <c r="E94" s="43" t="s">
        <v>4</v>
      </c>
      <c r="F94" s="302">
        <f>'1461'!F94</f>
        <v>247265670</v>
      </c>
      <c r="G94" s="37" t="s">
        <v>6</v>
      </c>
      <c r="H94" s="422">
        <f>H73</f>
        <v>5.1400000000000003E-4</v>
      </c>
      <c r="I94" s="101">
        <f t="shared" si="14"/>
        <v>127094.55</v>
      </c>
      <c r="N94" s="601" t="s">
        <v>422</v>
      </c>
      <c r="O94" s="601"/>
      <c r="P94" s="601"/>
      <c r="Q94" s="44"/>
      <c r="R94" s="419">
        <f t="shared" si="15"/>
        <v>247265670</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4" t="s">
        <v>423</v>
      </c>
      <c r="B96" s="578"/>
      <c r="C96" s="578"/>
      <c r="D96" s="69"/>
      <c r="E96" s="43" t="s">
        <v>4</v>
      </c>
      <c r="F96" s="302">
        <f>'1461'!F96</f>
        <v>0</v>
      </c>
      <c r="G96" s="37" t="s">
        <v>6</v>
      </c>
      <c r="H96" s="422">
        <f>H73</f>
        <v>5.1400000000000003E-4</v>
      </c>
      <c r="I96" s="101">
        <f t="shared" si="14"/>
        <v>0</v>
      </c>
      <c r="N96" s="600" t="s">
        <v>423</v>
      </c>
      <c r="O96" s="601"/>
      <c r="P96" s="601"/>
      <c r="Q96" s="44"/>
      <c r="R96" s="419">
        <f t="shared" si="15"/>
        <v>0</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530" t="s">
        <v>497</v>
      </c>
      <c r="B98" s="529"/>
      <c r="C98" s="529"/>
      <c r="D98" s="529"/>
      <c r="E98" s="527" t="s">
        <v>3</v>
      </c>
      <c r="F98" s="290">
        <v>0</v>
      </c>
      <c r="G98" s="528" t="s">
        <v>6</v>
      </c>
      <c r="H98" s="422">
        <f>H70</f>
        <v>5.8399999999999999E-4</v>
      </c>
      <c r="I98" s="101">
        <f t="shared" ref="I98" si="16">ROUND(F98*H98,2)</f>
        <v>0</v>
      </c>
      <c r="N98" s="533" t="s">
        <v>497</v>
      </c>
      <c r="O98" s="533"/>
      <c r="P98" s="533"/>
      <c r="Q98" s="44"/>
      <c r="R98" s="536">
        <f>F98</f>
        <v>0</v>
      </c>
      <c r="S98" s="534" t="s">
        <v>6</v>
      </c>
      <c r="T98" s="421">
        <f>T70</f>
        <v>0</v>
      </c>
      <c r="U98" s="473">
        <f>ROUND(R98*T98,2)</f>
        <v>0</v>
      </c>
    </row>
    <row r="99" spans="1:21" x14ac:dyDescent="0.25">
      <c r="A99" s="530"/>
      <c r="B99" s="529"/>
      <c r="C99" s="529"/>
      <c r="D99" s="529"/>
      <c r="E99" s="527"/>
      <c r="F99" s="276"/>
      <c r="G99" s="528"/>
      <c r="H99" s="422"/>
      <c r="I99" s="101"/>
      <c r="N99" s="533"/>
      <c r="O99" s="533"/>
      <c r="P99" s="533"/>
      <c r="Q99" s="44"/>
      <c r="R99" s="535"/>
      <c r="S99" s="534"/>
      <c r="T99" s="421"/>
      <c r="U99" s="477"/>
    </row>
    <row r="100" spans="1:21" x14ac:dyDescent="0.25">
      <c r="A100" s="530"/>
      <c r="B100" s="529"/>
      <c r="C100" s="529"/>
      <c r="D100" s="529"/>
      <c r="E100" s="527"/>
      <c r="F100" s="276"/>
      <c r="G100" s="528"/>
      <c r="H100" s="422"/>
      <c r="I100" s="101"/>
      <c r="N100" s="533"/>
      <c r="O100" s="533"/>
      <c r="P100" s="533"/>
      <c r="Q100" s="44"/>
      <c r="R100" s="420"/>
      <c r="S100" s="534"/>
      <c r="T100" s="421"/>
      <c r="U100" s="103"/>
    </row>
    <row r="101" spans="1:21" x14ac:dyDescent="0.25">
      <c r="A101" s="399" t="s">
        <v>498</v>
      </c>
      <c r="N101" s="407" t="s">
        <v>498</v>
      </c>
      <c r="O101" s="51"/>
      <c r="P101" s="51"/>
      <c r="Q101" s="51"/>
      <c r="R101" s="51"/>
      <c r="S101" s="51"/>
      <c r="T101" s="51"/>
      <c r="U101" s="51"/>
    </row>
    <row r="102" spans="1:21" x14ac:dyDescent="0.25">
      <c r="B102" s="69"/>
      <c r="C102" s="563" t="s">
        <v>60</v>
      </c>
      <c r="D102" s="563"/>
      <c r="E102" s="69"/>
      <c r="F102" s="39" t="s">
        <v>28</v>
      </c>
      <c r="G102" s="69"/>
      <c r="H102" s="69"/>
      <c r="I102" s="69"/>
      <c r="N102" s="45"/>
      <c r="O102" s="45"/>
      <c r="P102" s="45"/>
      <c r="Q102" s="45"/>
      <c r="R102" s="45"/>
      <c r="S102" s="45"/>
      <c r="T102" s="45"/>
      <c r="U102" s="45"/>
    </row>
    <row r="103" spans="1:21" x14ac:dyDescent="0.25">
      <c r="A103" s="3"/>
      <c r="B103" s="118"/>
      <c r="C103" s="564" t="s">
        <v>101</v>
      </c>
      <c r="D103" s="564"/>
      <c r="E103" s="423" t="s">
        <v>426</v>
      </c>
      <c r="F103" s="120" t="s">
        <v>106</v>
      </c>
      <c r="G103" s="121"/>
      <c r="H103" s="121"/>
      <c r="I103" s="121"/>
      <c r="N103" s="631" t="s">
        <v>35</v>
      </c>
      <c r="O103" s="631"/>
      <c r="P103" s="672" t="s">
        <v>428</v>
      </c>
      <c r="Q103" s="633"/>
      <c r="R103" s="604" t="s">
        <v>31</v>
      </c>
      <c r="S103" s="604"/>
      <c r="T103" s="604"/>
      <c r="U103" s="604"/>
    </row>
    <row r="104" spans="1:21" x14ac:dyDescent="0.25">
      <c r="A104" s="26"/>
      <c r="B104" s="52" t="s">
        <v>105</v>
      </c>
      <c r="C104" s="596">
        <f>H14+H15+H20+H23+H26</f>
        <v>0</v>
      </c>
      <c r="D104" s="596"/>
      <c r="E104" s="46">
        <f>H8</f>
        <v>1.0407999999999999</v>
      </c>
      <c r="F104" s="303">
        <f>'1461'!F104</f>
        <v>950.92</v>
      </c>
      <c r="G104" s="39" t="s">
        <v>12</v>
      </c>
      <c r="H104" s="101">
        <f>ROUND(C104*E104*F104,2)</f>
        <v>0</v>
      </c>
      <c r="I104" s="104"/>
      <c r="N104" s="28" t="s">
        <v>17</v>
      </c>
      <c r="O104" s="47">
        <f>T14+T15+T20+T23+T26</f>
        <v>0</v>
      </c>
      <c r="P104" s="611">
        <f>T8</f>
        <v>1.0407999999999999</v>
      </c>
      <c r="Q104" s="611"/>
      <c r="R104" s="48">
        <f>F104</f>
        <v>950.92</v>
      </c>
      <c r="S104" s="40" t="s">
        <v>12</v>
      </c>
      <c r="T104" s="479">
        <f>ROUND(O104*P104*R104,2)</f>
        <v>0</v>
      </c>
      <c r="U104" s="102"/>
    </row>
    <row r="105" spans="1:21" x14ac:dyDescent="0.25">
      <c r="A105" s="49"/>
      <c r="B105" s="49" t="s">
        <v>104</v>
      </c>
      <c r="C105" s="596">
        <f>H16+H17+H21+H24+H27</f>
        <v>12.370000000000001</v>
      </c>
      <c r="D105" s="596"/>
      <c r="E105" s="46">
        <f>H8</f>
        <v>1.0407999999999999</v>
      </c>
      <c r="F105" s="303">
        <f>'1461'!F105</f>
        <v>907.92</v>
      </c>
      <c r="G105" s="39" t="s">
        <v>12</v>
      </c>
      <c r="H105" s="101">
        <f>ROUND(C105*E105*F105,2)</f>
        <v>11689.19</v>
      </c>
      <c r="N105" s="50" t="s">
        <v>13</v>
      </c>
      <c r="O105" s="47">
        <f>T16+T17+T21+T24+T27</f>
        <v>0</v>
      </c>
      <c r="P105" s="611">
        <f>T8</f>
        <v>1.0407999999999999</v>
      </c>
      <c r="Q105" s="611"/>
      <c r="R105" s="48">
        <f>F105</f>
        <v>907.92</v>
      </c>
      <c r="S105" s="40" t="s">
        <v>12</v>
      </c>
      <c r="T105" s="479">
        <f>ROUND(O105*P105*R105,2)</f>
        <v>0</v>
      </c>
      <c r="U105" s="51"/>
    </row>
    <row r="106" spans="1:21" ht="16.5" thickBot="1" x14ac:dyDescent="0.3">
      <c r="A106" s="52"/>
      <c r="B106" s="52" t="s">
        <v>103</v>
      </c>
      <c r="C106" s="596">
        <f>H18+H19+H22+H25+H28+H29</f>
        <v>108.3587</v>
      </c>
      <c r="D106" s="596"/>
      <c r="E106" s="46">
        <f>H8</f>
        <v>1.0407999999999999</v>
      </c>
      <c r="F106" s="303">
        <f>'1461'!F106</f>
        <v>910.12</v>
      </c>
      <c r="G106" s="39" t="s">
        <v>12</v>
      </c>
      <c r="H106" s="94">
        <f>ROUND(C106*E106*F106,2)</f>
        <v>102643.09</v>
      </c>
      <c r="N106" s="53" t="s">
        <v>14</v>
      </c>
      <c r="O106" s="54">
        <f>T18+T19+T22+T25+T28+T29</f>
        <v>0</v>
      </c>
      <c r="P106" s="611">
        <f>T8</f>
        <v>1.0407999999999999</v>
      </c>
      <c r="Q106" s="611"/>
      <c r="R106" s="48">
        <f>F106</f>
        <v>910.12</v>
      </c>
      <c r="S106" s="40" t="s">
        <v>12</v>
      </c>
      <c r="T106" s="479">
        <f>ROUND(O106*P106*R106,2)</f>
        <v>0</v>
      </c>
      <c r="U106" s="51"/>
    </row>
    <row r="107" spans="1:21" ht="16.5" thickBot="1" x14ac:dyDescent="0.3">
      <c r="A107" s="55"/>
      <c r="B107" s="122" t="s">
        <v>102</v>
      </c>
      <c r="C107" s="586">
        <f>SUM(C104:C106)</f>
        <v>120.7287</v>
      </c>
      <c r="D107" s="586"/>
      <c r="E107" s="123"/>
      <c r="F107" s="123"/>
      <c r="G107" s="123"/>
      <c r="H107" s="124" t="s">
        <v>100</v>
      </c>
      <c r="I107" s="101">
        <f>IF(A1=75,0,H106+H105+H104)</f>
        <v>114332.28</v>
      </c>
      <c r="N107" s="56" t="s">
        <v>89</v>
      </c>
      <c r="O107" s="57">
        <f>SUM(O104:O106)</f>
        <v>0</v>
      </c>
      <c r="P107" s="612" t="s">
        <v>16</v>
      </c>
      <c r="Q107" s="613"/>
      <c r="R107" s="613"/>
      <c r="S107" s="613"/>
      <c r="T107" s="613"/>
      <c r="U107" s="473">
        <f>IF(N1=75,0,T106+T105+T104)</f>
        <v>0</v>
      </c>
    </row>
    <row r="108" spans="1:21" ht="16.5" thickTop="1" x14ac:dyDescent="0.25">
      <c r="A108" s="555" t="s">
        <v>65</v>
      </c>
      <c r="B108" s="555"/>
      <c r="C108" s="555"/>
      <c r="D108" s="555"/>
      <c r="E108" s="555"/>
      <c r="F108" s="555"/>
      <c r="G108" s="555"/>
      <c r="H108" s="555"/>
      <c r="I108" s="555"/>
      <c r="N108" s="614" t="s">
        <v>65</v>
      </c>
      <c r="O108" s="614"/>
      <c r="P108" s="614"/>
      <c r="Q108" s="614"/>
      <c r="R108" s="614"/>
      <c r="S108" s="614"/>
      <c r="T108" s="614"/>
      <c r="U108" s="614"/>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0" t="s">
        <v>499</v>
      </c>
      <c r="C110" s="43"/>
      <c r="D110" s="69"/>
      <c r="E110" s="43" t="s">
        <v>32</v>
      </c>
      <c r="F110" s="556"/>
      <c r="G110" s="556"/>
      <c r="H110" s="556"/>
      <c r="I110" s="556"/>
      <c r="N110" s="600" t="s">
        <v>499</v>
      </c>
      <c r="O110" s="601"/>
      <c r="P110" s="601"/>
      <c r="Q110" s="615"/>
      <c r="R110" s="615"/>
      <c r="S110" s="615"/>
      <c r="T110" s="615"/>
      <c r="U110" s="103"/>
    </row>
    <row r="111" spans="1:21" x14ac:dyDescent="0.25">
      <c r="B111" s="69"/>
      <c r="C111" s="88" t="s">
        <v>494</v>
      </c>
      <c r="D111" s="333" t="s">
        <v>495</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57" t="s">
        <v>381</v>
      </c>
      <c r="B113" s="558"/>
      <c r="C113" s="143">
        <v>103</v>
      </c>
      <c r="D113" s="143">
        <v>96</v>
      </c>
      <c r="E113" s="116">
        <f>(C113+D113)/2</f>
        <v>99.5</v>
      </c>
      <c r="F113" s="126" t="s">
        <v>30</v>
      </c>
      <c r="G113" s="304">
        <f>'1461'!G113</f>
        <v>576</v>
      </c>
      <c r="I113" s="101">
        <f>ROUND(G113*E113,2)</f>
        <v>57312</v>
      </c>
      <c r="N113" s="630" t="s">
        <v>52</v>
      </c>
      <c r="O113" s="630"/>
      <c r="P113" s="610">
        <f>IF(H133=1,E113,0)</f>
        <v>0</v>
      </c>
      <c r="Q113" s="610"/>
      <c r="R113" s="610"/>
      <c r="S113" s="83" t="s">
        <v>30</v>
      </c>
      <c r="T113" s="58">
        <f>G113</f>
        <v>576</v>
      </c>
      <c r="U113" s="473">
        <f>ROUND(T113*P113,2)</f>
        <v>0</v>
      </c>
    </row>
    <row r="114" spans="1:21" x14ac:dyDescent="0.25">
      <c r="A114" s="557" t="s">
        <v>382</v>
      </c>
      <c r="B114" s="558"/>
      <c r="C114" s="143">
        <v>0</v>
      </c>
      <c r="D114" s="143">
        <v>0</v>
      </c>
      <c r="E114" s="116">
        <f>(C114+D114)/2</f>
        <v>0</v>
      </c>
      <c r="F114" s="126" t="s">
        <v>30</v>
      </c>
      <c r="G114" s="304">
        <f>'1461'!G114</f>
        <v>1823</v>
      </c>
      <c r="I114" s="101">
        <f>ROUND(G114*E114,2)</f>
        <v>0</v>
      </c>
      <c r="N114" s="630" t="s">
        <v>64</v>
      </c>
      <c r="O114" s="630"/>
      <c r="P114" s="608"/>
      <c r="Q114" s="608"/>
      <c r="R114" s="608"/>
      <c r="S114" s="83" t="s">
        <v>30</v>
      </c>
      <c r="T114" s="58">
        <f>G114</f>
        <v>1823</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4" t="s">
        <v>430</v>
      </c>
      <c r="B117" s="578"/>
      <c r="C117" s="578"/>
      <c r="D117" s="69"/>
      <c r="E117" s="39" t="s">
        <v>300</v>
      </c>
      <c r="F117" s="563"/>
      <c r="G117" s="563"/>
      <c r="H117" s="563"/>
      <c r="I117" s="563"/>
      <c r="N117" s="600" t="s">
        <v>431</v>
      </c>
      <c r="O117" s="601"/>
      <c r="P117" s="601"/>
      <c r="Q117" s="601"/>
      <c r="R117" s="601"/>
      <c r="S117" s="601"/>
      <c r="T117" s="601"/>
      <c r="U117" s="601"/>
    </row>
    <row r="118" spans="1:21" hidden="1" x14ac:dyDescent="0.25">
      <c r="B118" s="69"/>
      <c r="C118" s="564" t="s">
        <v>66</v>
      </c>
      <c r="D118" s="564"/>
      <c r="E118" s="564"/>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5" t="s">
        <v>109</v>
      </c>
      <c r="G119" s="563"/>
      <c r="H119" s="37" t="s">
        <v>29</v>
      </c>
      <c r="I119" s="37"/>
      <c r="N119" s="45"/>
      <c r="O119" s="45"/>
      <c r="P119" s="45"/>
      <c r="Q119" s="45"/>
      <c r="R119" s="45"/>
      <c r="S119" s="45"/>
      <c r="T119" s="45"/>
      <c r="U119" s="45"/>
    </row>
    <row r="120" spans="1:21" hidden="1" x14ac:dyDescent="0.25">
      <c r="A120" s="564" t="s">
        <v>69</v>
      </c>
      <c r="B120" s="564"/>
      <c r="C120" s="90" t="s">
        <v>2</v>
      </c>
      <c r="D120" s="90" t="s">
        <v>2</v>
      </c>
      <c r="E120" s="59" t="s">
        <v>2</v>
      </c>
      <c r="F120" s="564" t="s">
        <v>28</v>
      </c>
      <c r="G120" s="564"/>
      <c r="H120" s="59" t="s">
        <v>28</v>
      </c>
      <c r="I120" s="59" t="s">
        <v>8</v>
      </c>
      <c r="N120" s="609" t="s">
        <v>53</v>
      </c>
      <c r="O120" s="609"/>
      <c r="P120" s="610" t="s">
        <v>66</v>
      </c>
      <c r="Q120" s="610"/>
      <c r="R120" s="609" t="s">
        <v>54</v>
      </c>
      <c r="S120" s="609"/>
      <c r="T120" s="60" t="s">
        <v>55</v>
      </c>
      <c r="U120" s="60" t="s">
        <v>8</v>
      </c>
    </row>
    <row r="121" spans="1:21" hidden="1" x14ac:dyDescent="0.25">
      <c r="A121" s="561" t="s">
        <v>56</v>
      </c>
      <c r="B121" s="561"/>
      <c r="C121" s="141">
        <v>0</v>
      </c>
      <c r="D121" s="141">
        <v>0</v>
      </c>
      <c r="E121" s="187">
        <f>IF(D30=0,C121*2,C121+D121)</f>
        <v>0</v>
      </c>
      <c r="F121" s="562">
        <v>0</v>
      </c>
      <c r="G121" s="562"/>
      <c r="H121" s="224">
        <f>IF(C121=0,0,125)</f>
        <v>0</v>
      </c>
      <c r="I121" s="101">
        <f>ROUND((H121+F121)*E121,2)</f>
        <v>0</v>
      </c>
      <c r="N121" s="601" t="s">
        <v>56</v>
      </c>
      <c r="O121" s="601"/>
      <c r="P121" s="608">
        <f>IF(H$133=1,C121,0)</f>
        <v>0</v>
      </c>
      <c r="Q121" s="608"/>
      <c r="R121" s="628">
        <f>F121</f>
        <v>0</v>
      </c>
      <c r="S121" s="628"/>
      <c r="T121" s="62">
        <f>H121</f>
        <v>0</v>
      </c>
      <c r="U121" s="96">
        <f>ROUND((T121+R121)*P121,0)</f>
        <v>0</v>
      </c>
    </row>
    <row r="122" spans="1:21" hidden="1" x14ac:dyDescent="0.25">
      <c r="A122" s="581" t="s">
        <v>57</v>
      </c>
      <c r="B122" s="581"/>
      <c r="C122" s="143">
        <v>0</v>
      </c>
      <c r="D122" s="143">
        <v>0</v>
      </c>
      <c r="E122" s="116">
        <f>IF(D31=0,C122*2,C122+D122)</f>
        <v>0</v>
      </c>
      <c r="F122" s="598">
        <f>ROUND(F121/2,2)</f>
        <v>0</v>
      </c>
      <c r="G122" s="598"/>
      <c r="H122" s="224">
        <f>IF(C122=0,0,62.5)</f>
        <v>0</v>
      </c>
      <c r="I122" s="101">
        <f>ROUND((H122+F122)*E122,2)</f>
        <v>0</v>
      </c>
      <c r="N122" s="601" t="s">
        <v>57</v>
      </c>
      <c r="O122" s="601"/>
      <c r="P122" s="608">
        <f>IF(H$133=1,C122,0)</f>
        <v>0</v>
      </c>
      <c r="Q122" s="608"/>
      <c r="R122" s="629">
        <f>ROUND(R121/2,2)</f>
        <v>0</v>
      </c>
      <c r="S122" s="629"/>
      <c r="T122" s="62">
        <f>H122</f>
        <v>0</v>
      </c>
      <c r="U122" s="96">
        <f>ROUND((T122+R122)*P122,0)</f>
        <v>0</v>
      </c>
    </row>
    <row r="123" spans="1:21" ht="16.5" hidden="1" thickBot="1" x14ac:dyDescent="0.3">
      <c r="A123" s="581" t="s">
        <v>58</v>
      </c>
      <c r="B123" s="581"/>
      <c r="C123" s="143">
        <v>0</v>
      </c>
      <c r="D123" s="143">
        <v>0</v>
      </c>
      <c r="E123" s="116">
        <f>IF(D32=0,C123*2,C123+D123)</f>
        <v>0</v>
      </c>
      <c r="F123" s="599"/>
      <c r="G123" s="599"/>
      <c r="H123" s="225">
        <f>IF(H121&gt;0,436,0)</f>
        <v>0</v>
      </c>
      <c r="I123" s="101">
        <f>ROUND(H123*E123,2)</f>
        <v>0</v>
      </c>
      <c r="N123" s="616" t="s">
        <v>58</v>
      </c>
      <c r="O123" s="616"/>
      <c r="P123" s="608">
        <f>IF(H$133=1,C123,0)</f>
        <v>0</v>
      </c>
      <c r="Q123" s="608"/>
      <c r="R123" s="609"/>
      <c r="S123" s="609"/>
      <c r="T123" s="64">
        <f>H123</f>
        <v>0</v>
      </c>
      <c r="U123" s="103">
        <f>ROUND(T123*P123,0)</f>
        <v>0</v>
      </c>
    </row>
    <row r="124" spans="1:21" ht="16.5" hidden="1" thickBot="1" x14ac:dyDescent="0.3">
      <c r="A124" s="563" t="s">
        <v>8</v>
      </c>
      <c r="B124" s="563"/>
      <c r="C124" s="65"/>
      <c r="D124" s="65"/>
      <c r="E124" s="65"/>
      <c r="F124" s="65"/>
      <c r="G124" s="65"/>
      <c r="H124" s="65"/>
      <c r="I124" s="97">
        <f>SUM(I121:I123)</f>
        <v>0</v>
      </c>
      <c r="N124" s="627" t="s">
        <v>8</v>
      </c>
      <c r="O124" s="627"/>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4" t="s">
        <v>432</v>
      </c>
      <c r="B126" s="578"/>
      <c r="C126" s="578"/>
      <c r="D126" s="69"/>
      <c r="E126" s="68" t="s">
        <v>34</v>
      </c>
      <c r="F126" s="597"/>
      <c r="G126" s="597"/>
      <c r="H126" s="597"/>
      <c r="I126" s="154">
        <v>0</v>
      </c>
      <c r="N126" s="600" t="s">
        <v>432</v>
      </c>
      <c r="O126" s="601"/>
      <c r="P126" s="601"/>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90" t="s">
        <v>8</v>
      </c>
      <c r="B128" s="590"/>
      <c r="C128" s="590"/>
      <c r="D128" s="590"/>
      <c r="E128" s="590"/>
      <c r="F128" s="590"/>
      <c r="G128" s="590"/>
      <c r="H128" s="590"/>
      <c r="I128" s="94">
        <f>SUM(I46,I66,I85,I88,I90,I92,I94,I96,I107,I113,I114,I124,I126)</f>
        <v>1039123.8500000001</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434</v>
      </c>
      <c r="B130" s="26"/>
      <c r="C130" s="26"/>
      <c r="D130" s="26"/>
      <c r="E130" s="26"/>
      <c r="F130" s="26"/>
      <c r="G130" s="26"/>
      <c r="H130" s="26"/>
      <c r="I130" s="101">
        <f>I128-I53</f>
        <v>999401.08000000007</v>
      </c>
      <c r="N130" s="601" t="s">
        <v>434</v>
      </c>
      <c r="O130" s="601"/>
      <c r="P130" s="601"/>
      <c r="Q130" s="601"/>
      <c r="R130" s="601"/>
      <c r="S130" s="601"/>
      <c r="T130" s="601"/>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4" t="s">
        <v>502</v>
      </c>
      <c r="B132" s="578"/>
      <c r="C132" s="578"/>
      <c r="D132" s="578"/>
      <c r="E132" s="578"/>
      <c r="F132" s="578"/>
      <c r="G132" s="578"/>
      <c r="H132" s="81" t="s">
        <v>333</v>
      </c>
      <c r="I132" s="134"/>
      <c r="N132" s="600" t="s">
        <v>502</v>
      </c>
      <c r="O132" s="601"/>
      <c r="P132" s="601"/>
      <c r="Q132" s="601"/>
      <c r="R132" s="601"/>
      <c r="S132" s="601"/>
      <c r="T132" s="601"/>
      <c r="U132" s="138"/>
    </row>
    <row r="133" spans="1:21" x14ac:dyDescent="0.25">
      <c r="A133" s="578" t="s">
        <v>70</v>
      </c>
      <c r="B133" s="578"/>
      <c r="C133" s="578"/>
      <c r="D133" s="578"/>
      <c r="E133" s="578"/>
      <c r="F133" s="578"/>
      <c r="G133" s="578"/>
      <c r="H133" s="70" t="str">
        <f>IF(E30=0,"",IF((E15+E17+SUM(E19:E25))/E30&gt;0.75,1,""))</f>
        <v/>
      </c>
      <c r="I133" s="116">
        <f>U130</f>
        <v>0</v>
      </c>
      <c r="N133" s="601" t="s">
        <v>70</v>
      </c>
      <c r="O133" s="601"/>
      <c r="P133" s="601"/>
      <c r="Q133" s="601"/>
      <c r="R133" s="601"/>
      <c r="S133" s="601"/>
      <c r="T133" s="601"/>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999401.08000000007</v>
      </c>
      <c r="I135" s="94">
        <f>ROUND(IF(E30=0,0,IF(E30&gt;250,-(((250/E30)*H135)*IF(G135="H",0.02,0.05)),IF(G135="H",-0.02*H135,-0.05*H135))),2)</f>
        <v>-49970.05</v>
      </c>
      <c r="N135" s="626"/>
      <c r="O135" s="626"/>
      <c r="P135" s="626"/>
      <c r="Q135" s="626"/>
      <c r="R135" s="626"/>
      <c r="S135" s="626"/>
      <c r="T135" s="626"/>
      <c r="U135" s="626"/>
    </row>
    <row r="136" spans="1:21" x14ac:dyDescent="0.25">
      <c r="B136" s="69"/>
      <c r="C136" s="69"/>
      <c r="D136" s="69"/>
      <c r="E136" s="69"/>
      <c r="F136" s="69"/>
      <c r="G136" s="69"/>
      <c r="H136" s="65"/>
      <c r="I136" s="101"/>
      <c r="N136" s="624" t="s">
        <v>7</v>
      </c>
      <c r="O136" s="624"/>
      <c r="P136" s="624"/>
      <c r="Q136" s="624"/>
      <c r="R136" s="624"/>
      <c r="S136" s="624"/>
      <c r="T136" s="624"/>
      <c r="U136" s="624"/>
    </row>
    <row r="137" spans="1:21" x14ac:dyDescent="0.25">
      <c r="A137" s="309" t="s">
        <v>74</v>
      </c>
      <c r="B137" s="310"/>
      <c r="C137" s="310"/>
      <c r="D137" s="310"/>
      <c r="E137" s="310"/>
      <c r="F137" s="310"/>
      <c r="G137" s="310"/>
      <c r="H137" s="311"/>
      <c r="I137" s="312">
        <f>I128+I135</f>
        <v>989153.8</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Payments'!Q84</f>
        <v>0</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989153.8</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82429.48</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372</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373</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374</v>
      </c>
      <c r="B155" s="252"/>
      <c r="C155" s="252"/>
      <c r="D155" s="252"/>
      <c r="E155" s="252"/>
      <c r="F155" s="252"/>
      <c r="G155" s="252"/>
      <c r="H155" s="252"/>
      <c r="I155" s="252"/>
      <c r="N155" s="625"/>
      <c r="O155" s="625"/>
      <c r="P155" s="625"/>
      <c r="Q155" s="625"/>
      <c r="R155" s="625"/>
      <c r="S155" s="625"/>
      <c r="T155" s="625"/>
      <c r="U155" s="625"/>
    </row>
    <row r="156" spans="1:21" s="76" customFormat="1" x14ac:dyDescent="0.2">
      <c r="A156" s="320" t="s">
        <v>375</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376</v>
      </c>
      <c r="B157" s="252"/>
      <c r="C157" s="252"/>
      <c r="D157" s="252"/>
      <c r="E157" s="252"/>
      <c r="F157" s="252"/>
      <c r="G157" s="252"/>
      <c r="H157" s="252"/>
      <c r="I157" s="252"/>
      <c r="N157" s="78"/>
      <c r="O157" s="79"/>
      <c r="P157" s="79"/>
      <c r="Q157" s="79"/>
      <c r="R157" s="79"/>
      <c r="S157" s="79"/>
      <c r="T157" s="79"/>
      <c r="U157" s="79"/>
    </row>
    <row r="158" spans="1:21" s="76" customFormat="1" x14ac:dyDescent="0.2">
      <c r="A158" s="320" t="s">
        <v>377</v>
      </c>
      <c r="B158" s="252"/>
      <c r="C158" s="252"/>
      <c r="D158" s="252"/>
      <c r="E158" s="252"/>
      <c r="F158" s="252"/>
      <c r="G158" s="252"/>
      <c r="H158" s="252"/>
      <c r="I158" s="252"/>
      <c r="N158" s="78"/>
    </row>
    <row r="159" spans="1:21" s="76" customFormat="1" x14ac:dyDescent="0.2">
      <c r="A159" s="320" t="s">
        <v>379</v>
      </c>
      <c r="B159" s="252"/>
      <c r="C159" s="252"/>
      <c r="D159" s="252"/>
      <c r="E159" s="252"/>
      <c r="F159" s="252"/>
      <c r="G159" s="252"/>
      <c r="H159" s="252"/>
      <c r="I159" s="252"/>
      <c r="N159" s="78"/>
    </row>
    <row r="160" spans="1:21" s="76" customFormat="1" x14ac:dyDescent="0.2">
      <c r="A160" s="385" t="s">
        <v>378</v>
      </c>
      <c r="B160" s="252"/>
      <c r="C160" s="252"/>
      <c r="D160" s="252"/>
      <c r="E160" s="252"/>
      <c r="F160" s="252"/>
      <c r="G160" s="252"/>
      <c r="H160" s="252"/>
      <c r="I160" s="252"/>
      <c r="N160" s="78"/>
    </row>
    <row r="161" spans="1:14" s="76" customFormat="1" x14ac:dyDescent="0.2">
      <c r="A161" s="320" t="s">
        <v>380</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383</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385</v>
      </c>
      <c r="B165" s="293"/>
      <c r="C165" s="293"/>
      <c r="D165" s="293"/>
      <c r="E165" s="293"/>
      <c r="F165" s="293"/>
      <c r="G165" s="293"/>
      <c r="H165" s="293"/>
      <c r="I165" s="293"/>
      <c r="N165" s="78"/>
    </row>
    <row r="166" spans="1:14" s="76" customFormat="1" ht="15.75" customHeight="1" x14ac:dyDescent="0.2">
      <c r="A166" s="351" t="s">
        <v>384</v>
      </c>
      <c r="B166" s="293"/>
      <c r="C166" s="293"/>
      <c r="D166" s="293"/>
      <c r="E166" s="293"/>
      <c r="F166" s="293"/>
      <c r="G166" s="293"/>
      <c r="H166" s="293"/>
      <c r="I166" s="293"/>
      <c r="N166" s="78"/>
    </row>
    <row r="167" spans="1:14" s="76" customFormat="1" ht="15.75" customHeight="1" x14ac:dyDescent="0.2">
      <c r="A167" s="320" t="s">
        <v>386</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388</v>
      </c>
      <c r="B169" s="343"/>
      <c r="C169" s="343"/>
      <c r="D169" s="343"/>
      <c r="E169" s="343"/>
      <c r="F169" s="343"/>
      <c r="G169" s="343"/>
      <c r="H169" s="343"/>
      <c r="I169" s="343"/>
      <c r="N169" s="78"/>
    </row>
    <row r="170" spans="1:14" s="76" customFormat="1" ht="15.75" customHeight="1" x14ac:dyDescent="0.2">
      <c r="A170" s="351" t="s">
        <v>387</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389</v>
      </c>
      <c r="B175" s="293"/>
      <c r="C175" s="293"/>
      <c r="D175" s="293"/>
      <c r="E175" s="293"/>
      <c r="F175" s="293"/>
      <c r="G175" s="293"/>
      <c r="H175" s="293"/>
      <c r="I175" s="293"/>
      <c r="J175" s="3"/>
      <c r="K175" s="3"/>
      <c r="L175" s="3"/>
      <c r="M175" s="3"/>
      <c r="N175" s="78"/>
    </row>
    <row r="176" spans="1:14" s="76" customFormat="1" ht="15.75" customHeight="1" x14ac:dyDescent="0.2">
      <c r="A176" s="361" t="s">
        <v>390</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7">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6" t="s">
        <v>15</v>
      </c>
      <c r="C1" s="567"/>
      <c r="D1" s="567"/>
      <c r="E1" s="567"/>
      <c r="F1" s="567"/>
      <c r="G1" s="567"/>
      <c r="H1" s="567"/>
      <c r="I1" s="567"/>
      <c r="J1" s="135"/>
      <c r="K1" s="135"/>
      <c r="L1" s="135"/>
      <c r="N1" s="82">
        <f>A1</f>
        <v>0</v>
      </c>
      <c r="O1" s="658" t="s">
        <v>15</v>
      </c>
      <c r="P1" s="659"/>
      <c r="Q1" s="659"/>
      <c r="R1" s="659"/>
      <c r="S1" s="659"/>
      <c r="T1" s="659"/>
      <c r="U1" s="659"/>
    </row>
    <row r="2" spans="1:21" ht="21" x14ac:dyDescent="0.35">
      <c r="A2" s="1" t="s">
        <v>113</v>
      </c>
      <c r="B2" s="2"/>
      <c r="C2" s="2"/>
      <c r="D2" s="2"/>
      <c r="E2" s="2"/>
      <c r="F2" s="2"/>
      <c r="G2" s="2"/>
      <c r="H2" s="2"/>
      <c r="I2" s="2"/>
      <c r="N2" s="660" t="s">
        <v>18</v>
      </c>
      <c r="O2" s="660"/>
      <c r="P2" s="660"/>
      <c r="Q2" s="660"/>
      <c r="R2" s="660"/>
      <c r="S2" s="660"/>
      <c r="T2" s="660"/>
      <c r="U2" s="660"/>
    </row>
    <row r="3" spans="1:21" x14ac:dyDescent="0.25">
      <c r="A3" s="81" t="str">
        <f>'1461'!A3</f>
        <v>Based on the FLDOE 2024-25 Conference Calculation</v>
      </c>
      <c r="N3" s="627" t="str">
        <f>A3</f>
        <v>Based on the FLDOE 2024-25 Conference Calculation</v>
      </c>
      <c r="O3" s="627"/>
      <c r="P3" s="627"/>
      <c r="Q3" s="627"/>
      <c r="R3" s="627"/>
      <c r="S3" s="627"/>
      <c r="T3" s="627"/>
      <c r="U3" s="627"/>
    </row>
    <row r="4" spans="1:21" x14ac:dyDescent="0.25">
      <c r="A4" s="568" t="s">
        <v>0</v>
      </c>
      <c r="B4" s="568"/>
      <c r="C4" s="569" t="s">
        <v>9</v>
      </c>
      <c r="D4" s="569"/>
      <c r="E4" s="569"/>
      <c r="F4" s="4" t="str">
        <f>'1461'!F4</f>
        <v>July 2024</v>
      </c>
      <c r="G4" s="4"/>
      <c r="H4" s="4"/>
      <c r="I4" s="4"/>
      <c r="N4" s="661" t="s">
        <v>0</v>
      </c>
      <c r="O4" s="661"/>
      <c r="P4" s="662" t="str">
        <f>C4</f>
        <v>Palm Beach</v>
      </c>
      <c r="Q4" s="662"/>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70" t="s">
        <v>433</v>
      </c>
      <c r="B7" s="664"/>
      <c r="C7" s="664"/>
      <c r="D7" s="664"/>
      <c r="E7" s="664"/>
      <c r="F7" s="664"/>
      <c r="G7" s="664"/>
      <c r="H7" s="664"/>
      <c r="I7" s="664"/>
      <c r="N7" s="661" t="str">
        <f>A7</f>
        <v>1A.   2023-24 FEFP State and Local Funding</v>
      </c>
      <c r="O7" s="661"/>
      <c r="P7" s="661"/>
      <c r="Q7" s="661"/>
      <c r="R7" s="661"/>
      <c r="S7" s="661"/>
      <c r="T7" s="661"/>
      <c r="U7" s="661"/>
    </row>
    <row r="8" spans="1:21" x14ac:dyDescent="0.25">
      <c r="A8" s="84"/>
      <c r="B8" s="85" t="s">
        <v>92</v>
      </c>
      <c r="C8" s="299">
        <f>'1461'!C8</f>
        <v>5330.98</v>
      </c>
      <c r="D8" s="86"/>
      <c r="E8" s="87"/>
      <c r="F8" s="84"/>
      <c r="G8" s="85" t="s">
        <v>393</v>
      </c>
      <c r="H8" s="287">
        <f>'1461'!H8</f>
        <v>1.0407999999999999</v>
      </c>
      <c r="I8" s="75"/>
      <c r="N8" s="665" t="s">
        <v>10</v>
      </c>
      <c r="O8" s="665"/>
      <c r="P8" s="666">
        <f>C8</f>
        <v>5330.98</v>
      </c>
      <c r="Q8" s="666"/>
      <c r="R8" s="648" t="s">
        <v>394</v>
      </c>
      <c r="S8" s="649"/>
      <c r="T8" s="650">
        <f>H8</f>
        <v>1.0407999999999999</v>
      </c>
      <c r="U8" s="650"/>
    </row>
    <row r="9" spans="1:21" x14ac:dyDescent="0.25">
      <c r="A9" s="84"/>
      <c r="B9" s="85"/>
      <c r="C9" s="222"/>
      <c r="D9" s="86"/>
      <c r="E9" s="87"/>
      <c r="F9" s="84"/>
      <c r="G9" s="85" t="s">
        <v>391</v>
      </c>
      <c r="H9" s="287">
        <f>'1461'!H9</f>
        <v>1</v>
      </c>
      <c r="I9" s="75"/>
      <c r="N9" s="12"/>
      <c r="O9" s="12"/>
      <c r="P9" s="13"/>
      <c r="Q9" s="13"/>
      <c r="R9" s="387" t="s">
        <v>392</v>
      </c>
      <c r="S9" s="384"/>
      <c r="T9" s="650">
        <f>H9</f>
        <v>1</v>
      </c>
      <c r="U9" s="650"/>
    </row>
    <row r="10" spans="1:21" x14ac:dyDescent="0.25">
      <c r="A10" s="7"/>
      <c r="B10" s="42" t="s">
        <v>310</v>
      </c>
      <c r="C10" s="334" t="str">
        <f>'1461'!C10</f>
        <v xml:space="preserve"> </v>
      </c>
      <c r="D10" s="334" t="str">
        <f>'1461'!D10</f>
        <v xml:space="preserve"> </v>
      </c>
      <c r="E10" s="8"/>
      <c r="F10" s="9"/>
      <c r="G10" s="9"/>
      <c r="H10" s="10"/>
      <c r="I10" s="305" t="str">
        <f>'1461'!I10</f>
        <v>2024-25</v>
      </c>
      <c r="N10" s="12"/>
      <c r="O10" s="12"/>
      <c r="P10" s="13"/>
      <c r="Q10" s="13"/>
      <c r="R10" s="14"/>
      <c r="S10" s="14"/>
      <c r="T10" s="15"/>
      <c r="U10" s="366" t="str">
        <f>I10</f>
        <v>2024-25</v>
      </c>
    </row>
    <row r="11" spans="1:21" x14ac:dyDescent="0.25">
      <c r="A11" s="7"/>
      <c r="B11" s="7"/>
      <c r="C11" s="88" t="str">
        <f>'1461'!C11</f>
        <v>Oct 2023</v>
      </c>
      <c r="D11" s="333" t="str">
        <f>'1461'!D11</f>
        <v>Feb 2024</v>
      </c>
      <c r="E11" s="89" t="s">
        <v>8</v>
      </c>
      <c r="F11" s="571" t="s">
        <v>1</v>
      </c>
      <c r="G11" s="571"/>
      <c r="H11" s="10" t="s">
        <v>60</v>
      </c>
      <c r="I11" s="11" t="s">
        <v>27</v>
      </c>
      <c r="N11" s="12"/>
      <c r="O11" s="12"/>
      <c r="P11" s="13"/>
      <c r="Q11" s="13"/>
      <c r="R11" s="651" t="s">
        <v>1</v>
      </c>
      <c r="S11" s="651"/>
      <c r="T11" s="15" t="s">
        <v>60</v>
      </c>
      <c r="U11" s="16" t="s">
        <v>27</v>
      </c>
    </row>
    <row r="12" spans="1:21" ht="15.75" customHeight="1" x14ac:dyDescent="0.25">
      <c r="A12" s="572" t="s">
        <v>1</v>
      </c>
      <c r="B12" s="572"/>
      <c r="C12" s="324" t="str">
        <f>'1461'!C12</f>
        <v>FTE</v>
      </c>
      <c r="D12" s="324" t="str">
        <f>'1461'!D12</f>
        <v>FTE</v>
      </c>
      <c r="E12" s="324" t="s">
        <v>2</v>
      </c>
      <c r="F12" s="573" t="s">
        <v>63</v>
      </c>
      <c r="G12" s="573"/>
      <c r="H12" s="17" t="s">
        <v>59</v>
      </c>
      <c r="I12" s="388" t="s">
        <v>395</v>
      </c>
      <c r="N12" s="639" t="s">
        <v>1</v>
      </c>
      <c r="O12" s="639"/>
      <c r="P12" s="652" t="s">
        <v>19</v>
      </c>
      <c r="Q12" s="652"/>
      <c r="R12" s="653" t="s">
        <v>63</v>
      </c>
      <c r="S12" s="653"/>
      <c r="T12" s="18" t="s">
        <v>59</v>
      </c>
      <c r="U12" s="19" t="str">
        <f>I12</f>
        <v>(WFTE x BSA x CWF x SDF)</v>
      </c>
    </row>
    <row r="13" spans="1:21" x14ac:dyDescent="0.25">
      <c r="A13" s="574" t="s">
        <v>36</v>
      </c>
      <c r="B13" s="574"/>
      <c r="C13" s="91"/>
      <c r="D13" s="91"/>
      <c r="E13" s="92" t="s">
        <v>37</v>
      </c>
      <c r="F13" s="575" t="s">
        <v>38</v>
      </c>
      <c r="G13" s="575"/>
      <c r="H13" s="20" t="s">
        <v>39</v>
      </c>
      <c r="I13" s="21" t="s">
        <v>40</v>
      </c>
      <c r="N13" s="654" t="s">
        <v>36</v>
      </c>
      <c r="O13" s="654"/>
      <c r="P13" s="655" t="s">
        <v>37</v>
      </c>
      <c r="Q13" s="655"/>
      <c r="R13" s="656" t="s">
        <v>38</v>
      </c>
      <c r="S13" s="656"/>
      <c r="T13" s="22" t="s">
        <v>39</v>
      </c>
      <c r="U13" s="23" t="s">
        <v>40</v>
      </c>
    </row>
    <row r="14" spans="1:21" x14ac:dyDescent="0.25">
      <c r="A14" s="576" t="s">
        <v>20</v>
      </c>
      <c r="B14" s="576"/>
      <c r="C14" s="143">
        <v>0</v>
      </c>
      <c r="D14" s="141">
        <v>0</v>
      </c>
      <c r="E14" s="187">
        <f>IF(D$30=0,C14*2,C14+D14)</f>
        <v>0</v>
      </c>
      <c r="F14" s="667">
        <f>'1461'!F14:G14</f>
        <v>1.1180000000000001</v>
      </c>
      <c r="G14" s="667"/>
      <c r="H14" s="145">
        <f>ROUND(E14*F14,4)</f>
        <v>0</v>
      </c>
      <c r="I14" s="111">
        <f>ROUND(ROUND(ROUND(H14*$C$8,4)*($H$8),2)*(MAX($H$9,1)),2)</f>
        <v>0</v>
      </c>
      <c r="N14" s="641" t="s">
        <v>20</v>
      </c>
      <c r="O14" s="641"/>
      <c r="P14" s="642">
        <f t="shared" ref="P14:P29" si="0">IF($H$133=1,E14,0)</f>
        <v>0</v>
      </c>
      <c r="Q14" s="642"/>
      <c r="R14" s="657">
        <v>1</v>
      </c>
      <c r="S14" s="657"/>
      <c r="T14" s="95">
        <f>ROUND(P14*R14,4)</f>
        <v>0</v>
      </c>
      <c r="U14" s="473">
        <f>ROUND(ROUND(ROUND(T14*$C$8,4)*($H$8),2)*(MAX($H$9,1)),2)</f>
        <v>0</v>
      </c>
    </row>
    <row r="15" spans="1:21" x14ac:dyDescent="0.25">
      <c r="A15" s="578" t="s">
        <v>21</v>
      </c>
      <c r="B15" s="578"/>
      <c r="C15" s="143">
        <v>0</v>
      </c>
      <c r="D15" s="143">
        <v>0</v>
      </c>
      <c r="E15" s="116">
        <f t="shared" ref="E15:E29" si="1">IF(D$30=0,C15*2,C15+D15)</f>
        <v>0</v>
      </c>
      <c r="F15" s="663">
        <f>'1461'!F15:G15</f>
        <v>1.1180000000000001</v>
      </c>
      <c r="G15" s="663"/>
      <c r="H15" s="80">
        <f t="shared" ref="H15:H29" si="2">ROUND(E15*F15,4)</f>
        <v>0</v>
      </c>
      <c r="I15" s="101">
        <f t="shared" ref="I15:I29" si="3">ROUND(ROUND(ROUND(H15*$C$8,4)*($H$8),2)*(MAX($H$9,1)),2)</f>
        <v>0</v>
      </c>
      <c r="J15" s="65" t="str">
        <f>IF(ROUND(E15,2)=ROUND(SUM(E57:E59),2)," ","CHECK PK-3 LINES BELOW")</f>
        <v xml:space="preserve"> </v>
      </c>
      <c r="N15" s="601" t="s">
        <v>21</v>
      </c>
      <c r="O15" s="601"/>
      <c r="P15" s="642">
        <f t="shared" si="0"/>
        <v>0</v>
      </c>
      <c r="Q15" s="642"/>
      <c r="R15" s="647">
        <v>1</v>
      </c>
      <c r="S15" s="647"/>
      <c r="T15" s="95">
        <f t="shared" ref="T15:T29" si="4">ROUND(P15*R15,4)</f>
        <v>0</v>
      </c>
      <c r="U15" s="473">
        <f t="shared" ref="U15:U29" si="5">ROUND(ROUND(ROUND(T15*$C$8,4)*($H$8),2)*(MAX($H$9,1)),2)</f>
        <v>0</v>
      </c>
    </row>
    <row r="16" spans="1:21" x14ac:dyDescent="0.25">
      <c r="A16" s="578" t="s">
        <v>22</v>
      </c>
      <c r="B16" s="578"/>
      <c r="C16" s="143">
        <v>0</v>
      </c>
      <c r="D16" s="143">
        <v>0</v>
      </c>
      <c r="E16" s="116">
        <f t="shared" si="1"/>
        <v>0</v>
      </c>
      <c r="F16" s="663">
        <f>'1461'!F16:G16</f>
        <v>1</v>
      </c>
      <c r="G16" s="663"/>
      <c r="H16" s="80">
        <f t="shared" si="2"/>
        <v>0</v>
      </c>
      <c r="I16" s="101">
        <f t="shared" si="3"/>
        <v>0</v>
      </c>
      <c r="N16" s="601" t="s">
        <v>22</v>
      </c>
      <c r="O16" s="601"/>
      <c r="P16" s="642">
        <f t="shared" si="0"/>
        <v>0</v>
      </c>
      <c r="Q16" s="642"/>
      <c r="R16" s="647">
        <v>1</v>
      </c>
      <c r="S16" s="647"/>
      <c r="T16" s="95">
        <f t="shared" si="4"/>
        <v>0</v>
      </c>
      <c r="U16" s="473">
        <f t="shared" si="5"/>
        <v>0</v>
      </c>
    </row>
    <row r="17" spans="1:21" x14ac:dyDescent="0.25">
      <c r="A17" s="578" t="s">
        <v>23</v>
      </c>
      <c r="B17" s="578"/>
      <c r="C17" s="143">
        <v>0</v>
      </c>
      <c r="D17" s="143">
        <v>0</v>
      </c>
      <c r="E17" s="116">
        <f t="shared" si="1"/>
        <v>0</v>
      </c>
      <c r="F17" s="663">
        <f>'1461'!F17:G17</f>
        <v>1</v>
      </c>
      <c r="G17" s="663"/>
      <c r="H17" s="80">
        <f t="shared" si="2"/>
        <v>0</v>
      </c>
      <c r="I17" s="101">
        <f t="shared" si="3"/>
        <v>0</v>
      </c>
      <c r="J17" s="65" t="str">
        <f>IF(ROUND(E17,2)=ROUND(SUM(E60:E62),2)," ","CHECK 4-8 LINES BELOW")</f>
        <v xml:space="preserve"> </v>
      </c>
      <c r="N17" s="601" t="s">
        <v>23</v>
      </c>
      <c r="O17" s="601"/>
      <c r="P17" s="642">
        <f t="shared" si="0"/>
        <v>0</v>
      </c>
      <c r="Q17" s="642"/>
      <c r="R17" s="647">
        <v>1</v>
      </c>
      <c r="S17" s="647"/>
      <c r="T17" s="95">
        <f t="shared" si="4"/>
        <v>0</v>
      </c>
      <c r="U17" s="473">
        <f t="shared" si="5"/>
        <v>0</v>
      </c>
    </row>
    <row r="18" spans="1:21" x14ac:dyDescent="0.25">
      <c r="A18" s="578" t="s">
        <v>24</v>
      </c>
      <c r="B18" s="578"/>
      <c r="C18" s="143">
        <v>0</v>
      </c>
      <c r="D18" s="143">
        <v>0</v>
      </c>
      <c r="E18" s="116">
        <f t="shared" si="1"/>
        <v>0</v>
      </c>
      <c r="F18" s="663">
        <f>'1461'!F18:G18</f>
        <v>0.97799999999999998</v>
      </c>
      <c r="G18" s="663"/>
      <c r="H18" s="80">
        <f t="shared" si="2"/>
        <v>0</v>
      </c>
      <c r="I18" s="101">
        <f t="shared" si="3"/>
        <v>0</v>
      </c>
      <c r="N18" s="601" t="s">
        <v>24</v>
      </c>
      <c r="O18" s="601"/>
      <c r="P18" s="642">
        <f t="shared" si="0"/>
        <v>0</v>
      </c>
      <c r="Q18" s="642"/>
      <c r="R18" s="647">
        <v>1</v>
      </c>
      <c r="S18" s="647"/>
      <c r="T18" s="95">
        <f t="shared" si="4"/>
        <v>0</v>
      </c>
      <c r="U18" s="473">
        <f t="shared" si="5"/>
        <v>0</v>
      </c>
    </row>
    <row r="19" spans="1:21" x14ac:dyDescent="0.25">
      <c r="A19" s="578" t="s">
        <v>25</v>
      </c>
      <c r="B19" s="578"/>
      <c r="C19" s="143">
        <v>45.43</v>
      </c>
      <c r="D19" s="143">
        <v>48.32</v>
      </c>
      <c r="E19" s="116">
        <f t="shared" si="1"/>
        <v>93.75</v>
      </c>
      <c r="F19" s="663">
        <f>'1461'!F19:G19</f>
        <v>0.97799999999999998</v>
      </c>
      <c r="G19" s="663"/>
      <c r="H19" s="80">
        <f t="shared" si="2"/>
        <v>91.6875</v>
      </c>
      <c r="I19" s="101">
        <f>ROUND(ROUND(ROUND(H19*$C$8,4)*($H$8),2)*(MAX($H$9,1)),2)</f>
        <v>508726.63</v>
      </c>
      <c r="J19" s="65" t="str">
        <f>IF(ROUND(E19,2)=ROUND(SUM(E63:E65),2)," ","CHECK 4-8 LINES BELOW")</f>
        <v xml:space="preserve"> </v>
      </c>
      <c r="N19" s="601" t="s">
        <v>25</v>
      </c>
      <c r="O19" s="601"/>
      <c r="P19" s="642">
        <f t="shared" si="0"/>
        <v>93.75</v>
      </c>
      <c r="Q19" s="642"/>
      <c r="R19" s="647">
        <v>1</v>
      </c>
      <c r="S19" s="647"/>
      <c r="T19" s="95">
        <f t="shared" si="4"/>
        <v>93.75</v>
      </c>
      <c r="U19" s="472">
        <f t="shared" si="5"/>
        <v>520170.37</v>
      </c>
    </row>
    <row r="20" spans="1:21" x14ac:dyDescent="0.25">
      <c r="A20" s="578" t="s">
        <v>79</v>
      </c>
      <c r="B20" s="578"/>
      <c r="C20" s="143">
        <v>0</v>
      </c>
      <c r="D20" s="143">
        <v>0</v>
      </c>
      <c r="E20" s="116">
        <f t="shared" si="1"/>
        <v>0</v>
      </c>
      <c r="F20" s="663">
        <f>'1461'!F20:G20</f>
        <v>3.6970000000000001</v>
      </c>
      <c r="G20" s="663"/>
      <c r="H20" s="80">
        <f t="shared" si="2"/>
        <v>0</v>
      </c>
      <c r="I20" s="101">
        <f t="shared" si="3"/>
        <v>0</v>
      </c>
      <c r="N20" s="601" t="s">
        <v>79</v>
      </c>
      <c r="O20" s="601"/>
      <c r="P20" s="642">
        <f t="shared" si="0"/>
        <v>0</v>
      </c>
      <c r="Q20" s="642"/>
      <c r="R20" s="647">
        <v>1</v>
      </c>
      <c r="S20" s="647"/>
      <c r="T20" s="95">
        <f t="shared" si="4"/>
        <v>0</v>
      </c>
      <c r="U20" s="473">
        <f t="shared" si="5"/>
        <v>0</v>
      </c>
    </row>
    <row r="21" spans="1:21" x14ac:dyDescent="0.25">
      <c r="A21" s="578" t="s">
        <v>80</v>
      </c>
      <c r="B21" s="578"/>
      <c r="C21" s="143">
        <v>0</v>
      </c>
      <c r="D21" s="143">
        <v>0</v>
      </c>
      <c r="E21" s="116">
        <f t="shared" si="1"/>
        <v>0</v>
      </c>
      <c r="F21" s="663">
        <f>'1461'!F21:G21</f>
        <v>3.6970000000000001</v>
      </c>
      <c r="G21" s="663"/>
      <c r="H21" s="80">
        <f t="shared" si="2"/>
        <v>0</v>
      </c>
      <c r="I21" s="101">
        <f t="shared" si="3"/>
        <v>0</v>
      </c>
      <c r="N21" s="601" t="s">
        <v>80</v>
      </c>
      <c r="O21" s="601"/>
      <c r="P21" s="642">
        <f t="shared" si="0"/>
        <v>0</v>
      </c>
      <c r="Q21" s="642"/>
      <c r="R21" s="647">
        <v>1</v>
      </c>
      <c r="S21" s="647"/>
      <c r="T21" s="95">
        <f t="shared" si="4"/>
        <v>0</v>
      </c>
      <c r="U21" s="473">
        <f t="shared" si="5"/>
        <v>0</v>
      </c>
    </row>
    <row r="22" spans="1:21" x14ac:dyDescent="0.25">
      <c r="A22" s="578" t="s">
        <v>81</v>
      </c>
      <c r="B22" s="578"/>
      <c r="C22" s="143">
        <v>0</v>
      </c>
      <c r="D22" s="143">
        <v>0</v>
      </c>
      <c r="E22" s="116">
        <f t="shared" si="1"/>
        <v>0</v>
      </c>
      <c r="F22" s="663">
        <f>'1461'!F22:G22</f>
        <v>3.6970000000000001</v>
      </c>
      <c r="G22" s="663"/>
      <c r="H22" s="80">
        <f t="shared" si="2"/>
        <v>0</v>
      </c>
      <c r="I22" s="101">
        <f t="shared" si="3"/>
        <v>0</v>
      </c>
      <c r="N22" s="601" t="s">
        <v>81</v>
      </c>
      <c r="O22" s="601"/>
      <c r="P22" s="642">
        <f t="shared" si="0"/>
        <v>0</v>
      </c>
      <c r="Q22" s="642"/>
      <c r="R22" s="647">
        <v>1</v>
      </c>
      <c r="S22" s="647"/>
      <c r="T22" s="95">
        <f t="shared" si="4"/>
        <v>0</v>
      </c>
      <c r="U22" s="473">
        <f t="shared" si="5"/>
        <v>0</v>
      </c>
    </row>
    <row r="23" spans="1:21" x14ac:dyDescent="0.25">
      <c r="A23" s="578" t="s">
        <v>82</v>
      </c>
      <c r="B23" s="578"/>
      <c r="C23" s="143">
        <v>0</v>
      </c>
      <c r="D23" s="143">
        <v>0</v>
      </c>
      <c r="E23" s="116">
        <f t="shared" si="1"/>
        <v>0</v>
      </c>
      <c r="F23" s="663">
        <f>'1461'!F23:G23</f>
        <v>5.992</v>
      </c>
      <c r="G23" s="663"/>
      <c r="H23" s="80">
        <f t="shared" si="2"/>
        <v>0</v>
      </c>
      <c r="I23" s="101">
        <f t="shared" si="3"/>
        <v>0</v>
      </c>
      <c r="N23" s="601" t="s">
        <v>82</v>
      </c>
      <c r="O23" s="601"/>
      <c r="P23" s="642">
        <f t="shared" si="0"/>
        <v>0</v>
      </c>
      <c r="Q23" s="642"/>
      <c r="R23" s="647">
        <v>1</v>
      </c>
      <c r="S23" s="647"/>
      <c r="T23" s="95">
        <f t="shared" si="4"/>
        <v>0</v>
      </c>
      <c r="U23" s="473">
        <f t="shared" si="5"/>
        <v>0</v>
      </c>
    </row>
    <row r="24" spans="1:21" x14ac:dyDescent="0.25">
      <c r="A24" s="578" t="s">
        <v>83</v>
      </c>
      <c r="B24" s="578"/>
      <c r="C24" s="143">
        <v>0</v>
      </c>
      <c r="D24" s="143">
        <v>0</v>
      </c>
      <c r="E24" s="116">
        <f t="shared" si="1"/>
        <v>0</v>
      </c>
      <c r="F24" s="663">
        <f>'1461'!F24:G24</f>
        <v>5.992</v>
      </c>
      <c r="G24" s="663"/>
      <c r="H24" s="80">
        <f t="shared" si="2"/>
        <v>0</v>
      </c>
      <c r="I24" s="101">
        <f t="shared" si="3"/>
        <v>0</v>
      </c>
      <c r="N24" s="601" t="s">
        <v>83</v>
      </c>
      <c r="O24" s="601"/>
      <c r="P24" s="642">
        <f t="shared" si="0"/>
        <v>0</v>
      </c>
      <c r="Q24" s="642"/>
      <c r="R24" s="647">
        <v>1</v>
      </c>
      <c r="S24" s="647"/>
      <c r="T24" s="95">
        <f t="shared" si="4"/>
        <v>0</v>
      </c>
      <c r="U24" s="473">
        <f t="shared" si="5"/>
        <v>0</v>
      </c>
    </row>
    <row r="25" spans="1:21" x14ac:dyDescent="0.25">
      <c r="A25" s="578" t="s">
        <v>84</v>
      </c>
      <c r="B25" s="578"/>
      <c r="C25" s="143">
        <v>0</v>
      </c>
      <c r="D25" s="143">
        <v>0</v>
      </c>
      <c r="E25" s="116">
        <f t="shared" si="1"/>
        <v>0</v>
      </c>
      <c r="F25" s="663">
        <f>'1461'!F25:G25</f>
        <v>5.992</v>
      </c>
      <c r="G25" s="663"/>
      <c r="H25" s="80">
        <f t="shared" si="2"/>
        <v>0</v>
      </c>
      <c r="I25" s="101">
        <f t="shared" si="3"/>
        <v>0</v>
      </c>
      <c r="N25" s="601" t="s">
        <v>84</v>
      </c>
      <c r="O25" s="601"/>
      <c r="P25" s="642">
        <f t="shared" si="0"/>
        <v>0</v>
      </c>
      <c r="Q25" s="642"/>
      <c r="R25" s="647">
        <v>1</v>
      </c>
      <c r="S25" s="647"/>
      <c r="T25" s="95">
        <f t="shared" si="4"/>
        <v>0</v>
      </c>
      <c r="U25" s="473">
        <f t="shared" si="5"/>
        <v>0</v>
      </c>
    </row>
    <row r="26" spans="1:21" x14ac:dyDescent="0.25">
      <c r="A26" s="578" t="s">
        <v>85</v>
      </c>
      <c r="B26" s="578"/>
      <c r="C26" s="143">
        <v>0</v>
      </c>
      <c r="D26" s="143">
        <v>0</v>
      </c>
      <c r="E26" s="116">
        <f t="shared" si="1"/>
        <v>0</v>
      </c>
      <c r="F26" s="663">
        <f>'1461'!F26:G26</f>
        <v>1.1919999999999999</v>
      </c>
      <c r="G26" s="663"/>
      <c r="H26" s="80">
        <f t="shared" si="2"/>
        <v>0</v>
      </c>
      <c r="I26" s="101">
        <f t="shared" si="3"/>
        <v>0</v>
      </c>
      <c r="N26" s="601" t="s">
        <v>85</v>
      </c>
      <c r="O26" s="601"/>
      <c r="P26" s="642">
        <f t="shared" si="0"/>
        <v>0</v>
      </c>
      <c r="Q26" s="642"/>
      <c r="R26" s="647">
        <v>1</v>
      </c>
      <c r="S26" s="647"/>
      <c r="T26" s="95">
        <f t="shared" si="4"/>
        <v>0</v>
      </c>
      <c r="U26" s="473">
        <f t="shared" si="5"/>
        <v>0</v>
      </c>
    </row>
    <row r="27" spans="1:21" x14ac:dyDescent="0.25">
      <c r="A27" s="578" t="s">
        <v>86</v>
      </c>
      <c r="B27" s="578"/>
      <c r="C27" s="143">
        <v>0</v>
      </c>
      <c r="D27" s="143">
        <v>0</v>
      </c>
      <c r="E27" s="116">
        <f t="shared" si="1"/>
        <v>0</v>
      </c>
      <c r="F27" s="663">
        <f>'1461'!F27:G27</f>
        <v>1.1919999999999999</v>
      </c>
      <c r="G27" s="663"/>
      <c r="H27" s="80">
        <f t="shared" si="2"/>
        <v>0</v>
      </c>
      <c r="I27" s="101">
        <f t="shared" si="3"/>
        <v>0</v>
      </c>
      <c r="N27" s="601" t="s">
        <v>86</v>
      </c>
      <c r="O27" s="601"/>
      <c r="P27" s="642">
        <f t="shared" si="0"/>
        <v>0</v>
      </c>
      <c r="Q27" s="642"/>
      <c r="R27" s="647">
        <v>1</v>
      </c>
      <c r="S27" s="647"/>
      <c r="T27" s="95">
        <f t="shared" si="4"/>
        <v>0</v>
      </c>
      <c r="U27" s="473">
        <f t="shared" si="5"/>
        <v>0</v>
      </c>
    </row>
    <row r="28" spans="1:21" x14ac:dyDescent="0.25">
      <c r="A28" s="578" t="s">
        <v>87</v>
      </c>
      <c r="B28" s="578"/>
      <c r="C28" s="143">
        <v>0</v>
      </c>
      <c r="D28" s="143">
        <v>0</v>
      </c>
      <c r="E28" s="116">
        <f t="shared" si="1"/>
        <v>0</v>
      </c>
      <c r="F28" s="663">
        <f>'1461'!F28:G28</f>
        <v>1.1919999999999999</v>
      </c>
      <c r="G28" s="663"/>
      <c r="H28" s="80">
        <f t="shared" si="2"/>
        <v>0</v>
      </c>
      <c r="I28" s="101">
        <f t="shared" si="3"/>
        <v>0</v>
      </c>
      <c r="N28" s="601" t="s">
        <v>87</v>
      </c>
      <c r="O28" s="601"/>
      <c r="P28" s="642">
        <f t="shared" si="0"/>
        <v>0</v>
      </c>
      <c r="Q28" s="642"/>
      <c r="R28" s="647">
        <v>1</v>
      </c>
      <c r="S28" s="647"/>
      <c r="T28" s="95">
        <f t="shared" si="4"/>
        <v>0</v>
      </c>
      <c r="U28" s="473">
        <f t="shared" si="5"/>
        <v>0</v>
      </c>
    </row>
    <row r="29" spans="1:21" x14ac:dyDescent="0.25">
      <c r="A29" s="578" t="s">
        <v>88</v>
      </c>
      <c r="B29" s="578"/>
      <c r="C29" s="110">
        <v>0</v>
      </c>
      <c r="D29" s="110">
        <v>0</v>
      </c>
      <c r="E29" s="154">
        <f t="shared" si="1"/>
        <v>0</v>
      </c>
      <c r="F29" s="663">
        <f>'1461'!F29:G29</f>
        <v>1.079</v>
      </c>
      <c r="G29" s="663"/>
      <c r="H29" s="93">
        <f t="shared" si="2"/>
        <v>0</v>
      </c>
      <c r="I29" s="94">
        <f t="shared" si="3"/>
        <v>0</v>
      </c>
      <c r="N29" s="616" t="s">
        <v>88</v>
      </c>
      <c r="O29" s="616"/>
      <c r="P29" s="642">
        <f t="shared" si="0"/>
        <v>0</v>
      </c>
      <c r="Q29" s="642"/>
      <c r="R29" s="643">
        <v>1</v>
      </c>
      <c r="S29" s="643"/>
      <c r="T29" s="95">
        <f t="shared" si="4"/>
        <v>0</v>
      </c>
      <c r="U29" s="473">
        <f t="shared" si="5"/>
        <v>0</v>
      </c>
    </row>
    <row r="30" spans="1:21" x14ac:dyDescent="0.25">
      <c r="A30" s="590" t="s">
        <v>5</v>
      </c>
      <c r="B30" s="590"/>
      <c r="C30" s="94">
        <f>SUM(C14:C29)</f>
        <v>45.43</v>
      </c>
      <c r="D30" s="94">
        <f>SUM(D14:D29)</f>
        <v>48.32</v>
      </c>
      <c r="E30" s="94">
        <f>SUM(E14:E29)</f>
        <v>93.75</v>
      </c>
      <c r="F30" s="582"/>
      <c r="G30" s="582"/>
      <c r="H30" s="99">
        <f>SUM(H14:H29)</f>
        <v>91.6875</v>
      </c>
      <c r="I30" s="94">
        <f>SUM(I14:I29)</f>
        <v>508726.63</v>
      </c>
      <c r="N30" s="644" t="s">
        <v>5</v>
      </c>
      <c r="O30" s="644"/>
      <c r="P30" s="645">
        <f>SUM(P14:P29)</f>
        <v>93.75</v>
      </c>
      <c r="Q30" s="645"/>
      <c r="R30" s="617"/>
      <c r="S30" s="617"/>
      <c r="T30" s="100">
        <f>SUM(T14:T29)</f>
        <v>93.75</v>
      </c>
      <c r="U30" s="473">
        <f>SUM(U14:U29)</f>
        <v>520170.37</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0" t="s">
        <v>233</v>
      </c>
      <c r="G34" s="670"/>
      <c r="H34" s="670"/>
      <c r="I34" s="101"/>
      <c r="N34" s="28"/>
      <c r="O34" s="28"/>
      <c r="P34" s="29"/>
      <c r="Q34" s="29"/>
      <c r="R34" s="30"/>
      <c r="S34" s="30"/>
      <c r="T34" s="102"/>
      <c r="U34" s="103"/>
    </row>
    <row r="35" spans="1:21" hidden="1" x14ac:dyDescent="0.25">
      <c r="A35" s="3"/>
      <c r="B35" s="69"/>
      <c r="C35" s="69"/>
      <c r="D35" s="69"/>
      <c r="E35" s="69"/>
      <c r="F35" s="670"/>
      <c r="G35" s="670"/>
      <c r="H35" s="670"/>
      <c r="I35" s="24" t="s">
        <v>61</v>
      </c>
      <c r="N35" s="627" t="s">
        <v>26</v>
      </c>
      <c r="O35" s="627"/>
      <c r="P35" s="627"/>
      <c r="Q35" s="627"/>
      <c r="R35" s="627"/>
      <c r="S35" s="627"/>
      <c r="T35" s="627"/>
      <c r="U35" s="25" t="str">
        <f>I35</f>
        <v>2015-16</v>
      </c>
    </row>
    <row r="36" spans="1:21" hidden="1" x14ac:dyDescent="0.25">
      <c r="A36" s="26"/>
      <c r="B36" s="26"/>
      <c r="C36" s="88" t="s">
        <v>93</v>
      </c>
      <c r="D36" s="88" t="s">
        <v>94</v>
      </c>
      <c r="E36" s="89" t="s">
        <v>8</v>
      </c>
      <c r="F36" s="670"/>
      <c r="G36" s="670"/>
      <c r="H36" s="670"/>
      <c r="I36" s="24" t="s">
        <v>27</v>
      </c>
      <c r="N36" s="28"/>
      <c r="O36" s="28"/>
      <c r="P36" s="29"/>
      <c r="Q36" s="29"/>
      <c r="R36" s="30"/>
      <c r="S36" s="30"/>
      <c r="T36" s="102"/>
      <c r="U36" s="25" t="s">
        <v>27</v>
      </c>
    </row>
    <row r="37" spans="1:21" ht="26.25" hidden="1" x14ac:dyDescent="0.25">
      <c r="A37" s="572" t="s">
        <v>50</v>
      </c>
      <c r="B37" s="572"/>
      <c r="C37" s="90" t="s">
        <v>2</v>
      </c>
      <c r="D37" s="90" t="s">
        <v>2</v>
      </c>
      <c r="E37" s="90" t="s">
        <v>2</v>
      </c>
      <c r="F37" s="671"/>
      <c r="G37" s="671"/>
      <c r="H37" s="671"/>
      <c r="I37" s="31" t="s">
        <v>395</v>
      </c>
      <c r="N37" s="639" t="s">
        <v>50</v>
      </c>
      <c r="O37" s="639"/>
      <c r="P37" s="640" t="s">
        <v>19</v>
      </c>
      <c r="Q37" s="640"/>
      <c r="R37" s="640"/>
      <c r="S37" s="640"/>
      <c r="T37" s="640"/>
      <c r="U37" s="19" t="str">
        <f>I37</f>
        <v>(WFTE x BSA x CWF x SDF)</v>
      </c>
    </row>
    <row r="38" spans="1:21" hidden="1" x14ac:dyDescent="0.25">
      <c r="A38" s="576" t="s">
        <v>45</v>
      </c>
      <c r="B38" s="576"/>
      <c r="C38" s="147">
        <v>0</v>
      </c>
      <c r="D38" s="147">
        <v>0</v>
      </c>
      <c r="E38" s="187">
        <f t="shared" ref="E38:E43" si="6">IF(D$44=0,C38*2,C38+D38)</f>
        <v>0</v>
      </c>
      <c r="F38" s="148"/>
      <c r="G38" s="148"/>
      <c r="H38" s="148"/>
      <c r="I38" s="111">
        <f>ROUND(ROUND(ROUND(E38*$C$8,4)*($H$8),2)*(MAX($H$9,1)),2)</f>
        <v>0</v>
      </c>
      <c r="N38" s="641" t="s">
        <v>45</v>
      </c>
      <c r="O38" s="641"/>
      <c r="P38" s="608">
        <f t="shared" ref="P38:P43" si="7">IF($H$133=1,E38,0)</f>
        <v>0</v>
      </c>
      <c r="Q38" s="608"/>
      <c r="R38" s="608"/>
      <c r="S38" s="608"/>
      <c r="T38" s="608"/>
      <c r="U38" s="98">
        <f>ROUND(ROUND(ROUND(P38*$C$8,4)*($H$8),2)*(MAX($H$9,1)),2)</f>
        <v>0</v>
      </c>
    </row>
    <row r="39" spans="1:21" hidden="1" x14ac:dyDescent="0.25">
      <c r="A39" s="578" t="s">
        <v>46</v>
      </c>
      <c r="B39" s="578"/>
      <c r="C39" s="150">
        <v>0</v>
      </c>
      <c r="D39" s="150">
        <v>0</v>
      </c>
      <c r="E39" s="116">
        <f t="shared" si="6"/>
        <v>0</v>
      </c>
      <c r="F39" s="151"/>
      <c r="G39" s="151"/>
      <c r="H39" s="151"/>
      <c r="I39" s="101">
        <f t="shared" ref="I39:I43" si="8">ROUND(ROUND(ROUND(E39*$C$8,4)*($H$8),2)*(MAX($H$9,1)),2)</f>
        <v>0</v>
      </c>
      <c r="N39" s="601" t="s">
        <v>46</v>
      </c>
      <c r="O39" s="601"/>
      <c r="P39" s="608">
        <f t="shared" si="7"/>
        <v>0</v>
      </c>
      <c r="Q39" s="608"/>
      <c r="R39" s="608"/>
      <c r="S39" s="608"/>
      <c r="T39" s="608"/>
      <c r="U39" s="98">
        <f t="shared" ref="U39:U43" si="9">ROUND(ROUND(ROUND(P39*$C$8,4)*($H$8),2)*(MAX($H$9,1)),2)</f>
        <v>0</v>
      </c>
    </row>
    <row r="40" spans="1:21" hidden="1" x14ac:dyDescent="0.25">
      <c r="A40" s="583" t="s">
        <v>47</v>
      </c>
      <c r="B40" s="583"/>
      <c r="C40" s="150">
        <v>0</v>
      </c>
      <c r="D40" s="150">
        <v>0</v>
      </c>
      <c r="E40" s="116">
        <f t="shared" si="6"/>
        <v>0</v>
      </c>
      <c r="F40" s="151"/>
      <c r="G40" s="151"/>
      <c r="H40" s="151"/>
      <c r="I40" s="101">
        <f t="shared" si="8"/>
        <v>0</v>
      </c>
      <c r="N40" s="646" t="s">
        <v>47</v>
      </c>
      <c r="O40" s="646"/>
      <c r="P40" s="608">
        <f t="shared" si="7"/>
        <v>0</v>
      </c>
      <c r="Q40" s="608"/>
      <c r="R40" s="608"/>
      <c r="S40" s="608"/>
      <c r="T40" s="608"/>
      <c r="U40" s="98">
        <f t="shared" si="9"/>
        <v>0</v>
      </c>
    </row>
    <row r="41" spans="1:21" hidden="1" x14ac:dyDescent="0.25">
      <c r="A41" s="578" t="s">
        <v>48</v>
      </c>
      <c r="B41" s="578"/>
      <c r="C41" s="150">
        <v>0</v>
      </c>
      <c r="D41" s="150">
        <v>0</v>
      </c>
      <c r="E41" s="116">
        <f t="shared" si="6"/>
        <v>0</v>
      </c>
      <c r="F41" s="151"/>
      <c r="G41" s="151"/>
      <c r="H41" s="151"/>
      <c r="I41" s="101">
        <f t="shared" si="8"/>
        <v>0</v>
      </c>
      <c r="N41" s="601" t="s">
        <v>48</v>
      </c>
      <c r="O41" s="601"/>
      <c r="P41" s="608">
        <f t="shared" si="7"/>
        <v>0</v>
      </c>
      <c r="Q41" s="608"/>
      <c r="R41" s="608"/>
      <c r="S41" s="608"/>
      <c r="T41" s="608"/>
      <c r="U41" s="98">
        <f t="shared" si="9"/>
        <v>0</v>
      </c>
    </row>
    <row r="42" spans="1:21" hidden="1" x14ac:dyDescent="0.25">
      <c r="A42" s="578" t="s">
        <v>49</v>
      </c>
      <c r="B42" s="578"/>
      <c r="C42" s="150">
        <v>0</v>
      </c>
      <c r="D42" s="150">
        <v>0</v>
      </c>
      <c r="E42" s="116">
        <f t="shared" si="6"/>
        <v>0</v>
      </c>
      <c r="F42" s="151"/>
      <c r="G42" s="151"/>
      <c r="H42" s="151"/>
      <c r="I42" s="101">
        <f t="shared" si="8"/>
        <v>0</v>
      </c>
      <c r="N42" s="601" t="s">
        <v>49</v>
      </c>
      <c r="O42" s="601"/>
      <c r="P42" s="608">
        <f t="shared" si="7"/>
        <v>0</v>
      </c>
      <c r="Q42" s="608"/>
      <c r="R42" s="608"/>
      <c r="S42" s="608"/>
      <c r="T42" s="608"/>
      <c r="U42" s="98">
        <f t="shared" si="9"/>
        <v>0</v>
      </c>
    </row>
    <row r="43" spans="1:21" hidden="1" x14ac:dyDescent="0.25">
      <c r="A43" s="578" t="s">
        <v>41</v>
      </c>
      <c r="B43" s="578"/>
      <c r="C43" s="149">
        <v>0</v>
      </c>
      <c r="D43" s="149">
        <v>0</v>
      </c>
      <c r="E43" s="154">
        <f t="shared" si="6"/>
        <v>0</v>
      </c>
      <c r="F43" s="151"/>
      <c r="G43" s="151"/>
      <c r="H43" s="151"/>
      <c r="I43" s="94">
        <f t="shared" si="8"/>
        <v>0</v>
      </c>
      <c r="N43" s="616" t="s">
        <v>41</v>
      </c>
      <c r="O43" s="616"/>
      <c r="P43" s="608">
        <f t="shared" si="7"/>
        <v>0</v>
      </c>
      <c r="Q43" s="608"/>
      <c r="R43" s="608"/>
      <c r="S43" s="608"/>
      <c r="T43" s="60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3" t="s">
        <v>43</v>
      </c>
      <c r="O44" s="603"/>
      <c r="P44" s="603"/>
      <c r="Q44" s="603"/>
      <c r="R44" s="33">
        <f>SUM(P38:R43)</f>
        <v>0</v>
      </c>
      <c r="S44" s="617" t="s">
        <v>51</v>
      </c>
      <c r="T44" s="617"/>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91.6875</v>
      </c>
      <c r="F46" s="34"/>
      <c r="G46" s="106"/>
      <c r="H46" s="107" t="s">
        <v>98</v>
      </c>
      <c r="I46" s="94">
        <f>SUM(I44,I30)</f>
        <v>508726.63</v>
      </c>
      <c r="N46" s="603" t="s">
        <v>44</v>
      </c>
      <c r="O46" s="603"/>
      <c r="P46" s="603"/>
      <c r="Q46" s="603"/>
      <c r="R46" s="35">
        <f>R44+T30</f>
        <v>93.75</v>
      </c>
      <c r="S46" s="617" t="s">
        <v>42</v>
      </c>
      <c r="T46" s="617"/>
      <c r="U46" s="108">
        <f>SUM(U44,U30)</f>
        <v>520170.37</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396</v>
      </c>
      <c r="B48" s="26"/>
      <c r="C48" s="26"/>
      <c r="D48" s="26"/>
      <c r="E48" s="26"/>
      <c r="F48" s="34"/>
      <c r="G48" s="27"/>
      <c r="H48" s="27"/>
      <c r="I48" s="101"/>
      <c r="N48" s="383" t="s">
        <v>396</v>
      </c>
      <c r="O48" s="28"/>
      <c r="P48" s="28"/>
      <c r="Q48" s="28"/>
      <c r="R48" s="35"/>
      <c r="S48" s="30"/>
      <c r="T48" s="30"/>
      <c r="U48" s="402"/>
    </row>
    <row r="49" spans="1:22" s="391" customFormat="1" ht="9" customHeight="1" x14ac:dyDescent="0.2">
      <c r="A49" s="481" t="s">
        <v>397</v>
      </c>
      <c r="F49" s="392"/>
      <c r="G49" s="393"/>
      <c r="H49" s="393"/>
      <c r="I49" s="394"/>
      <c r="N49" s="403" t="s">
        <v>397</v>
      </c>
      <c r="O49" s="395"/>
      <c r="P49" s="395"/>
      <c r="Q49" s="395"/>
      <c r="R49" s="396"/>
      <c r="S49" s="397"/>
      <c r="T49" s="397"/>
      <c r="U49" s="404"/>
    </row>
    <row r="50" spans="1:22" s="391" customFormat="1" ht="11.25" customHeight="1" x14ac:dyDescent="0.2">
      <c r="A50" s="483" t="s">
        <v>398</v>
      </c>
      <c r="F50" s="392"/>
      <c r="G50" s="393"/>
      <c r="H50" s="393"/>
      <c r="I50" s="394"/>
      <c r="N50" s="405" t="s">
        <v>398</v>
      </c>
      <c r="O50" s="395"/>
      <c r="P50" s="395"/>
      <c r="Q50" s="395"/>
      <c r="R50" s="396"/>
      <c r="S50" s="397"/>
      <c r="T50" s="397"/>
      <c r="U50" s="404"/>
    </row>
    <row r="51" spans="1:22" x14ac:dyDescent="0.25">
      <c r="A51" s="389"/>
      <c r="B51" s="399" t="s">
        <v>399</v>
      </c>
      <c r="C51" s="26"/>
      <c r="D51" s="26"/>
      <c r="E51" s="43" t="s">
        <v>400</v>
      </c>
      <c r="F51" s="400">
        <f>I46</f>
        <v>508726.63</v>
      </c>
      <c r="G51" s="109" t="s">
        <v>6</v>
      </c>
      <c r="H51" s="401">
        <v>4.5199999999999997E-2</v>
      </c>
      <c r="I51" s="101">
        <f>ROUND(F51*H51,2)</f>
        <v>22994.44</v>
      </c>
      <c r="N51" s="406"/>
      <c r="O51" s="407" t="s">
        <v>399</v>
      </c>
      <c r="P51" s="28"/>
      <c r="Q51" s="44" t="s">
        <v>400</v>
      </c>
      <c r="R51" s="408">
        <f>U30</f>
        <v>520170.37</v>
      </c>
      <c r="S51" s="409" t="s">
        <v>6</v>
      </c>
      <c r="T51" s="410">
        <v>4.5199999999999997E-2</v>
      </c>
      <c r="U51" s="402">
        <f>ROUND(R51*T51,2)</f>
        <v>23511.7</v>
      </c>
    </row>
    <row r="52" spans="1:22" x14ac:dyDescent="0.25">
      <c r="A52" s="26"/>
      <c r="B52" s="81" t="s">
        <v>401</v>
      </c>
      <c r="C52" s="26"/>
      <c r="D52" s="26"/>
      <c r="E52" s="43" t="s">
        <v>400</v>
      </c>
      <c r="F52" s="400">
        <f>I46</f>
        <v>508726.63</v>
      </c>
      <c r="G52" s="109" t="s">
        <v>6</v>
      </c>
      <c r="H52" s="401">
        <v>1.41E-2</v>
      </c>
      <c r="I52" s="101">
        <f>ROUND(F52*H52,2)</f>
        <v>7173.05</v>
      </c>
      <c r="N52" s="28"/>
      <c r="O52" s="383" t="s">
        <v>401</v>
      </c>
      <c r="P52" s="28"/>
      <c r="Q52" s="44" t="s">
        <v>400</v>
      </c>
      <c r="R52" s="408">
        <f>U30</f>
        <v>520170.37</v>
      </c>
      <c r="S52" s="409" t="s">
        <v>6</v>
      </c>
      <c r="T52" s="410">
        <v>1.41E-2</v>
      </c>
      <c r="U52" s="411">
        <f>ROUND(R52*T52,2)</f>
        <v>7334.4</v>
      </c>
    </row>
    <row r="53" spans="1:22" x14ac:dyDescent="0.25">
      <c r="A53" s="26"/>
      <c r="B53" s="81" t="s">
        <v>402</v>
      </c>
      <c r="C53" s="26"/>
      <c r="D53" s="26"/>
      <c r="E53" s="43"/>
      <c r="F53" s="400"/>
      <c r="G53" s="109"/>
      <c r="H53" s="401"/>
      <c r="I53" s="97">
        <f>SUM(I51:I52)</f>
        <v>30167.489999999998</v>
      </c>
      <c r="N53" s="28"/>
      <c r="O53" s="383" t="s">
        <v>402</v>
      </c>
      <c r="P53" s="28"/>
      <c r="Q53" s="44"/>
      <c r="R53" s="408"/>
      <c r="S53" s="409"/>
      <c r="T53" s="410"/>
      <c r="U53" s="402">
        <f>SUM(U51:U52)</f>
        <v>30846.1</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440</v>
      </c>
      <c r="G55" s="109" t="s">
        <v>441</v>
      </c>
      <c r="H55" s="454" t="s">
        <v>442</v>
      </c>
      <c r="I55" s="101"/>
      <c r="N55" s="448"/>
      <c r="O55" s="448"/>
      <c r="P55" s="464"/>
      <c r="Q55" s="465"/>
      <c r="R55" s="466"/>
      <c r="S55" s="468" t="s">
        <v>441</v>
      </c>
      <c r="T55" s="469" t="s">
        <v>442</v>
      </c>
      <c r="U55" s="467"/>
      <c r="V55" s="424"/>
    </row>
    <row r="56" spans="1:22" x14ac:dyDescent="0.25">
      <c r="A56" s="36" t="s">
        <v>443</v>
      </c>
      <c r="B56" s="36"/>
      <c r="C56" s="324" t="str">
        <f>'1461'!C56</f>
        <v>FTE</v>
      </c>
      <c r="D56" s="324" t="str">
        <f>'1461'!D56</f>
        <v>FTE</v>
      </c>
      <c r="E56" s="90" t="s">
        <v>2</v>
      </c>
      <c r="F56" s="439" t="s">
        <v>444</v>
      </c>
      <c r="G56" s="441" t="s">
        <v>444</v>
      </c>
      <c r="H56" s="455" t="s">
        <v>445</v>
      </c>
      <c r="I56" s="36"/>
      <c r="N56" s="459" t="s">
        <v>443</v>
      </c>
      <c r="O56" s="459"/>
      <c r="P56" s="620" t="s">
        <v>2</v>
      </c>
      <c r="Q56" s="620"/>
      <c r="R56" s="459" t="s">
        <v>449</v>
      </c>
      <c r="S56" s="450" t="s">
        <v>444</v>
      </c>
      <c r="T56" s="470" t="s">
        <v>445</v>
      </c>
      <c r="U56" s="459"/>
      <c r="V56" s="458"/>
    </row>
    <row r="57" spans="1:22" x14ac:dyDescent="0.25">
      <c r="A57" s="588" t="s">
        <v>447</v>
      </c>
      <c r="B57" s="588"/>
      <c r="C57" s="143">
        <v>0</v>
      </c>
      <c r="D57" s="143">
        <v>0</v>
      </c>
      <c r="E57" s="116">
        <f t="shared" ref="E57:E65" si="10">IF(D$66=0,C57*2,C57+D57)</f>
        <v>0</v>
      </c>
      <c r="F57" s="443" t="s">
        <v>439</v>
      </c>
      <c r="G57" s="443">
        <v>251</v>
      </c>
      <c r="H57" s="457">
        <f>'1461'!H57</f>
        <v>1047</v>
      </c>
      <c r="I57" s="101">
        <f>ROUND(E57*H57,2)</f>
        <v>0</v>
      </c>
      <c r="N57" s="618" t="s">
        <v>447</v>
      </c>
      <c r="O57" s="618"/>
      <c r="P57" s="621"/>
      <c r="Q57" s="621"/>
      <c r="R57" s="449" t="s">
        <v>439</v>
      </c>
      <c r="S57" s="449">
        <v>251</v>
      </c>
      <c r="T57" s="460">
        <f>H57</f>
        <v>1047</v>
      </c>
      <c r="U57" s="474">
        <f>ROUND(P57*T57,2)</f>
        <v>0</v>
      </c>
      <c r="V57" s="424"/>
    </row>
    <row r="58" spans="1:22" x14ac:dyDescent="0.25">
      <c r="A58" s="589"/>
      <c r="B58" s="589"/>
      <c r="C58" s="143">
        <v>0</v>
      </c>
      <c r="D58" s="143">
        <v>0</v>
      </c>
      <c r="E58" s="116">
        <f t="shared" si="10"/>
        <v>0</v>
      </c>
      <c r="F58" s="443" t="s">
        <v>439</v>
      </c>
      <c r="G58" s="443">
        <v>252</v>
      </c>
      <c r="H58" s="457">
        <f>'1461'!H58</f>
        <v>3380</v>
      </c>
      <c r="I58" s="101">
        <f t="shared" ref="I58:I65" si="11">ROUND(E58*H58,2)</f>
        <v>0</v>
      </c>
      <c r="N58" s="619"/>
      <c r="O58" s="619"/>
      <c r="P58" s="622"/>
      <c r="Q58" s="622"/>
      <c r="R58" s="449" t="s">
        <v>439</v>
      </c>
      <c r="S58" s="449">
        <v>252</v>
      </c>
      <c r="T58" s="460">
        <f t="shared" ref="T58:T65" si="12">H58</f>
        <v>3380</v>
      </c>
      <c r="U58" s="474">
        <f t="shared" ref="U58:U65" si="13">ROUND(P58*T58,2)</f>
        <v>0</v>
      </c>
      <c r="V58" s="424"/>
    </row>
    <row r="59" spans="1:22" x14ac:dyDescent="0.25">
      <c r="A59" s="589"/>
      <c r="B59" s="589"/>
      <c r="C59" s="143">
        <v>0</v>
      </c>
      <c r="D59" s="143">
        <v>0</v>
      </c>
      <c r="E59" s="116">
        <f t="shared" si="10"/>
        <v>0</v>
      </c>
      <c r="F59" s="443" t="s">
        <v>439</v>
      </c>
      <c r="G59" s="443">
        <v>253</v>
      </c>
      <c r="H59" s="457">
        <f>'1461'!H59</f>
        <v>6896</v>
      </c>
      <c r="I59" s="101">
        <f t="shared" si="11"/>
        <v>0</v>
      </c>
      <c r="N59" s="619"/>
      <c r="O59" s="619"/>
      <c r="P59" s="622"/>
      <c r="Q59" s="622"/>
      <c r="R59" s="449" t="s">
        <v>439</v>
      </c>
      <c r="S59" s="449">
        <v>253</v>
      </c>
      <c r="T59" s="460">
        <f t="shared" si="12"/>
        <v>6896</v>
      </c>
      <c r="U59" s="474">
        <f t="shared" si="13"/>
        <v>0</v>
      </c>
      <c r="V59" s="424"/>
    </row>
    <row r="60" spans="1:22" x14ac:dyDescent="0.25">
      <c r="A60" s="589"/>
      <c r="B60" s="589"/>
      <c r="C60" s="143">
        <v>0</v>
      </c>
      <c r="D60" s="143">
        <v>0</v>
      </c>
      <c r="E60" s="116">
        <f t="shared" si="10"/>
        <v>0</v>
      </c>
      <c r="F60" s="444" t="s">
        <v>13</v>
      </c>
      <c r="G60" s="443">
        <v>251</v>
      </c>
      <c r="H60" s="457">
        <f>'1461'!H60</f>
        <v>1173</v>
      </c>
      <c r="I60" s="101">
        <f t="shared" si="11"/>
        <v>0</v>
      </c>
      <c r="N60" s="619"/>
      <c r="O60" s="619"/>
      <c r="P60" s="622"/>
      <c r="Q60" s="622"/>
      <c r="R60" s="40" t="s">
        <v>13</v>
      </c>
      <c r="S60" s="449">
        <v>251</v>
      </c>
      <c r="T60" s="460">
        <f t="shared" si="12"/>
        <v>1173</v>
      </c>
      <c r="U60" s="474">
        <f t="shared" si="13"/>
        <v>0</v>
      </c>
      <c r="V60" s="424"/>
    </row>
    <row r="61" spans="1:22" x14ac:dyDescent="0.25">
      <c r="A61" s="589"/>
      <c r="B61" s="589"/>
      <c r="C61" s="143">
        <v>0</v>
      </c>
      <c r="D61" s="143">
        <v>0</v>
      </c>
      <c r="E61" s="116">
        <f t="shared" si="10"/>
        <v>0</v>
      </c>
      <c r="F61" s="444" t="s">
        <v>13</v>
      </c>
      <c r="G61" s="443">
        <v>252</v>
      </c>
      <c r="H61" s="457">
        <f>'1461'!H61</f>
        <v>3506</v>
      </c>
      <c r="I61" s="101">
        <f t="shared" si="11"/>
        <v>0</v>
      </c>
      <c r="N61" s="619"/>
      <c r="O61" s="619"/>
      <c r="P61" s="622"/>
      <c r="Q61" s="622"/>
      <c r="R61" s="40" t="s">
        <v>13</v>
      </c>
      <c r="S61" s="449">
        <v>252</v>
      </c>
      <c r="T61" s="460">
        <f t="shared" si="12"/>
        <v>3506</v>
      </c>
      <c r="U61" s="474">
        <f t="shared" si="13"/>
        <v>0</v>
      </c>
      <c r="V61" s="424"/>
    </row>
    <row r="62" spans="1:22" x14ac:dyDescent="0.25">
      <c r="A62" s="589"/>
      <c r="B62" s="589"/>
      <c r="C62" s="143">
        <v>0</v>
      </c>
      <c r="D62" s="143">
        <v>0</v>
      </c>
      <c r="E62" s="116">
        <f t="shared" si="10"/>
        <v>0</v>
      </c>
      <c r="F62" s="444" t="s">
        <v>13</v>
      </c>
      <c r="G62" s="443">
        <v>253</v>
      </c>
      <c r="H62" s="457">
        <f>'1461'!H62</f>
        <v>7023</v>
      </c>
      <c r="I62" s="101">
        <f t="shared" si="11"/>
        <v>0</v>
      </c>
      <c r="N62" s="619"/>
      <c r="O62" s="619"/>
      <c r="P62" s="622"/>
      <c r="Q62" s="622"/>
      <c r="R62" s="40" t="s">
        <v>13</v>
      </c>
      <c r="S62" s="449">
        <v>253</v>
      </c>
      <c r="T62" s="460">
        <f t="shared" si="12"/>
        <v>7023</v>
      </c>
      <c r="U62" s="474">
        <f t="shared" si="13"/>
        <v>0</v>
      </c>
      <c r="V62" s="424"/>
    </row>
    <row r="63" spans="1:22" x14ac:dyDescent="0.25">
      <c r="A63" s="589"/>
      <c r="B63" s="589"/>
      <c r="C63" s="143">
        <v>0</v>
      </c>
      <c r="D63" s="143">
        <v>1.3</v>
      </c>
      <c r="E63" s="116">
        <f t="shared" si="10"/>
        <v>1.3</v>
      </c>
      <c r="F63" s="444" t="s">
        <v>14</v>
      </c>
      <c r="G63" s="443">
        <v>251</v>
      </c>
      <c r="H63" s="457">
        <f>'1461'!H63</f>
        <v>835</v>
      </c>
      <c r="I63" s="101">
        <f t="shared" si="11"/>
        <v>1085.5</v>
      </c>
      <c r="N63" s="619"/>
      <c r="O63" s="619"/>
      <c r="P63" s="622"/>
      <c r="Q63" s="622"/>
      <c r="R63" s="40" t="s">
        <v>14</v>
      </c>
      <c r="S63" s="449">
        <v>251</v>
      </c>
      <c r="T63" s="460">
        <f t="shared" si="12"/>
        <v>835</v>
      </c>
      <c r="U63" s="474">
        <f t="shared" si="13"/>
        <v>0</v>
      </c>
      <c r="V63" s="424"/>
    </row>
    <row r="64" spans="1:22" x14ac:dyDescent="0.25">
      <c r="A64" s="589"/>
      <c r="B64" s="589"/>
      <c r="C64" s="143">
        <v>31.42</v>
      </c>
      <c r="D64" s="143">
        <v>33.11</v>
      </c>
      <c r="E64" s="116">
        <f t="shared" si="10"/>
        <v>64.53</v>
      </c>
      <c r="F64" s="444" t="s">
        <v>14</v>
      </c>
      <c r="G64" s="443">
        <v>252</v>
      </c>
      <c r="H64" s="457">
        <f>'1461'!H64</f>
        <v>3168</v>
      </c>
      <c r="I64" s="101">
        <f t="shared" si="11"/>
        <v>204431.04</v>
      </c>
      <c r="N64" s="619"/>
      <c r="O64" s="619"/>
      <c r="P64" s="622"/>
      <c r="Q64" s="622"/>
      <c r="R64" s="40" t="s">
        <v>14</v>
      </c>
      <c r="S64" s="449">
        <v>252</v>
      </c>
      <c r="T64" s="460">
        <f t="shared" si="12"/>
        <v>3168</v>
      </c>
      <c r="U64" s="474">
        <f t="shared" si="13"/>
        <v>0</v>
      </c>
      <c r="V64" s="424"/>
    </row>
    <row r="65" spans="1:22" ht="16.5" thickBot="1" x14ac:dyDescent="0.3">
      <c r="A65" s="589"/>
      <c r="B65" s="589"/>
      <c r="C65" s="143">
        <v>14.01</v>
      </c>
      <c r="D65" s="143">
        <v>13.91</v>
      </c>
      <c r="E65" s="116">
        <f t="shared" si="10"/>
        <v>27.92</v>
      </c>
      <c r="F65" s="444" t="s">
        <v>14</v>
      </c>
      <c r="G65" s="443">
        <v>253</v>
      </c>
      <c r="H65" s="457">
        <f>'1461'!H65</f>
        <v>6685</v>
      </c>
      <c r="I65" s="101">
        <f t="shared" si="11"/>
        <v>186645.2</v>
      </c>
      <c r="N65" s="619"/>
      <c r="O65" s="619"/>
      <c r="P65" s="623"/>
      <c r="Q65" s="623"/>
      <c r="R65" s="40" t="s">
        <v>14</v>
      </c>
      <c r="S65" s="449">
        <v>253</v>
      </c>
      <c r="T65" s="460">
        <f t="shared" si="12"/>
        <v>6685</v>
      </c>
      <c r="U65" s="475">
        <f t="shared" si="13"/>
        <v>0</v>
      </c>
      <c r="V65" s="424"/>
    </row>
    <row r="66" spans="1:22" ht="16.5" thickBot="1" x14ac:dyDescent="0.3">
      <c r="A66" s="440"/>
      <c r="C66" s="97">
        <f>SUM(C57:C65)</f>
        <v>45.43</v>
      </c>
      <c r="D66" s="97">
        <f>SUM(D57:D65)</f>
        <v>48.319999999999993</v>
      </c>
      <c r="E66" s="97">
        <f>SUM(E57:E65)</f>
        <v>93.75</v>
      </c>
      <c r="F66" s="590" t="s">
        <v>448</v>
      </c>
      <c r="G66" s="590"/>
      <c r="H66" s="590"/>
      <c r="I66" s="97">
        <f>SUM(I57:I65)</f>
        <v>392161.74</v>
      </c>
      <c r="N66" s="446"/>
      <c r="O66" s="51"/>
      <c r="P66" s="602">
        <f>SUM(P57:P65)</f>
        <v>0</v>
      </c>
      <c r="Q66" s="602"/>
      <c r="R66" s="603" t="s">
        <v>448</v>
      </c>
      <c r="S66" s="603"/>
      <c r="T66" s="603"/>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450</v>
      </c>
      <c r="N68" s="453" t="s">
        <v>458</v>
      </c>
      <c r="O68" s="51"/>
      <c r="P68" s="51"/>
      <c r="Q68" s="51"/>
      <c r="R68" s="51"/>
      <c r="S68" s="51"/>
      <c r="T68" s="51"/>
      <c r="U68" s="51"/>
    </row>
    <row r="69" spans="1:22" x14ac:dyDescent="0.25">
      <c r="A69" s="584" t="s">
        <v>403</v>
      </c>
      <c r="B69" s="578"/>
      <c r="C69" s="112">
        <f>E30</f>
        <v>93.75</v>
      </c>
      <c r="D69" s="565" t="s">
        <v>414</v>
      </c>
      <c r="E69" s="565"/>
      <c r="F69" s="565"/>
      <c r="G69" s="565"/>
      <c r="H69" s="300">
        <f>'1461'!H69</f>
        <v>210228.91</v>
      </c>
      <c r="I69" s="113"/>
      <c r="N69" s="600" t="s">
        <v>407</v>
      </c>
      <c r="O69" s="601"/>
      <c r="P69" s="41">
        <f>P30</f>
        <v>93.75</v>
      </c>
      <c r="Q69" s="606" t="s">
        <v>409</v>
      </c>
      <c r="R69" s="607"/>
      <c r="S69" s="607"/>
      <c r="T69" s="604">
        <f>H69</f>
        <v>210228.91</v>
      </c>
      <c r="U69" s="604"/>
    </row>
    <row r="70" spans="1:22" x14ac:dyDescent="0.25">
      <c r="B70" s="69"/>
      <c r="G70" s="42" t="s">
        <v>12</v>
      </c>
      <c r="H70" s="114">
        <f>ROUND(C69/H69,6)</f>
        <v>4.46E-4</v>
      </c>
      <c r="I70" s="115"/>
      <c r="N70" s="601"/>
      <c r="O70" s="601"/>
      <c r="P70" s="601"/>
      <c r="Q70" s="601"/>
      <c r="R70" s="601"/>
      <c r="S70" s="601"/>
      <c r="T70" s="605">
        <f>ROUND(P69/T69,6)</f>
        <v>4.46E-4</v>
      </c>
      <c r="U70" s="605"/>
    </row>
    <row r="71" spans="1:22" x14ac:dyDescent="0.25">
      <c r="A71" s="442" t="s">
        <v>451</v>
      </c>
      <c r="N71" s="453" t="s">
        <v>459</v>
      </c>
      <c r="O71" s="51"/>
      <c r="P71" s="51"/>
      <c r="Q71" s="51"/>
      <c r="R71" s="51"/>
      <c r="S71" s="51"/>
      <c r="T71" s="51"/>
      <c r="U71" s="51"/>
    </row>
    <row r="72" spans="1:22" x14ac:dyDescent="0.25">
      <c r="A72" s="584" t="s">
        <v>404</v>
      </c>
      <c r="B72" s="578"/>
      <c r="C72" s="112">
        <f>H30</f>
        <v>91.6875</v>
      </c>
      <c r="D72" s="565" t="s">
        <v>415</v>
      </c>
      <c r="E72" s="565"/>
      <c r="F72" s="565"/>
      <c r="G72" s="565"/>
      <c r="H72" s="301">
        <f>'1461'!H72</f>
        <v>234891.44</v>
      </c>
      <c r="I72" s="116"/>
      <c r="N72" s="600" t="s">
        <v>408</v>
      </c>
      <c r="O72" s="601"/>
      <c r="P72" s="41">
        <f>T30</f>
        <v>93.75</v>
      </c>
      <c r="Q72" s="606" t="s">
        <v>410</v>
      </c>
      <c r="R72" s="607"/>
      <c r="S72" s="607"/>
      <c r="T72" s="604">
        <f>H72</f>
        <v>234891.44</v>
      </c>
      <c r="U72" s="604"/>
    </row>
    <row r="73" spans="1:22" x14ac:dyDescent="0.25">
      <c r="G73" s="42" t="s">
        <v>12</v>
      </c>
      <c r="H73" s="114">
        <f>ROUND(C72/H72,6)</f>
        <v>3.8999999999999999E-4</v>
      </c>
      <c r="I73" s="114"/>
      <c r="N73" s="601"/>
      <c r="O73" s="601"/>
      <c r="P73" s="601"/>
      <c r="Q73" s="601"/>
      <c r="R73" s="601"/>
      <c r="S73" s="601"/>
      <c r="T73" s="605">
        <f>ROUND(P72/T72,6)</f>
        <v>3.9899999999999999E-4</v>
      </c>
      <c r="U73" s="605"/>
    </row>
    <row r="74" spans="1:22" x14ac:dyDescent="0.25">
      <c r="A74" s="417" t="s">
        <v>452</v>
      </c>
      <c r="B74" s="414"/>
      <c r="C74" s="414"/>
      <c r="D74" s="414"/>
      <c r="E74" s="414"/>
      <c r="F74" s="414"/>
      <c r="G74" s="414"/>
      <c r="H74" s="414"/>
      <c r="I74" s="414"/>
      <c r="N74" s="416" t="s">
        <v>460</v>
      </c>
      <c r="O74" s="415"/>
      <c r="P74" s="415"/>
      <c r="Q74" s="415"/>
      <c r="R74" s="415"/>
      <c r="S74" s="415"/>
      <c r="T74" s="415"/>
      <c r="U74" s="415"/>
      <c r="V74" s="414"/>
    </row>
    <row r="75" spans="1:22" x14ac:dyDescent="0.25">
      <c r="A75" s="584" t="s">
        <v>405</v>
      </c>
      <c r="B75" s="578"/>
      <c r="C75" s="112">
        <f>E30</f>
        <v>93.75</v>
      </c>
      <c r="D75" s="557" t="s">
        <v>416</v>
      </c>
      <c r="E75" s="557"/>
      <c r="F75" s="557"/>
      <c r="G75" s="557"/>
      <c r="H75" s="300">
        <f>'1461'!H75</f>
        <v>187665.41</v>
      </c>
      <c r="I75" s="113"/>
      <c r="N75" s="600" t="s">
        <v>406</v>
      </c>
      <c r="O75" s="601"/>
      <c r="P75" s="41">
        <f>P30</f>
        <v>93.75</v>
      </c>
      <c r="Q75" s="636" t="s">
        <v>411</v>
      </c>
      <c r="R75" s="637"/>
      <c r="S75" s="637"/>
      <c r="T75" s="604">
        <f>H75</f>
        <v>187665.41</v>
      </c>
      <c r="U75" s="604"/>
    </row>
    <row r="76" spans="1:22" x14ac:dyDescent="0.25">
      <c r="B76" s="69"/>
      <c r="G76" s="42" t="s">
        <v>12</v>
      </c>
      <c r="H76" s="114">
        <f>ROUND(C75/H75,6)</f>
        <v>5.0000000000000001E-4</v>
      </c>
      <c r="I76" s="115"/>
      <c r="N76" s="601"/>
      <c r="O76" s="601"/>
      <c r="P76" s="601"/>
      <c r="Q76" s="601"/>
      <c r="R76" s="601"/>
      <c r="S76" s="601"/>
      <c r="T76" s="605">
        <f>ROUND(P75/T75,6)</f>
        <v>5.0000000000000001E-4</v>
      </c>
      <c r="U76" s="605"/>
    </row>
    <row r="77" spans="1:22" x14ac:dyDescent="0.25">
      <c r="A77" s="417" t="s">
        <v>453</v>
      </c>
      <c r="B77" s="414"/>
      <c r="C77" s="414"/>
      <c r="D77" s="414"/>
      <c r="E77" s="414"/>
      <c r="F77" s="414"/>
      <c r="G77" s="414"/>
      <c r="H77" s="414"/>
      <c r="I77" s="414"/>
      <c r="N77" s="416" t="s">
        <v>461</v>
      </c>
      <c r="O77" s="415"/>
      <c r="P77" s="415"/>
      <c r="Q77" s="415"/>
      <c r="R77" s="415"/>
      <c r="S77" s="415"/>
      <c r="T77" s="415"/>
      <c r="U77" s="415"/>
      <c r="V77" s="414"/>
    </row>
    <row r="78" spans="1:22" x14ac:dyDescent="0.25">
      <c r="A78" s="584" t="s">
        <v>405</v>
      </c>
      <c r="B78" s="578"/>
      <c r="C78" s="112">
        <f>E30</f>
        <v>93.75</v>
      </c>
      <c r="D78" s="585" t="s">
        <v>417</v>
      </c>
      <c r="E78" s="585"/>
      <c r="F78" s="585"/>
      <c r="G78" s="585"/>
      <c r="H78" s="300">
        <f>'1461'!H78</f>
        <v>209892.26</v>
      </c>
      <c r="I78" s="113"/>
      <c r="N78" s="600" t="s">
        <v>406</v>
      </c>
      <c r="O78" s="601"/>
      <c r="P78" s="41">
        <f>P30</f>
        <v>93.75</v>
      </c>
      <c r="Q78" s="634" t="s">
        <v>412</v>
      </c>
      <c r="R78" s="635"/>
      <c r="S78" s="635"/>
      <c r="T78" s="604">
        <f>H78</f>
        <v>209892.26</v>
      </c>
      <c r="U78" s="604"/>
    </row>
    <row r="79" spans="1:22" x14ac:dyDescent="0.25">
      <c r="B79" s="69"/>
      <c r="G79" s="42" t="s">
        <v>12</v>
      </c>
      <c r="H79" s="114">
        <f>ROUND(C78/H78,6)</f>
        <v>4.4700000000000002E-4</v>
      </c>
      <c r="I79" s="115"/>
      <c r="N79" s="601"/>
      <c r="O79" s="601"/>
      <c r="P79" s="601"/>
      <c r="Q79" s="601"/>
      <c r="R79" s="601"/>
      <c r="S79" s="601"/>
      <c r="T79" s="605">
        <f>ROUND(P78/T78,6)</f>
        <v>4.4700000000000002E-4</v>
      </c>
      <c r="U79" s="605"/>
    </row>
    <row r="80" spans="1:22" x14ac:dyDescent="0.25">
      <c r="A80" s="417" t="s">
        <v>454</v>
      </c>
      <c r="B80" s="414"/>
      <c r="C80" s="414"/>
      <c r="D80" s="414"/>
      <c r="E80" s="414"/>
      <c r="F80" s="414"/>
      <c r="G80" s="414"/>
      <c r="H80" s="414"/>
      <c r="I80" s="414"/>
      <c r="N80" s="416" t="s">
        <v>462</v>
      </c>
      <c r="O80" s="415"/>
      <c r="P80" s="415"/>
      <c r="Q80" s="415"/>
      <c r="R80" s="415"/>
      <c r="S80" s="415"/>
      <c r="T80" s="415"/>
      <c r="U80" s="415"/>
      <c r="V80" s="414"/>
    </row>
    <row r="81" spans="1:21" x14ac:dyDescent="0.25">
      <c r="A81" s="584" t="s">
        <v>413</v>
      </c>
      <c r="B81" s="578"/>
      <c r="C81" s="112">
        <f>E30</f>
        <v>93.75</v>
      </c>
      <c r="D81" s="557" t="s">
        <v>418</v>
      </c>
      <c r="E81" s="557"/>
      <c r="F81" s="557"/>
      <c r="G81" s="557"/>
      <c r="H81" s="300">
        <f>'1461'!H81</f>
        <v>187328.76</v>
      </c>
      <c r="I81" s="113"/>
      <c r="N81" s="600" t="s">
        <v>419</v>
      </c>
      <c r="O81" s="601"/>
      <c r="P81" s="41">
        <f>P30</f>
        <v>93.75</v>
      </c>
      <c r="Q81" s="636" t="s">
        <v>420</v>
      </c>
      <c r="R81" s="637"/>
      <c r="S81" s="637"/>
      <c r="T81" s="604">
        <f>H81</f>
        <v>187328.76</v>
      </c>
      <c r="U81" s="604"/>
    </row>
    <row r="82" spans="1:21" x14ac:dyDescent="0.25">
      <c r="B82" s="69"/>
      <c r="G82" s="42" t="s">
        <v>12</v>
      </c>
      <c r="H82" s="114">
        <f>ROUND(C81/H81,6)</f>
        <v>5.0000000000000001E-4</v>
      </c>
      <c r="I82" s="115"/>
      <c r="N82" s="601"/>
      <c r="O82" s="601"/>
      <c r="P82" s="601"/>
      <c r="Q82" s="601"/>
      <c r="R82" s="601"/>
      <c r="S82" s="601"/>
      <c r="T82" s="605">
        <f>ROUND(P81/T81,6)</f>
        <v>5.0000000000000001E-4</v>
      </c>
      <c r="U82" s="605"/>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455</v>
      </c>
      <c r="D85" s="69"/>
      <c r="E85" s="43" t="s">
        <v>299</v>
      </c>
      <c r="F85" s="302">
        <f>'1461'!F85</f>
        <v>46163704</v>
      </c>
      <c r="G85" s="37" t="s">
        <v>6</v>
      </c>
      <c r="H85" s="422">
        <f>H79</f>
        <v>4.4700000000000002E-4</v>
      </c>
      <c r="I85" s="101">
        <f>ROUND(F85*H85,2)</f>
        <v>20635.18</v>
      </c>
      <c r="N85" s="453" t="s">
        <v>455</v>
      </c>
      <c r="O85" s="51"/>
      <c r="P85" s="51"/>
      <c r="Q85" s="44"/>
      <c r="R85" s="419">
        <f>F85</f>
        <v>46163704</v>
      </c>
      <c r="S85" s="38" t="s">
        <v>6</v>
      </c>
      <c r="T85" s="421">
        <f>T79</f>
        <v>4.4700000000000002E-4</v>
      </c>
      <c r="U85" s="473">
        <f>ROUND(R85*T85,2)</f>
        <v>20635.18</v>
      </c>
    </row>
    <row r="86" spans="1:21" x14ac:dyDescent="0.25">
      <c r="A86" s="399"/>
      <c r="D86" s="69"/>
      <c r="E86" s="43"/>
      <c r="F86" s="117"/>
      <c r="G86" s="37"/>
      <c r="H86" s="422"/>
      <c r="I86" s="101"/>
      <c r="N86" s="51"/>
      <c r="O86" s="51"/>
      <c r="P86" s="51"/>
      <c r="Q86" s="44"/>
      <c r="R86" s="420"/>
      <c r="S86" s="38"/>
      <c r="T86" s="421"/>
      <c r="U86" s="477"/>
    </row>
    <row r="87" spans="1:21" x14ac:dyDescent="0.25">
      <c r="A87" s="587" t="s">
        <v>71</v>
      </c>
      <c r="B87" s="578"/>
      <c r="C87" s="578"/>
      <c r="D87" s="69"/>
      <c r="E87" s="43"/>
      <c r="F87" s="117"/>
      <c r="G87" s="37"/>
      <c r="H87" s="422"/>
      <c r="I87" s="101"/>
      <c r="N87" s="600" t="s">
        <v>463</v>
      </c>
      <c r="O87" s="601"/>
      <c r="P87" s="601"/>
      <c r="Q87" s="51"/>
      <c r="R87" s="420"/>
      <c r="S87" s="51"/>
      <c r="T87" s="38"/>
      <c r="U87" s="478"/>
    </row>
    <row r="88" spans="1:21" x14ac:dyDescent="0.25">
      <c r="A88" s="587" t="s">
        <v>99</v>
      </c>
      <c r="B88" s="578"/>
      <c r="C88" s="578"/>
      <c r="D88" s="69"/>
      <c r="E88" s="43" t="s">
        <v>3</v>
      </c>
      <c r="F88" s="302">
        <f>'1461'!F88</f>
        <v>0</v>
      </c>
      <c r="G88" s="37" t="s">
        <v>6</v>
      </c>
      <c r="H88" s="422">
        <f>H70</f>
        <v>4.46E-4</v>
      </c>
      <c r="I88" s="101">
        <f>ROUND(F88*H88,2)</f>
        <v>0</v>
      </c>
      <c r="N88" s="638" t="s">
        <v>99</v>
      </c>
      <c r="O88" s="601"/>
      <c r="P88" s="601"/>
      <c r="Q88" s="44"/>
      <c r="R88" s="419">
        <f>F88</f>
        <v>0</v>
      </c>
      <c r="S88" s="38" t="s">
        <v>6</v>
      </c>
      <c r="T88" s="421">
        <f>T70</f>
        <v>4.46E-4</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456</v>
      </c>
      <c r="D90" s="69"/>
      <c r="E90" s="43" t="s">
        <v>421</v>
      </c>
      <c r="F90" s="302">
        <f>'1461'!F90</f>
        <v>19042026</v>
      </c>
      <c r="G90" s="37" t="s">
        <v>6</v>
      </c>
      <c r="H90" s="422">
        <f>H82</f>
        <v>5.0000000000000001E-4</v>
      </c>
      <c r="I90" s="101">
        <f>ROUND(F90*H90,2)</f>
        <v>9521.01</v>
      </c>
      <c r="N90" s="453" t="s">
        <v>456</v>
      </c>
      <c r="O90" s="51"/>
      <c r="P90" s="51"/>
      <c r="Q90" s="44"/>
      <c r="R90" s="419">
        <f>F90</f>
        <v>19042026</v>
      </c>
      <c r="S90" s="38" t="s">
        <v>6</v>
      </c>
      <c r="T90" s="421">
        <f>T82</f>
        <v>5.0000000000000001E-4</v>
      </c>
      <c r="U90" s="473">
        <f>ROUND(R90*T90,2)</f>
        <v>9521.01</v>
      </c>
    </row>
    <row r="91" spans="1:21" x14ac:dyDescent="0.25">
      <c r="A91" s="399"/>
      <c r="D91" s="69"/>
      <c r="E91" s="43"/>
      <c r="F91" s="117"/>
      <c r="G91" s="37"/>
      <c r="H91" s="422"/>
      <c r="I91" s="101"/>
      <c r="N91" s="407"/>
      <c r="O91" s="51"/>
      <c r="P91" s="51"/>
      <c r="Q91" s="44"/>
      <c r="R91" s="419"/>
      <c r="S91" s="38"/>
      <c r="T91" s="421"/>
      <c r="U91" s="473"/>
    </row>
    <row r="92" spans="1:21" x14ac:dyDescent="0.25">
      <c r="A92" s="451" t="s">
        <v>457</v>
      </c>
      <c r="D92" s="69"/>
      <c r="E92" s="43" t="s">
        <v>3</v>
      </c>
      <c r="F92" s="302">
        <f>'1461'!F92</f>
        <v>11441151</v>
      </c>
      <c r="G92" s="37" t="s">
        <v>6</v>
      </c>
      <c r="H92" s="422">
        <f>H76</f>
        <v>5.0000000000000001E-4</v>
      </c>
      <c r="I92" s="101">
        <f t="shared" ref="I92:I96" si="14">ROUND(F92*H92,2)</f>
        <v>5720.58</v>
      </c>
      <c r="N92" s="453" t="s">
        <v>457</v>
      </c>
      <c r="O92" s="51"/>
      <c r="P92" s="51"/>
      <c r="Q92" s="44"/>
      <c r="R92" s="419">
        <f t="shared" ref="R92:R96" si="15">F92</f>
        <v>11441151</v>
      </c>
      <c r="S92" s="38" t="s">
        <v>6</v>
      </c>
      <c r="T92" s="421">
        <f>T76</f>
        <v>5.0000000000000001E-4</v>
      </c>
      <c r="U92" s="473">
        <f>ROUND(R92*T92,2)</f>
        <v>5720.58</v>
      </c>
    </row>
    <row r="93" spans="1:21" x14ac:dyDescent="0.25">
      <c r="A93" s="81"/>
      <c r="D93" s="69"/>
      <c r="E93" s="43"/>
      <c r="F93" s="117"/>
      <c r="G93" s="37"/>
      <c r="H93" s="422"/>
      <c r="I93" s="101"/>
      <c r="N93" s="383"/>
      <c r="O93" s="51"/>
      <c r="P93" s="51"/>
      <c r="Q93" s="44"/>
      <c r="R93" s="420"/>
      <c r="S93" s="38"/>
      <c r="T93" s="421"/>
      <c r="U93" s="477"/>
    </row>
    <row r="94" spans="1:21" x14ac:dyDescent="0.25">
      <c r="A94" s="584" t="s">
        <v>422</v>
      </c>
      <c r="B94" s="578"/>
      <c r="C94" s="578"/>
      <c r="D94" s="69"/>
      <c r="E94" s="43" t="s">
        <v>4</v>
      </c>
      <c r="F94" s="302">
        <f>'1461'!F94</f>
        <v>247265670</v>
      </c>
      <c r="G94" s="37" t="s">
        <v>6</v>
      </c>
      <c r="H94" s="422">
        <f>H73</f>
        <v>3.8999999999999999E-4</v>
      </c>
      <c r="I94" s="101">
        <f t="shared" si="14"/>
        <v>96433.61</v>
      </c>
      <c r="N94" s="601" t="s">
        <v>422</v>
      </c>
      <c r="O94" s="601"/>
      <c r="P94" s="601"/>
      <c r="Q94" s="44"/>
      <c r="R94" s="419">
        <f t="shared" si="15"/>
        <v>247265670</v>
      </c>
      <c r="S94" s="38" t="s">
        <v>6</v>
      </c>
      <c r="T94" s="421">
        <f>T73</f>
        <v>3.9899999999999999E-4</v>
      </c>
      <c r="U94" s="473">
        <f>ROUND(R94*T94,2)</f>
        <v>98659</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4" t="s">
        <v>423</v>
      </c>
      <c r="B96" s="578"/>
      <c r="C96" s="578"/>
      <c r="D96" s="69"/>
      <c r="E96" s="43" t="s">
        <v>4</v>
      </c>
      <c r="F96" s="302">
        <f>'1461'!F96</f>
        <v>0</v>
      </c>
      <c r="G96" s="37" t="s">
        <v>6</v>
      </c>
      <c r="H96" s="422">
        <f>H73</f>
        <v>3.8999999999999999E-4</v>
      </c>
      <c r="I96" s="101">
        <f t="shared" si="14"/>
        <v>0</v>
      </c>
      <c r="N96" s="600" t="s">
        <v>423</v>
      </c>
      <c r="O96" s="601"/>
      <c r="P96" s="601"/>
      <c r="Q96" s="44"/>
      <c r="R96" s="419">
        <f t="shared" si="15"/>
        <v>0</v>
      </c>
      <c r="S96" s="38" t="s">
        <v>6</v>
      </c>
      <c r="T96" s="421">
        <f>T73</f>
        <v>3.9899999999999999E-4</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530" t="s">
        <v>497</v>
      </c>
      <c r="B98" s="529"/>
      <c r="C98" s="529"/>
      <c r="D98" s="529"/>
      <c r="E98" s="527" t="s">
        <v>3</v>
      </c>
      <c r="F98" s="290">
        <v>0</v>
      </c>
      <c r="G98" s="528" t="s">
        <v>6</v>
      </c>
      <c r="H98" s="422">
        <f>H70</f>
        <v>4.46E-4</v>
      </c>
      <c r="I98" s="101">
        <f t="shared" ref="I98" si="16">ROUND(F98*H98,2)</f>
        <v>0</v>
      </c>
      <c r="N98" s="533" t="s">
        <v>497</v>
      </c>
      <c r="O98" s="533"/>
      <c r="P98" s="533"/>
      <c r="Q98" s="44"/>
      <c r="R98" s="536">
        <f>F98</f>
        <v>0</v>
      </c>
      <c r="S98" s="534" t="s">
        <v>6</v>
      </c>
      <c r="T98" s="421">
        <f>T70</f>
        <v>4.46E-4</v>
      </c>
      <c r="U98" s="473">
        <f>ROUND(R98*T98,2)</f>
        <v>0</v>
      </c>
    </row>
    <row r="99" spans="1:21" x14ac:dyDescent="0.25">
      <c r="A99" s="530"/>
      <c r="B99" s="529"/>
      <c r="C99" s="529"/>
      <c r="D99" s="529"/>
      <c r="E99" s="527"/>
      <c r="F99" s="276"/>
      <c r="G99" s="528"/>
      <c r="H99" s="422"/>
      <c r="I99" s="101"/>
      <c r="N99" s="533"/>
      <c r="O99" s="533"/>
      <c r="P99" s="533"/>
      <c r="Q99" s="44"/>
      <c r="R99" s="535"/>
      <c r="S99" s="534"/>
      <c r="T99" s="421"/>
      <c r="U99" s="477"/>
    </row>
    <row r="100" spans="1:21" x14ac:dyDescent="0.25">
      <c r="A100" s="530"/>
      <c r="B100" s="529"/>
      <c r="C100" s="529"/>
      <c r="D100" s="529"/>
      <c r="E100" s="527"/>
      <c r="F100" s="276"/>
      <c r="G100" s="528"/>
      <c r="H100" s="422"/>
      <c r="I100" s="101"/>
      <c r="N100" s="533"/>
      <c r="O100" s="533"/>
      <c r="P100" s="533"/>
      <c r="Q100" s="44"/>
      <c r="R100" s="420"/>
      <c r="S100" s="534"/>
      <c r="T100" s="421"/>
      <c r="U100" s="103"/>
    </row>
    <row r="101" spans="1:21" x14ac:dyDescent="0.25">
      <c r="A101" s="399" t="s">
        <v>498</v>
      </c>
      <c r="N101" s="407" t="s">
        <v>498</v>
      </c>
      <c r="O101" s="51"/>
      <c r="P101" s="51"/>
      <c r="Q101" s="51"/>
      <c r="R101" s="51"/>
      <c r="S101" s="51"/>
      <c r="T101" s="51"/>
      <c r="U101" s="51"/>
    </row>
    <row r="102" spans="1:21" x14ac:dyDescent="0.25">
      <c r="B102" s="69"/>
      <c r="C102" s="563" t="s">
        <v>60</v>
      </c>
      <c r="D102" s="563"/>
      <c r="E102" s="69"/>
      <c r="F102" s="39" t="s">
        <v>28</v>
      </c>
      <c r="G102" s="69"/>
      <c r="H102" s="69"/>
      <c r="I102" s="69"/>
      <c r="N102" s="45"/>
      <c r="O102" s="45"/>
      <c r="P102" s="45"/>
      <c r="Q102" s="45"/>
      <c r="R102" s="45"/>
      <c r="S102" s="45"/>
      <c r="T102" s="45"/>
      <c r="U102" s="45"/>
    </row>
    <row r="103" spans="1:21" x14ac:dyDescent="0.25">
      <c r="A103" s="3"/>
      <c r="B103" s="118"/>
      <c r="C103" s="564" t="s">
        <v>101</v>
      </c>
      <c r="D103" s="564"/>
      <c r="E103" s="423" t="s">
        <v>426</v>
      </c>
      <c r="F103" s="120" t="s">
        <v>106</v>
      </c>
      <c r="G103" s="121"/>
      <c r="H103" s="121"/>
      <c r="I103" s="121"/>
      <c r="N103" s="631" t="s">
        <v>35</v>
      </c>
      <c r="O103" s="631"/>
      <c r="P103" s="672" t="s">
        <v>428</v>
      </c>
      <c r="Q103" s="633"/>
      <c r="R103" s="604" t="s">
        <v>31</v>
      </c>
      <c r="S103" s="604"/>
      <c r="T103" s="604"/>
      <c r="U103" s="604"/>
    </row>
    <row r="104" spans="1:21" x14ac:dyDescent="0.25">
      <c r="A104" s="26"/>
      <c r="B104" s="52" t="s">
        <v>105</v>
      </c>
      <c r="C104" s="596">
        <f>H14+H15+H20+H23+H26</f>
        <v>0</v>
      </c>
      <c r="D104" s="596"/>
      <c r="E104" s="46">
        <f>H8</f>
        <v>1.0407999999999999</v>
      </c>
      <c r="F104" s="303">
        <f>'1461'!F104</f>
        <v>950.92</v>
      </c>
      <c r="G104" s="39" t="s">
        <v>12</v>
      </c>
      <c r="H104" s="101">
        <f>ROUND(C104*E104*F104,2)</f>
        <v>0</v>
      </c>
      <c r="I104" s="104"/>
      <c r="N104" s="28" t="s">
        <v>17</v>
      </c>
      <c r="O104" s="47">
        <f>T14+T15+T20+T23+T26</f>
        <v>0</v>
      </c>
      <c r="P104" s="611">
        <f>T8</f>
        <v>1.0407999999999999</v>
      </c>
      <c r="Q104" s="611"/>
      <c r="R104" s="48">
        <f>F104</f>
        <v>950.92</v>
      </c>
      <c r="S104" s="40" t="s">
        <v>12</v>
      </c>
      <c r="T104" s="479">
        <f>ROUND(O104*P104*R104,2)</f>
        <v>0</v>
      </c>
      <c r="U104" s="102"/>
    </row>
    <row r="105" spans="1:21" x14ac:dyDescent="0.25">
      <c r="A105" s="49"/>
      <c r="B105" s="49" t="s">
        <v>104</v>
      </c>
      <c r="C105" s="596">
        <f>H16+H17+H21+H24+H27</f>
        <v>0</v>
      </c>
      <c r="D105" s="596"/>
      <c r="E105" s="46">
        <f>H8</f>
        <v>1.0407999999999999</v>
      </c>
      <c r="F105" s="303">
        <f>'1461'!F105</f>
        <v>907.92</v>
      </c>
      <c r="G105" s="39" t="s">
        <v>12</v>
      </c>
      <c r="H105" s="101">
        <f>ROUND(C105*E105*F105,2)</f>
        <v>0</v>
      </c>
      <c r="N105" s="50" t="s">
        <v>13</v>
      </c>
      <c r="O105" s="47">
        <f>T16+T17+T21+T24+T27</f>
        <v>0</v>
      </c>
      <c r="P105" s="611">
        <f>T8</f>
        <v>1.0407999999999999</v>
      </c>
      <c r="Q105" s="611"/>
      <c r="R105" s="48">
        <f>F105</f>
        <v>907.92</v>
      </c>
      <c r="S105" s="40" t="s">
        <v>12</v>
      </c>
      <c r="T105" s="479">
        <f>ROUND(O105*P105*R105,2)</f>
        <v>0</v>
      </c>
      <c r="U105" s="51"/>
    </row>
    <row r="106" spans="1:21" ht="16.5" thickBot="1" x14ac:dyDescent="0.3">
      <c r="A106" s="52"/>
      <c r="B106" s="52" t="s">
        <v>103</v>
      </c>
      <c r="C106" s="596">
        <f>H18+H19+H22+H25+H28+H29</f>
        <v>91.6875</v>
      </c>
      <c r="D106" s="596"/>
      <c r="E106" s="46">
        <f>H8</f>
        <v>1.0407999999999999</v>
      </c>
      <c r="F106" s="303">
        <f>'1461'!F106</f>
        <v>910.12</v>
      </c>
      <c r="G106" s="39" t="s">
        <v>12</v>
      </c>
      <c r="H106" s="94">
        <f>ROUND(C106*E106*F106,2)</f>
        <v>86851.25</v>
      </c>
      <c r="N106" s="53" t="s">
        <v>14</v>
      </c>
      <c r="O106" s="54">
        <f>T18+T19+T22+T25+T28+T29</f>
        <v>93.75</v>
      </c>
      <c r="P106" s="611">
        <f>T8</f>
        <v>1.0407999999999999</v>
      </c>
      <c r="Q106" s="611"/>
      <c r="R106" s="48">
        <f>F106</f>
        <v>910.12</v>
      </c>
      <c r="S106" s="40" t="s">
        <v>12</v>
      </c>
      <c r="T106" s="479">
        <f>ROUND(O106*P106*R106,2)</f>
        <v>88804.96</v>
      </c>
      <c r="U106" s="51"/>
    </row>
    <row r="107" spans="1:21" ht="16.5" thickBot="1" x14ac:dyDescent="0.3">
      <c r="A107" s="55"/>
      <c r="B107" s="122" t="s">
        <v>102</v>
      </c>
      <c r="C107" s="586">
        <f>SUM(C104:C106)</f>
        <v>91.6875</v>
      </c>
      <c r="D107" s="586"/>
      <c r="E107" s="123"/>
      <c r="F107" s="123"/>
      <c r="G107" s="123"/>
      <c r="H107" s="124" t="s">
        <v>100</v>
      </c>
      <c r="I107" s="101">
        <f>IF(A1=75,0,H106+H105+H104)</f>
        <v>86851.25</v>
      </c>
      <c r="N107" s="56" t="s">
        <v>89</v>
      </c>
      <c r="O107" s="57">
        <f>SUM(O104:O106)</f>
        <v>93.75</v>
      </c>
      <c r="P107" s="612" t="s">
        <v>16</v>
      </c>
      <c r="Q107" s="613"/>
      <c r="R107" s="613"/>
      <c r="S107" s="613"/>
      <c r="T107" s="613"/>
      <c r="U107" s="473">
        <f>IF(N1=75,0,T106+T105+T104)</f>
        <v>88804.96</v>
      </c>
    </row>
    <row r="108" spans="1:21" ht="16.5" thickTop="1" x14ac:dyDescent="0.25">
      <c r="A108" s="555" t="s">
        <v>65</v>
      </c>
      <c r="B108" s="555"/>
      <c r="C108" s="555"/>
      <c r="D108" s="555"/>
      <c r="E108" s="555"/>
      <c r="F108" s="555"/>
      <c r="G108" s="555"/>
      <c r="H108" s="555"/>
      <c r="I108" s="555"/>
      <c r="N108" s="614" t="s">
        <v>65</v>
      </c>
      <c r="O108" s="614"/>
      <c r="P108" s="614"/>
      <c r="Q108" s="614"/>
      <c r="R108" s="614"/>
      <c r="S108" s="614"/>
      <c r="T108" s="614"/>
      <c r="U108" s="614"/>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0" t="s">
        <v>499</v>
      </c>
      <c r="C110" s="43"/>
      <c r="D110" s="69"/>
      <c r="E110" s="43" t="s">
        <v>32</v>
      </c>
      <c r="F110" s="556"/>
      <c r="G110" s="556"/>
      <c r="H110" s="556"/>
      <c r="I110" s="556"/>
      <c r="N110" s="600" t="s">
        <v>499</v>
      </c>
      <c r="O110" s="601"/>
      <c r="P110" s="601"/>
      <c r="Q110" s="615"/>
      <c r="R110" s="615"/>
      <c r="S110" s="615"/>
      <c r="T110" s="615"/>
      <c r="U110" s="103"/>
    </row>
    <row r="111" spans="1:21" x14ac:dyDescent="0.25">
      <c r="B111" s="69"/>
      <c r="C111" s="88" t="s">
        <v>494</v>
      </c>
      <c r="D111" s="333" t="s">
        <v>495</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57" t="s">
        <v>381</v>
      </c>
      <c r="B113" s="558"/>
      <c r="C113" s="143">
        <v>66</v>
      </c>
      <c r="D113" s="143">
        <v>70</v>
      </c>
      <c r="E113" s="116">
        <f>(C113+D113)/2</f>
        <v>68</v>
      </c>
      <c r="F113" s="126" t="s">
        <v>30</v>
      </c>
      <c r="G113" s="304">
        <f>'1461'!G113</f>
        <v>576</v>
      </c>
      <c r="I113" s="101">
        <f>ROUND(G113*E113,2)</f>
        <v>39168</v>
      </c>
      <c r="N113" s="630" t="s">
        <v>52</v>
      </c>
      <c r="O113" s="630"/>
      <c r="P113" s="610">
        <f>IF(H133=1,E113,0)</f>
        <v>68</v>
      </c>
      <c r="Q113" s="610"/>
      <c r="R113" s="610"/>
      <c r="S113" s="83" t="s">
        <v>30</v>
      </c>
      <c r="T113" s="58">
        <f>G113</f>
        <v>576</v>
      </c>
      <c r="U113" s="473">
        <f>ROUND(T113*P113,2)</f>
        <v>39168</v>
      </c>
    </row>
    <row r="114" spans="1:21" x14ac:dyDescent="0.25">
      <c r="A114" s="557" t="s">
        <v>382</v>
      </c>
      <c r="B114" s="558"/>
      <c r="C114" s="143">
        <v>0</v>
      </c>
      <c r="D114" s="143">
        <v>0</v>
      </c>
      <c r="E114" s="116">
        <f>(C114+D114)/2</f>
        <v>0</v>
      </c>
      <c r="F114" s="126" t="s">
        <v>30</v>
      </c>
      <c r="G114" s="304">
        <f>'1461'!G114</f>
        <v>1823</v>
      </c>
      <c r="I114" s="101">
        <f>ROUND(G114*E114,2)</f>
        <v>0</v>
      </c>
      <c r="N114" s="630" t="s">
        <v>64</v>
      </c>
      <c r="O114" s="630"/>
      <c r="P114" s="608"/>
      <c r="Q114" s="608"/>
      <c r="R114" s="608"/>
      <c r="S114" s="83" t="s">
        <v>30</v>
      </c>
      <c r="T114" s="58">
        <f>G114</f>
        <v>1823</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4" t="s">
        <v>430</v>
      </c>
      <c r="B117" s="578"/>
      <c r="C117" s="578"/>
      <c r="D117" s="69"/>
      <c r="E117" s="39" t="s">
        <v>300</v>
      </c>
      <c r="F117" s="563"/>
      <c r="G117" s="563"/>
      <c r="H117" s="563"/>
      <c r="I117" s="563"/>
      <c r="N117" s="600" t="s">
        <v>431</v>
      </c>
      <c r="O117" s="601"/>
      <c r="P117" s="601"/>
      <c r="Q117" s="601"/>
      <c r="R117" s="601"/>
      <c r="S117" s="601"/>
      <c r="T117" s="601"/>
      <c r="U117" s="601"/>
    </row>
    <row r="118" spans="1:21" hidden="1" x14ac:dyDescent="0.25">
      <c r="B118" s="69"/>
      <c r="C118" s="564" t="s">
        <v>66</v>
      </c>
      <c r="D118" s="564"/>
      <c r="E118" s="564"/>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5" t="s">
        <v>109</v>
      </c>
      <c r="G119" s="563"/>
      <c r="H119" s="37" t="s">
        <v>29</v>
      </c>
      <c r="I119" s="37"/>
      <c r="N119" s="45"/>
      <c r="O119" s="45"/>
      <c r="P119" s="45"/>
      <c r="Q119" s="45"/>
      <c r="R119" s="45"/>
      <c r="S119" s="45"/>
      <c r="T119" s="45"/>
      <c r="U119" s="45"/>
    </row>
    <row r="120" spans="1:21" hidden="1" x14ac:dyDescent="0.25">
      <c r="A120" s="564" t="s">
        <v>69</v>
      </c>
      <c r="B120" s="564"/>
      <c r="C120" s="90" t="s">
        <v>2</v>
      </c>
      <c r="D120" s="90" t="s">
        <v>2</v>
      </c>
      <c r="E120" s="59" t="s">
        <v>2</v>
      </c>
      <c r="F120" s="564" t="s">
        <v>28</v>
      </c>
      <c r="G120" s="564"/>
      <c r="H120" s="59" t="s">
        <v>28</v>
      </c>
      <c r="I120" s="59" t="s">
        <v>8</v>
      </c>
      <c r="N120" s="609" t="s">
        <v>53</v>
      </c>
      <c r="O120" s="609"/>
      <c r="P120" s="610" t="s">
        <v>66</v>
      </c>
      <c r="Q120" s="610"/>
      <c r="R120" s="609" t="s">
        <v>54</v>
      </c>
      <c r="S120" s="609"/>
      <c r="T120" s="60" t="s">
        <v>55</v>
      </c>
      <c r="U120" s="60" t="s">
        <v>8</v>
      </c>
    </row>
    <row r="121" spans="1:21" hidden="1" x14ac:dyDescent="0.25">
      <c r="A121" s="561" t="s">
        <v>56</v>
      </c>
      <c r="B121" s="561"/>
      <c r="C121" s="141">
        <v>0</v>
      </c>
      <c r="D121" s="141">
        <v>0</v>
      </c>
      <c r="E121" s="187">
        <f>IF(D30=0,C121*2,C121+D121)</f>
        <v>0</v>
      </c>
      <c r="F121" s="562">
        <v>0</v>
      </c>
      <c r="G121" s="562"/>
      <c r="H121" s="224">
        <f>IF(C121=0,0,125)</f>
        <v>0</v>
      </c>
      <c r="I121" s="101">
        <f>ROUND((H121+F121)*E121,2)</f>
        <v>0</v>
      </c>
      <c r="N121" s="601" t="s">
        <v>56</v>
      </c>
      <c r="O121" s="601"/>
      <c r="P121" s="608">
        <f>IF(H$133=1,C121,0)</f>
        <v>0</v>
      </c>
      <c r="Q121" s="608"/>
      <c r="R121" s="628">
        <f>F121</f>
        <v>0</v>
      </c>
      <c r="S121" s="628"/>
      <c r="T121" s="62">
        <f>H121</f>
        <v>0</v>
      </c>
      <c r="U121" s="96">
        <f>ROUND((T121+R121)*P121,0)</f>
        <v>0</v>
      </c>
    </row>
    <row r="122" spans="1:21" hidden="1" x14ac:dyDescent="0.25">
      <c r="A122" s="581" t="s">
        <v>57</v>
      </c>
      <c r="B122" s="581"/>
      <c r="C122" s="143">
        <v>0</v>
      </c>
      <c r="D122" s="143">
        <v>0</v>
      </c>
      <c r="E122" s="116">
        <f>IF(D31=0,C122*2,C122+D122)</f>
        <v>0</v>
      </c>
      <c r="F122" s="598">
        <f>ROUND(F121/2,2)</f>
        <v>0</v>
      </c>
      <c r="G122" s="598"/>
      <c r="H122" s="224">
        <f>IF(C122=0,0,62.5)</f>
        <v>0</v>
      </c>
      <c r="I122" s="101">
        <f>ROUND((H122+F122)*E122,2)</f>
        <v>0</v>
      </c>
      <c r="N122" s="601" t="s">
        <v>57</v>
      </c>
      <c r="O122" s="601"/>
      <c r="P122" s="608">
        <f>IF(H$133=1,C122,0)</f>
        <v>0</v>
      </c>
      <c r="Q122" s="608"/>
      <c r="R122" s="629">
        <f>ROUND(R121/2,2)</f>
        <v>0</v>
      </c>
      <c r="S122" s="629"/>
      <c r="T122" s="62">
        <f>H122</f>
        <v>0</v>
      </c>
      <c r="U122" s="96">
        <f>ROUND((T122+R122)*P122,0)</f>
        <v>0</v>
      </c>
    </row>
    <row r="123" spans="1:21" ht="16.5" hidden="1" thickBot="1" x14ac:dyDescent="0.3">
      <c r="A123" s="581" t="s">
        <v>58</v>
      </c>
      <c r="B123" s="581"/>
      <c r="C123" s="143">
        <v>0</v>
      </c>
      <c r="D123" s="143">
        <v>0</v>
      </c>
      <c r="E123" s="116">
        <f>IF(D32=0,C123*2,C123+D123)</f>
        <v>0</v>
      </c>
      <c r="F123" s="599"/>
      <c r="G123" s="599"/>
      <c r="H123" s="225">
        <f>IF(H121&gt;0,436,0)</f>
        <v>0</v>
      </c>
      <c r="I123" s="101">
        <f>ROUND(H123*E123,2)</f>
        <v>0</v>
      </c>
      <c r="N123" s="616" t="s">
        <v>58</v>
      </c>
      <c r="O123" s="616"/>
      <c r="P123" s="608">
        <f>IF(H$133=1,C123,0)</f>
        <v>0</v>
      </c>
      <c r="Q123" s="608"/>
      <c r="R123" s="609"/>
      <c r="S123" s="609"/>
      <c r="T123" s="64">
        <f>H123</f>
        <v>0</v>
      </c>
      <c r="U123" s="103">
        <f>ROUND(T123*P123,0)</f>
        <v>0</v>
      </c>
    </row>
    <row r="124" spans="1:21" ht="16.5" hidden="1" thickBot="1" x14ac:dyDescent="0.3">
      <c r="A124" s="563" t="s">
        <v>8</v>
      </c>
      <c r="B124" s="563"/>
      <c r="C124" s="65"/>
      <c r="D124" s="65"/>
      <c r="E124" s="65"/>
      <c r="F124" s="65"/>
      <c r="G124" s="65"/>
      <c r="H124" s="65"/>
      <c r="I124" s="97">
        <f>SUM(I121:I123)</f>
        <v>0</v>
      </c>
      <c r="N124" s="627" t="s">
        <v>8</v>
      </c>
      <c r="O124" s="627"/>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4" t="s">
        <v>432</v>
      </c>
      <c r="B126" s="578"/>
      <c r="C126" s="578"/>
      <c r="D126" s="69"/>
      <c r="E126" s="68" t="s">
        <v>34</v>
      </c>
      <c r="F126" s="597"/>
      <c r="G126" s="597"/>
      <c r="H126" s="597"/>
      <c r="I126" s="154">
        <v>0</v>
      </c>
      <c r="N126" s="600" t="s">
        <v>432</v>
      </c>
      <c r="O126" s="601"/>
      <c r="P126" s="601"/>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90" t="s">
        <v>8</v>
      </c>
      <c r="B128" s="590"/>
      <c r="C128" s="590"/>
      <c r="D128" s="590"/>
      <c r="E128" s="590"/>
      <c r="F128" s="590"/>
      <c r="G128" s="590"/>
      <c r="H128" s="590"/>
      <c r="I128" s="94">
        <f>SUM(I46,I66,I85,I88,I90,I92,I94,I96,I107,I113,I114,I124,I126)</f>
        <v>1159218</v>
      </c>
      <c r="N128" s="453"/>
      <c r="O128" s="452"/>
      <c r="P128" s="452"/>
      <c r="Q128" s="306"/>
      <c r="R128" s="306"/>
      <c r="S128" s="306"/>
      <c r="T128" s="306"/>
      <c r="U128" s="480">
        <f>SUM(U30,U85,U88,U90,U92,U94,U96,U107,U113,U114,U124,U126)</f>
        <v>782679.1</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434</v>
      </c>
      <c r="B130" s="26"/>
      <c r="C130" s="26"/>
      <c r="D130" s="26"/>
      <c r="E130" s="26"/>
      <c r="F130" s="26"/>
      <c r="G130" s="26"/>
      <c r="H130" s="26"/>
      <c r="I130" s="101">
        <f>I128-I53</f>
        <v>1129050.51</v>
      </c>
      <c r="N130" s="601" t="s">
        <v>434</v>
      </c>
      <c r="O130" s="601"/>
      <c r="P130" s="601"/>
      <c r="Q130" s="601"/>
      <c r="R130" s="601"/>
      <c r="S130" s="601"/>
      <c r="T130" s="601"/>
      <c r="U130" s="132">
        <f>U128-U53</f>
        <v>751833</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4" t="s">
        <v>502</v>
      </c>
      <c r="B132" s="578"/>
      <c r="C132" s="578"/>
      <c r="D132" s="578"/>
      <c r="E132" s="578"/>
      <c r="F132" s="578"/>
      <c r="G132" s="578"/>
      <c r="H132" s="81" t="s">
        <v>333</v>
      </c>
      <c r="I132" s="134"/>
      <c r="N132" s="600" t="s">
        <v>502</v>
      </c>
      <c r="O132" s="601"/>
      <c r="P132" s="601"/>
      <c r="Q132" s="601"/>
      <c r="R132" s="601"/>
      <c r="S132" s="601"/>
      <c r="T132" s="601"/>
      <c r="U132" s="138"/>
    </row>
    <row r="133" spans="1:21" x14ac:dyDescent="0.25">
      <c r="A133" s="578" t="s">
        <v>70</v>
      </c>
      <c r="B133" s="578"/>
      <c r="C133" s="578"/>
      <c r="D133" s="578"/>
      <c r="E133" s="578"/>
      <c r="F133" s="578"/>
      <c r="G133" s="578"/>
      <c r="H133" s="70">
        <f>IF(E30=0,"",IF((E15+E17+SUM(E19:E25))/E30&gt;0.75,1,""))</f>
        <v>1</v>
      </c>
      <c r="I133" s="116">
        <f>U130</f>
        <v>751833</v>
      </c>
      <c r="N133" s="601" t="s">
        <v>70</v>
      </c>
      <c r="O133" s="601"/>
      <c r="P133" s="601"/>
      <c r="Q133" s="601"/>
      <c r="R133" s="601"/>
      <c r="S133" s="601"/>
      <c r="T133" s="601"/>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751833</v>
      </c>
      <c r="I135" s="94">
        <f>ROUND(IF(E30=0,0,IF(E30&gt;250,-(((250/E30)*H135)*IF(G135="H",0.02,0.05)),IF(G135="H",-0.02*H135,-0.05*H135))),2)</f>
        <v>-37591.65</v>
      </c>
      <c r="N135" s="626"/>
      <c r="O135" s="626"/>
      <c r="P135" s="626"/>
      <c r="Q135" s="626"/>
      <c r="R135" s="626"/>
      <c r="S135" s="626"/>
      <c r="T135" s="626"/>
      <c r="U135" s="626"/>
    </row>
    <row r="136" spans="1:21" x14ac:dyDescent="0.25">
      <c r="B136" s="69"/>
      <c r="C136" s="69"/>
      <c r="D136" s="69"/>
      <c r="E136" s="69"/>
      <c r="F136" s="69"/>
      <c r="G136" s="69"/>
      <c r="H136" s="65"/>
      <c r="I136" s="101"/>
      <c r="N136" s="624" t="s">
        <v>7</v>
      </c>
      <c r="O136" s="624"/>
      <c r="P136" s="624"/>
      <c r="Q136" s="624"/>
      <c r="R136" s="624"/>
      <c r="S136" s="624"/>
      <c r="T136" s="624"/>
      <c r="U136" s="624"/>
    </row>
    <row r="137" spans="1:21" x14ac:dyDescent="0.25">
      <c r="A137" s="309" t="s">
        <v>74</v>
      </c>
      <c r="B137" s="310"/>
      <c r="C137" s="310"/>
      <c r="D137" s="310"/>
      <c r="E137" s="310"/>
      <c r="F137" s="310"/>
      <c r="G137" s="310"/>
      <c r="H137" s="311"/>
      <c r="I137" s="312">
        <f>I128+I135</f>
        <v>1121626.3500000001</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Payments'!Q85</f>
        <v>0</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1121626.3500000001</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93468.86</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372</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373</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374</v>
      </c>
      <c r="B155" s="252"/>
      <c r="C155" s="252"/>
      <c r="D155" s="252"/>
      <c r="E155" s="252"/>
      <c r="F155" s="252"/>
      <c r="G155" s="252"/>
      <c r="H155" s="252"/>
      <c r="I155" s="252"/>
      <c r="N155" s="625"/>
      <c r="O155" s="625"/>
      <c r="P155" s="625"/>
      <c r="Q155" s="625"/>
      <c r="R155" s="625"/>
      <c r="S155" s="625"/>
      <c r="T155" s="625"/>
      <c r="U155" s="625"/>
    </row>
    <row r="156" spans="1:21" s="76" customFormat="1" x14ac:dyDescent="0.2">
      <c r="A156" s="320" t="s">
        <v>375</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376</v>
      </c>
      <c r="B157" s="252"/>
      <c r="C157" s="252"/>
      <c r="D157" s="252"/>
      <c r="E157" s="252"/>
      <c r="F157" s="252"/>
      <c r="G157" s="252"/>
      <c r="H157" s="252"/>
      <c r="I157" s="252"/>
      <c r="N157" s="78"/>
      <c r="O157" s="79"/>
      <c r="P157" s="79"/>
      <c r="Q157" s="79"/>
      <c r="R157" s="79"/>
      <c r="S157" s="79"/>
      <c r="T157" s="79"/>
      <c r="U157" s="79"/>
    </row>
    <row r="158" spans="1:21" s="76" customFormat="1" x14ac:dyDescent="0.2">
      <c r="A158" s="320" t="s">
        <v>377</v>
      </c>
      <c r="B158" s="252"/>
      <c r="C158" s="252"/>
      <c r="D158" s="252"/>
      <c r="E158" s="252"/>
      <c r="F158" s="252"/>
      <c r="G158" s="252"/>
      <c r="H158" s="252"/>
      <c r="I158" s="252"/>
      <c r="N158" s="78"/>
    </row>
    <row r="159" spans="1:21" s="76" customFormat="1" x14ac:dyDescent="0.2">
      <c r="A159" s="320" t="s">
        <v>379</v>
      </c>
      <c r="B159" s="252"/>
      <c r="C159" s="252"/>
      <c r="D159" s="252"/>
      <c r="E159" s="252"/>
      <c r="F159" s="252"/>
      <c r="G159" s="252"/>
      <c r="H159" s="252"/>
      <c r="I159" s="252"/>
      <c r="N159" s="78"/>
    </row>
    <row r="160" spans="1:21" s="76" customFormat="1" x14ac:dyDescent="0.2">
      <c r="A160" s="385" t="s">
        <v>378</v>
      </c>
      <c r="B160" s="252"/>
      <c r="C160" s="252"/>
      <c r="D160" s="252"/>
      <c r="E160" s="252"/>
      <c r="F160" s="252"/>
      <c r="G160" s="252"/>
      <c r="H160" s="252"/>
      <c r="I160" s="252"/>
      <c r="N160" s="78"/>
    </row>
    <row r="161" spans="1:14" s="76" customFormat="1" x14ac:dyDescent="0.2">
      <c r="A161" s="320" t="s">
        <v>380</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383</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385</v>
      </c>
      <c r="B165" s="293"/>
      <c r="C165" s="293"/>
      <c r="D165" s="293"/>
      <c r="E165" s="293"/>
      <c r="F165" s="293"/>
      <c r="G165" s="293"/>
      <c r="H165" s="293"/>
      <c r="I165" s="293"/>
      <c r="N165" s="78"/>
    </row>
    <row r="166" spans="1:14" s="76" customFormat="1" ht="15.75" customHeight="1" x14ac:dyDescent="0.2">
      <c r="A166" s="351" t="s">
        <v>384</v>
      </c>
      <c r="B166" s="293"/>
      <c r="C166" s="293"/>
      <c r="D166" s="293"/>
      <c r="E166" s="293"/>
      <c r="F166" s="293"/>
      <c r="G166" s="293"/>
      <c r="H166" s="293"/>
      <c r="I166" s="293"/>
      <c r="N166" s="78"/>
    </row>
    <row r="167" spans="1:14" s="76" customFormat="1" ht="15.75" customHeight="1" x14ac:dyDescent="0.2">
      <c r="A167" s="320" t="s">
        <v>386</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388</v>
      </c>
      <c r="B169" s="343"/>
      <c r="C169" s="343"/>
      <c r="D169" s="343"/>
      <c r="E169" s="343"/>
      <c r="F169" s="343"/>
      <c r="G169" s="343"/>
      <c r="H169" s="343"/>
      <c r="I169" s="343"/>
      <c r="N169" s="78"/>
    </row>
    <row r="170" spans="1:14" s="76" customFormat="1" ht="15.75" customHeight="1" x14ac:dyDescent="0.2">
      <c r="A170" s="351" t="s">
        <v>387</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389</v>
      </c>
      <c r="B175" s="293"/>
      <c r="C175" s="293"/>
      <c r="D175" s="293"/>
      <c r="E175" s="293"/>
      <c r="F175" s="293"/>
      <c r="G175" s="293"/>
      <c r="H175" s="293"/>
      <c r="I175" s="293"/>
      <c r="J175" s="3"/>
      <c r="K175" s="3"/>
      <c r="L175" s="3"/>
      <c r="M175" s="3"/>
      <c r="N175" s="78"/>
    </row>
    <row r="176" spans="1:14" s="76" customFormat="1" ht="15.75" customHeight="1" x14ac:dyDescent="0.2">
      <c r="A176" s="361" t="s">
        <v>390</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N135:U135"/>
    <mergeCell ref="N126:P126"/>
    <mergeCell ref="A126:C126"/>
    <mergeCell ref="N130:T130"/>
    <mergeCell ref="A128:H128"/>
    <mergeCell ref="A132:G132"/>
    <mergeCell ref="A123:B123"/>
    <mergeCell ref="F123:G123"/>
    <mergeCell ref="N123:O123"/>
    <mergeCell ref="P123:Q123"/>
    <mergeCell ref="F126:H126"/>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8">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6" t="s">
        <v>15</v>
      </c>
      <c r="C1" s="567"/>
      <c r="D1" s="567"/>
      <c r="E1" s="567"/>
      <c r="F1" s="567"/>
      <c r="G1" s="567"/>
      <c r="H1" s="567"/>
      <c r="I1" s="567"/>
      <c r="J1" s="135"/>
      <c r="K1" s="135"/>
      <c r="L1" s="135"/>
      <c r="N1" s="82">
        <f>A1</f>
        <v>0</v>
      </c>
      <c r="O1" s="658" t="s">
        <v>15</v>
      </c>
      <c r="P1" s="659"/>
      <c r="Q1" s="659"/>
      <c r="R1" s="659"/>
      <c r="S1" s="659"/>
      <c r="T1" s="659"/>
      <c r="U1" s="659"/>
    </row>
    <row r="2" spans="1:21" ht="21" x14ac:dyDescent="0.35">
      <c r="A2" s="1" t="s">
        <v>122</v>
      </c>
      <c r="B2" s="2"/>
      <c r="C2" s="2"/>
      <c r="D2" s="2"/>
      <c r="E2" s="2"/>
      <c r="F2" s="2"/>
      <c r="G2" s="2"/>
      <c r="H2" s="2"/>
      <c r="I2" s="2"/>
      <c r="N2" s="660" t="s">
        <v>18</v>
      </c>
      <c r="O2" s="660"/>
      <c r="P2" s="660"/>
      <c r="Q2" s="660"/>
      <c r="R2" s="660"/>
      <c r="S2" s="660"/>
      <c r="T2" s="660"/>
      <c r="U2" s="660"/>
    </row>
    <row r="3" spans="1:21" x14ac:dyDescent="0.25">
      <c r="A3" s="81" t="str">
        <f>'1461'!A3</f>
        <v>Based on the FLDOE 2024-25 Conference Calculation</v>
      </c>
      <c r="N3" s="627" t="str">
        <f>A3</f>
        <v>Based on the FLDOE 2024-25 Conference Calculation</v>
      </c>
      <c r="O3" s="627"/>
      <c r="P3" s="627"/>
      <c r="Q3" s="627"/>
      <c r="R3" s="627"/>
      <c r="S3" s="627"/>
      <c r="T3" s="627"/>
      <c r="U3" s="627"/>
    </row>
    <row r="4" spans="1:21" x14ac:dyDescent="0.25">
      <c r="A4" s="568" t="s">
        <v>0</v>
      </c>
      <c r="B4" s="568"/>
      <c r="C4" s="569" t="s">
        <v>9</v>
      </c>
      <c r="D4" s="569"/>
      <c r="E4" s="569"/>
      <c r="F4" s="4" t="str">
        <f>'1461'!F4</f>
        <v>July 2024</v>
      </c>
      <c r="G4" s="4"/>
      <c r="H4" s="4"/>
      <c r="I4" s="4"/>
      <c r="N4" s="661" t="s">
        <v>0</v>
      </c>
      <c r="O4" s="661"/>
      <c r="P4" s="662" t="str">
        <f>C4</f>
        <v>Palm Beach</v>
      </c>
      <c r="Q4" s="662"/>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70" t="s">
        <v>433</v>
      </c>
      <c r="B7" s="664"/>
      <c r="C7" s="664"/>
      <c r="D7" s="664"/>
      <c r="E7" s="664"/>
      <c r="F7" s="664"/>
      <c r="G7" s="664"/>
      <c r="H7" s="664"/>
      <c r="I7" s="664"/>
      <c r="N7" s="661" t="str">
        <f>A7</f>
        <v>1A.   2023-24 FEFP State and Local Funding</v>
      </c>
      <c r="O7" s="661"/>
      <c r="P7" s="661"/>
      <c r="Q7" s="661"/>
      <c r="R7" s="661"/>
      <c r="S7" s="661"/>
      <c r="T7" s="661"/>
      <c r="U7" s="661"/>
    </row>
    <row r="8" spans="1:21" x14ac:dyDescent="0.25">
      <c r="A8" s="84"/>
      <c r="B8" s="85" t="s">
        <v>92</v>
      </c>
      <c r="C8" s="299">
        <f>'1461'!C8</f>
        <v>5330.98</v>
      </c>
      <c r="D8" s="86"/>
      <c r="E8" s="87"/>
      <c r="F8" s="84"/>
      <c r="G8" s="85" t="s">
        <v>393</v>
      </c>
      <c r="H8" s="287">
        <f>'1461'!H8</f>
        <v>1.0407999999999999</v>
      </c>
      <c r="I8" s="75"/>
      <c r="N8" s="665" t="s">
        <v>10</v>
      </c>
      <c r="O8" s="665"/>
      <c r="P8" s="666">
        <f>C8</f>
        <v>5330.98</v>
      </c>
      <c r="Q8" s="666"/>
      <c r="R8" s="648" t="s">
        <v>394</v>
      </c>
      <c r="S8" s="649"/>
      <c r="T8" s="650">
        <f>H8</f>
        <v>1.0407999999999999</v>
      </c>
      <c r="U8" s="650"/>
    </row>
    <row r="9" spans="1:21" x14ac:dyDescent="0.25">
      <c r="A9" s="84"/>
      <c r="B9" s="85"/>
      <c r="C9" s="222"/>
      <c r="D9" s="86"/>
      <c r="E9" s="87"/>
      <c r="F9" s="84"/>
      <c r="G9" s="85" t="s">
        <v>391</v>
      </c>
      <c r="H9" s="287">
        <f>'1461'!H9</f>
        <v>1</v>
      </c>
      <c r="I9" s="75"/>
      <c r="N9" s="12"/>
      <c r="O9" s="12"/>
      <c r="P9" s="13"/>
      <c r="Q9" s="13"/>
      <c r="R9" s="387" t="s">
        <v>392</v>
      </c>
      <c r="S9" s="384"/>
      <c r="T9" s="650">
        <f>H9</f>
        <v>1</v>
      </c>
      <c r="U9" s="650"/>
    </row>
    <row r="10" spans="1:21" x14ac:dyDescent="0.25">
      <c r="A10" s="7"/>
      <c r="B10" s="42" t="s">
        <v>310</v>
      </c>
      <c r="C10" s="334" t="str">
        <f>'1461'!C10</f>
        <v xml:space="preserve"> </v>
      </c>
      <c r="D10" s="334" t="str">
        <f>'1461'!D10</f>
        <v xml:space="preserve"> </v>
      </c>
      <c r="E10" s="8"/>
      <c r="F10" s="9"/>
      <c r="G10" s="9"/>
      <c r="H10" s="10"/>
      <c r="I10" s="305" t="str">
        <f>'1461'!I10</f>
        <v>2024-25</v>
      </c>
      <c r="N10" s="12"/>
      <c r="O10" s="12"/>
      <c r="P10" s="13"/>
      <c r="Q10" s="13"/>
      <c r="R10" s="14"/>
      <c r="S10" s="14"/>
      <c r="T10" s="15"/>
      <c r="U10" s="366" t="str">
        <f>I10</f>
        <v>2024-25</v>
      </c>
    </row>
    <row r="11" spans="1:21" x14ac:dyDescent="0.25">
      <c r="A11" s="7"/>
      <c r="B11" s="7"/>
      <c r="C11" s="88" t="str">
        <f>'1461'!C11</f>
        <v>Oct 2023</v>
      </c>
      <c r="D11" s="333" t="str">
        <f>'1461'!D11</f>
        <v>Feb 2024</v>
      </c>
      <c r="E11" s="89" t="s">
        <v>8</v>
      </c>
      <c r="F11" s="571" t="s">
        <v>1</v>
      </c>
      <c r="G11" s="571"/>
      <c r="H11" s="10" t="s">
        <v>60</v>
      </c>
      <c r="I11" s="11" t="s">
        <v>27</v>
      </c>
      <c r="N11" s="12"/>
      <c r="O11" s="12"/>
      <c r="P11" s="13"/>
      <c r="Q11" s="13"/>
      <c r="R11" s="651" t="s">
        <v>1</v>
      </c>
      <c r="S11" s="651"/>
      <c r="T11" s="15" t="s">
        <v>60</v>
      </c>
      <c r="U11" s="16" t="s">
        <v>27</v>
      </c>
    </row>
    <row r="12" spans="1:21" ht="15.75" customHeight="1" x14ac:dyDescent="0.25">
      <c r="A12" s="572" t="s">
        <v>1</v>
      </c>
      <c r="B12" s="572"/>
      <c r="C12" s="324" t="str">
        <f>'1461'!C12</f>
        <v>FTE</v>
      </c>
      <c r="D12" s="324" t="str">
        <f>'1461'!D12</f>
        <v>FTE</v>
      </c>
      <c r="E12" s="324" t="s">
        <v>2</v>
      </c>
      <c r="F12" s="573" t="s">
        <v>63</v>
      </c>
      <c r="G12" s="573"/>
      <c r="H12" s="17" t="s">
        <v>59</v>
      </c>
      <c r="I12" s="388" t="s">
        <v>395</v>
      </c>
      <c r="N12" s="639" t="s">
        <v>1</v>
      </c>
      <c r="O12" s="639"/>
      <c r="P12" s="652" t="s">
        <v>19</v>
      </c>
      <c r="Q12" s="652"/>
      <c r="R12" s="653" t="s">
        <v>63</v>
      </c>
      <c r="S12" s="653"/>
      <c r="T12" s="18" t="s">
        <v>59</v>
      </c>
      <c r="U12" s="19" t="str">
        <f>I12</f>
        <v>(WFTE x BSA x CWF x SDF)</v>
      </c>
    </row>
    <row r="13" spans="1:21" x14ac:dyDescent="0.25">
      <c r="A13" s="574" t="s">
        <v>36</v>
      </c>
      <c r="B13" s="574"/>
      <c r="C13" s="91"/>
      <c r="D13" s="91"/>
      <c r="E13" s="92" t="s">
        <v>37</v>
      </c>
      <c r="F13" s="575" t="s">
        <v>38</v>
      </c>
      <c r="G13" s="575"/>
      <c r="H13" s="20" t="s">
        <v>39</v>
      </c>
      <c r="I13" s="21" t="s">
        <v>40</v>
      </c>
      <c r="N13" s="654" t="s">
        <v>36</v>
      </c>
      <c r="O13" s="654"/>
      <c r="P13" s="655" t="s">
        <v>37</v>
      </c>
      <c r="Q13" s="655"/>
      <c r="R13" s="656" t="s">
        <v>38</v>
      </c>
      <c r="S13" s="656"/>
      <c r="T13" s="22" t="s">
        <v>39</v>
      </c>
      <c r="U13" s="23" t="s">
        <v>40</v>
      </c>
    </row>
    <row r="14" spans="1:21" x14ac:dyDescent="0.25">
      <c r="A14" s="576" t="s">
        <v>20</v>
      </c>
      <c r="B14" s="576"/>
      <c r="C14" s="143">
        <v>0</v>
      </c>
      <c r="D14" s="141">
        <v>0</v>
      </c>
      <c r="E14" s="187">
        <f>IF(D$30=0,C14*2,C14+D14)</f>
        <v>0</v>
      </c>
      <c r="F14" s="667">
        <f>'1461'!F14:G14</f>
        <v>1.1180000000000001</v>
      </c>
      <c r="G14" s="667"/>
      <c r="H14" s="145">
        <f>ROUND(E14*F14,4)</f>
        <v>0</v>
      </c>
      <c r="I14" s="111">
        <f>ROUND(ROUND(ROUND(H14*$C$8,4)*($H$8),2)*(MAX($H$9,1)),2)</f>
        <v>0</v>
      </c>
      <c r="N14" s="641" t="s">
        <v>20</v>
      </c>
      <c r="O14" s="641"/>
      <c r="P14" s="642">
        <f t="shared" ref="P14:P29" si="0">IF($H$133=1,E14,0)</f>
        <v>0</v>
      </c>
      <c r="Q14" s="642"/>
      <c r="R14" s="657">
        <v>1</v>
      </c>
      <c r="S14" s="657"/>
      <c r="T14" s="95">
        <f>ROUND(P14*R14,4)</f>
        <v>0</v>
      </c>
      <c r="U14" s="473">
        <f>ROUND(ROUND(ROUND(T14*$C$8,4)*($H$8),2)*(MAX($H$9,1)),2)</f>
        <v>0</v>
      </c>
    </row>
    <row r="15" spans="1:21" x14ac:dyDescent="0.25">
      <c r="A15" s="578" t="s">
        <v>21</v>
      </c>
      <c r="B15" s="578"/>
      <c r="C15" s="143">
        <v>0</v>
      </c>
      <c r="D15" s="143">
        <v>0</v>
      </c>
      <c r="E15" s="116">
        <f t="shared" ref="E15:E29" si="1">IF(D$30=0,C15*2,C15+D15)</f>
        <v>0</v>
      </c>
      <c r="F15" s="663">
        <f>'1461'!F15:G15</f>
        <v>1.1180000000000001</v>
      </c>
      <c r="G15" s="663"/>
      <c r="H15" s="80">
        <f t="shared" ref="H15:H29" si="2">ROUND(E15*F15,4)</f>
        <v>0</v>
      </c>
      <c r="I15" s="101">
        <f t="shared" ref="I15:I29" si="3">ROUND(ROUND(ROUND(H15*$C$8,4)*($H$8),2)*(MAX($H$9,1)),2)</f>
        <v>0</v>
      </c>
      <c r="J15" s="65" t="str">
        <f>IF(ROUND(E15,2)=ROUND(SUM(E57:E59),2)," ","CHECK PK-3 LINES BELOW")</f>
        <v xml:space="preserve"> </v>
      </c>
      <c r="N15" s="601" t="s">
        <v>21</v>
      </c>
      <c r="O15" s="601"/>
      <c r="P15" s="642">
        <f t="shared" si="0"/>
        <v>0</v>
      </c>
      <c r="Q15" s="642"/>
      <c r="R15" s="647">
        <v>1</v>
      </c>
      <c r="S15" s="647"/>
      <c r="T15" s="95">
        <f t="shared" ref="T15:T29" si="4">ROUND(P15*R15,4)</f>
        <v>0</v>
      </c>
      <c r="U15" s="473">
        <f t="shared" ref="U15:U29" si="5">ROUND(ROUND(ROUND(T15*$C$8,4)*($H$8),2)*(MAX($H$9,1)),2)</f>
        <v>0</v>
      </c>
    </row>
    <row r="16" spans="1:21" x14ac:dyDescent="0.25">
      <c r="A16" s="578" t="s">
        <v>22</v>
      </c>
      <c r="B16" s="578"/>
      <c r="C16" s="143">
        <v>0</v>
      </c>
      <c r="D16" s="143">
        <v>0</v>
      </c>
      <c r="E16" s="116">
        <f t="shared" si="1"/>
        <v>0</v>
      </c>
      <c r="F16" s="663">
        <f>'1461'!F16:G16</f>
        <v>1</v>
      </c>
      <c r="G16" s="663"/>
      <c r="H16" s="80">
        <f t="shared" si="2"/>
        <v>0</v>
      </c>
      <c r="I16" s="101">
        <f t="shared" si="3"/>
        <v>0</v>
      </c>
      <c r="N16" s="601" t="s">
        <v>22</v>
      </c>
      <c r="O16" s="601"/>
      <c r="P16" s="642">
        <f t="shared" si="0"/>
        <v>0</v>
      </c>
      <c r="Q16" s="642"/>
      <c r="R16" s="647">
        <v>1</v>
      </c>
      <c r="S16" s="647"/>
      <c r="T16" s="95">
        <f t="shared" si="4"/>
        <v>0</v>
      </c>
      <c r="U16" s="473">
        <f t="shared" si="5"/>
        <v>0</v>
      </c>
    </row>
    <row r="17" spans="1:21" x14ac:dyDescent="0.25">
      <c r="A17" s="578" t="s">
        <v>23</v>
      </c>
      <c r="B17" s="578"/>
      <c r="C17" s="143">
        <v>0</v>
      </c>
      <c r="D17" s="143">
        <v>0</v>
      </c>
      <c r="E17" s="116">
        <f t="shared" si="1"/>
        <v>0</v>
      </c>
      <c r="F17" s="663">
        <f>'1461'!F17:G17</f>
        <v>1</v>
      </c>
      <c r="G17" s="663"/>
      <c r="H17" s="80">
        <f t="shared" si="2"/>
        <v>0</v>
      </c>
      <c r="I17" s="101">
        <f t="shared" si="3"/>
        <v>0</v>
      </c>
      <c r="J17" s="65" t="str">
        <f>IF(ROUND(E17,2)=ROUND(SUM(E60:E62),2)," ","CHECK 4-8 LINES BELOW")</f>
        <v xml:space="preserve"> </v>
      </c>
      <c r="N17" s="601" t="s">
        <v>23</v>
      </c>
      <c r="O17" s="601"/>
      <c r="P17" s="642">
        <f t="shared" si="0"/>
        <v>0</v>
      </c>
      <c r="Q17" s="642"/>
      <c r="R17" s="647">
        <v>1</v>
      </c>
      <c r="S17" s="647"/>
      <c r="T17" s="95">
        <f t="shared" si="4"/>
        <v>0</v>
      </c>
      <c r="U17" s="473">
        <f t="shared" si="5"/>
        <v>0</v>
      </c>
    </row>
    <row r="18" spans="1:21" x14ac:dyDescent="0.25">
      <c r="A18" s="578" t="s">
        <v>24</v>
      </c>
      <c r="B18" s="578"/>
      <c r="C18" s="143">
        <v>136.83000000000001</v>
      </c>
      <c r="D18" s="143">
        <v>158.69999999999999</v>
      </c>
      <c r="E18" s="116">
        <f t="shared" si="1"/>
        <v>295.52999999999997</v>
      </c>
      <c r="F18" s="663">
        <f>'1461'!F18:G18</f>
        <v>0.97799999999999998</v>
      </c>
      <c r="G18" s="663"/>
      <c r="H18" s="80">
        <f t="shared" si="2"/>
        <v>289.0283</v>
      </c>
      <c r="I18" s="101">
        <f t="shared" si="3"/>
        <v>1603668.89</v>
      </c>
      <c r="N18" s="601" t="s">
        <v>24</v>
      </c>
      <c r="O18" s="601"/>
      <c r="P18" s="642">
        <f t="shared" si="0"/>
        <v>0</v>
      </c>
      <c r="Q18" s="642"/>
      <c r="R18" s="647">
        <v>1</v>
      </c>
      <c r="S18" s="647"/>
      <c r="T18" s="95">
        <f t="shared" si="4"/>
        <v>0</v>
      </c>
      <c r="U18" s="473">
        <f t="shared" si="5"/>
        <v>0</v>
      </c>
    </row>
    <row r="19" spans="1:21" x14ac:dyDescent="0.25">
      <c r="A19" s="578" t="s">
        <v>25</v>
      </c>
      <c r="B19" s="578"/>
      <c r="C19" s="143">
        <v>29.23</v>
      </c>
      <c r="D19" s="143">
        <v>38.130000000000003</v>
      </c>
      <c r="E19" s="116">
        <f t="shared" si="1"/>
        <v>67.36</v>
      </c>
      <c r="F19" s="663">
        <f>'1461'!F19:G19</f>
        <v>0.97799999999999998</v>
      </c>
      <c r="G19" s="663"/>
      <c r="H19" s="80">
        <f t="shared" si="2"/>
        <v>65.878100000000003</v>
      </c>
      <c r="I19" s="101">
        <f t="shared" si="3"/>
        <v>365523.58</v>
      </c>
      <c r="J19" s="65" t="str">
        <f>IF(ROUND(E19,2)=ROUND(SUM(E63:E65),2)," ","CHECK 4-8 LINES BELOW")</f>
        <v xml:space="preserve"> </v>
      </c>
      <c r="N19" s="601" t="s">
        <v>25</v>
      </c>
      <c r="O19" s="601"/>
      <c r="P19" s="642">
        <f t="shared" si="0"/>
        <v>0</v>
      </c>
      <c r="Q19" s="642"/>
      <c r="R19" s="647">
        <v>1</v>
      </c>
      <c r="S19" s="647"/>
      <c r="T19" s="95">
        <f t="shared" si="4"/>
        <v>0</v>
      </c>
      <c r="U19" s="472">
        <f t="shared" si="5"/>
        <v>0</v>
      </c>
    </row>
    <row r="20" spans="1:21" x14ac:dyDescent="0.25">
      <c r="A20" s="578" t="s">
        <v>79</v>
      </c>
      <c r="B20" s="578"/>
      <c r="C20" s="143">
        <v>0</v>
      </c>
      <c r="D20" s="143">
        <v>0</v>
      </c>
      <c r="E20" s="116">
        <f t="shared" si="1"/>
        <v>0</v>
      </c>
      <c r="F20" s="663">
        <f>'1461'!F20:G20</f>
        <v>3.6970000000000001</v>
      </c>
      <c r="G20" s="663"/>
      <c r="H20" s="80">
        <f t="shared" si="2"/>
        <v>0</v>
      </c>
      <c r="I20" s="101">
        <f t="shared" si="3"/>
        <v>0</v>
      </c>
      <c r="N20" s="601" t="s">
        <v>79</v>
      </c>
      <c r="O20" s="601"/>
      <c r="P20" s="642">
        <f t="shared" si="0"/>
        <v>0</v>
      </c>
      <c r="Q20" s="642"/>
      <c r="R20" s="647">
        <v>1</v>
      </c>
      <c r="S20" s="647"/>
      <c r="T20" s="95">
        <f t="shared" si="4"/>
        <v>0</v>
      </c>
      <c r="U20" s="473">
        <f t="shared" si="5"/>
        <v>0</v>
      </c>
    </row>
    <row r="21" spans="1:21" x14ac:dyDescent="0.25">
      <c r="A21" s="578" t="s">
        <v>80</v>
      </c>
      <c r="B21" s="578"/>
      <c r="C21" s="143">
        <v>0</v>
      </c>
      <c r="D21" s="143">
        <v>0</v>
      </c>
      <c r="E21" s="116">
        <f t="shared" si="1"/>
        <v>0</v>
      </c>
      <c r="F21" s="663">
        <f>'1461'!F21:G21</f>
        <v>3.6970000000000001</v>
      </c>
      <c r="G21" s="663"/>
      <c r="H21" s="80">
        <f t="shared" si="2"/>
        <v>0</v>
      </c>
      <c r="I21" s="101">
        <f t="shared" si="3"/>
        <v>0</v>
      </c>
      <c r="N21" s="601" t="s">
        <v>80</v>
      </c>
      <c r="O21" s="601"/>
      <c r="P21" s="642">
        <f t="shared" si="0"/>
        <v>0</v>
      </c>
      <c r="Q21" s="642"/>
      <c r="R21" s="647">
        <v>1</v>
      </c>
      <c r="S21" s="647"/>
      <c r="T21" s="95">
        <f t="shared" si="4"/>
        <v>0</v>
      </c>
      <c r="U21" s="473">
        <f t="shared" si="5"/>
        <v>0</v>
      </c>
    </row>
    <row r="22" spans="1:21" x14ac:dyDescent="0.25">
      <c r="A22" s="578" t="s">
        <v>81</v>
      </c>
      <c r="B22" s="578"/>
      <c r="C22" s="143">
        <v>0</v>
      </c>
      <c r="D22" s="143">
        <v>0</v>
      </c>
      <c r="E22" s="116">
        <f t="shared" si="1"/>
        <v>0</v>
      </c>
      <c r="F22" s="663">
        <f>'1461'!F22:G22</f>
        <v>3.6970000000000001</v>
      </c>
      <c r="G22" s="663"/>
      <c r="H22" s="80">
        <f t="shared" si="2"/>
        <v>0</v>
      </c>
      <c r="I22" s="101">
        <f t="shared" si="3"/>
        <v>0</v>
      </c>
      <c r="N22" s="601" t="s">
        <v>81</v>
      </c>
      <c r="O22" s="601"/>
      <c r="P22" s="642">
        <f t="shared" si="0"/>
        <v>0</v>
      </c>
      <c r="Q22" s="642"/>
      <c r="R22" s="647">
        <v>1</v>
      </c>
      <c r="S22" s="647"/>
      <c r="T22" s="95">
        <f t="shared" si="4"/>
        <v>0</v>
      </c>
      <c r="U22" s="473">
        <f t="shared" si="5"/>
        <v>0</v>
      </c>
    </row>
    <row r="23" spans="1:21" x14ac:dyDescent="0.25">
      <c r="A23" s="578" t="s">
        <v>82</v>
      </c>
      <c r="B23" s="578"/>
      <c r="C23" s="143">
        <v>0</v>
      </c>
      <c r="D23" s="143">
        <v>0</v>
      </c>
      <c r="E23" s="116">
        <f t="shared" si="1"/>
        <v>0</v>
      </c>
      <c r="F23" s="663">
        <f>'1461'!F23:G23</f>
        <v>5.992</v>
      </c>
      <c r="G23" s="663"/>
      <c r="H23" s="80">
        <f t="shared" si="2"/>
        <v>0</v>
      </c>
      <c r="I23" s="101">
        <f t="shared" si="3"/>
        <v>0</v>
      </c>
      <c r="N23" s="601" t="s">
        <v>82</v>
      </c>
      <c r="O23" s="601"/>
      <c r="P23" s="642">
        <f t="shared" si="0"/>
        <v>0</v>
      </c>
      <c r="Q23" s="642"/>
      <c r="R23" s="647">
        <v>1</v>
      </c>
      <c r="S23" s="647"/>
      <c r="T23" s="95">
        <f t="shared" si="4"/>
        <v>0</v>
      </c>
      <c r="U23" s="473">
        <f t="shared" si="5"/>
        <v>0</v>
      </c>
    </row>
    <row r="24" spans="1:21" x14ac:dyDescent="0.25">
      <c r="A24" s="578" t="s">
        <v>83</v>
      </c>
      <c r="B24" s="578"/>
      <c r="C24" s="143">
        <v>0</v>
      </c>
      <c r="D24" s="143">
        <v>0</v>
      </c>
      <c r="E24" s="116">
        <f t="shared" si="1"/>
        <v>0</v>
      </c>
      <c r="F24" s="663">
        <f>'1461'!F24:G24</f>
        <v>5.992</v>
      </c>
      <c r="G24" s="663"/>
      <c r="H24" s="80">
        <f t="shared" si="2"/>
        <v>0</v>
      </c>
      <c r="I24" s="101">
        <f t="shared" si="3"/>
        <v>0</v>
      </c>
      <c r="N24" s="601" t="s">
        <v>83</v>
      </c>
      <c r="O24" s="601"/>
      <c r="P24" s="642">
        <f t="shared" si="0"/>
        <v>0</v>
      </c>
      <c r="Q24" s="642"/>
      <c r="R24" s="647">
        <v>1</v>
      </c>
      <c r="S24" s="647"/>
      <c r="T24" s="95">
        <f t="shared" si="4"/>
        <v>0</v>
      </c>
      <c r="U24" s="473">
        <f t="shared" si="5"/>
        <v>0</v>
      </c>
    </row>
    <row r="25" spans="1:21" x14ac:dyDescent="0.25">
      <c r="A25" s="578" t="s">
        <v>84</v>
      </c>
      <c r="B25" s="578"/>
      <c r="C25" s="143">
        <v>0</v>
      </c>
      <c r="D25" s="143">
        <v>0</v>
      </c>
      <c r="E25" s="116">
        <f t="shared" si="1"/>
        <v>0</v>
      </c>
      <c r="F25" s="663">
        <f>'1461'!F25:G25</f>
        <v>5.992</v>
      </c>
      <c r="G25" s="663"/>
      <c r="H25" s="80">
        <f t="shared" si="2"/>
        <v>0</v>
      </c>
      <c r="I25" s="101">
        <f t="shared" si="3"/>
        <v>0</v>
      </c>
      <c r="N25" s="601" t="s">
        <v>84</v>
      </c>
      <c r="O25" s="601"/>
      <c r="P25" s="642">
        <f t="shared" si="0"/>
        <v>0</v>
      </c>
      <c r="Q25" s="642"/>
      <c r="R25" s="647">
        <v>1</v>
      </c>
      <c r="S25" s="647"/>
      <c r="T25" s="95">
        <f t="shared" si="4"/>
        <v>0</v>
      </c>
      <c r="U25" s="473">
        <f t="shared" si="5"/>
        <v>0</v>
      </c>
    </row>
    <row r="26" spans="1:21" x14ac:dyDescent="0.25">
      <c r="A26" s="578" t="s">
        <v>85</v>
      </c>
      <c r="B26" s="578"/>
      <c r="C26" s="143">
        <v>0</v>
      </c>
      <c r="D26" s="143">
        <v>0</v>
      </c>
      <c r="E26" s="116">
        <f t="shared" si="1"/>
        <v>0</v>
      </c>
      <c r="F26" s="663">
        <f>'1461'!F26:G26</f>
        <v>1.1919999999999999</v>
      </c>
      <c r="G26" s="663"/>
      <c r="H26" s="80">
        <f t="shared" si="2"/>
        <v>0</v>
      </c>
      <c r="I26" s="101">
        <f t="shared" si="3"/>
        <v>0</v>
      </c>
      <c r="N26" s="601" t="s">
        <v>85</v>
      </c>
      <c r="O26" s="601"/>
      <c r="P26" s="642">
        <f t="shared" si="0"/>
        <v>0</v>
      </c>
      <c r="Q26" s="642"/>
      <c r="R26" s="647">
        <v>1</v>
      </c>
      <c r="S26" s="647"/>
      <c r="T26" s="95">
        <f t="shared" si="4"/>
        <v>0</v>
      </c>
      <c r="U26" s="473">
        <f t="shared" si="5"/>
        <v>0</v>
      </c>
    </row>
    <row r="27" spans="1:21" x14ac:dyDescent="0.25">
      <c r="A27" s="578" t="s">
        <v>86</v>
      </c>
      <c r="B27" s="578"/>
      <c r="C27" s="143">
        <v>0</v>
      </c>
      <c r="D27" s="143">
        <v>0</v>
      </c>
      <c r="E27" s="116">
        <f t="shared" si="1"/>
        <v>0</v>
      </c>
      <c r="F27" s="663">
        <f>'1461'!F27:G27</f>
        <v>1.1919999999999999</v>
      </c>
      <c r="G27" s="663"/>
      <c r="H27" s="80">
        <f t="shared" si="2"/>
        <v>0</v>
      </c>
      <c r="I27" s="101">
        <f t="shared" si="3"/>
        <v>0</v>
      </c>
      <c r="N27" s="601" t="s">
        <v>86</v>
      </c>
      <c r="O27" s="601"/>
      <c r="P27" s="642">
        <f t="shared" si="0"/>
        <v>0</v>
      </c>
      <c r="Q27" s="642"/>
      <c r="R27" s="647">
        <v>1</v>
      </c>
      <c r="S27" s="647"/>
      <c r="T27" s="95">
        <f t="shared" si="4"/>
        <v>0</v>
      </c>
      <c r="U27" s="473">
        <f t="shared" si="5"/>
        <v>0</v>
      </c>
    </row>
    <row r="28" spans="1:21" x14ac:dyDescent="0.25">
      <c r="A28" s="578" t="s">
        <v>87</v>
      </c>
      <c r="B28" s="578"/>
      <c r="C28" s="143">
        <v>7.3</v>
      </c>
      <c r="D28" s="143">
        <v>9.2200000000000006</v>
      </c>
      <c r="E28" s="116">
        <f t="shared" si="1"/>
        <v>16.52</v>
      </c>
      <c r="F28" s="663">
        <f>'1461'!F28:G28</f>
        <v>1.1919999999999999</v>
      </c>
      <c r="G28" s="663"/>
      <c r="H28" s="80">
        <f t="shared" si="2"/>
        <v>19.691800000000001</v>
      </c>
      <c r="I28" s="101">
        <f t="shared" si="3"/>
        <v>109259.64</v>
      </c>
      <c r="N28" s="601" t="s">
        <v>87</v>
      </c>
      <c r="O28" s="601"/>
      <c r="P28" s="642">
        <f t="shared" si="0"/>
        <v>0</v>
      </c>
      <c r="Q28" s="642"/>
      <c r="R28" s="647">
        <v>1</v>
      </c>
      <c r="S28" s="647"/>
      <c r="T28" s="95">
        <f t="shared" si="4"/>
        <v>0</v>
      </c>
      <c r="U28" s="473">
        <f t="shared" si="5"/>
        <v>0</v>
      </c>
    </row>
    <row r="29" spans="1:21" x14ac:dyDescent="0.25">
      <c r="A29" s="578" t="s">
        <v>88</v>
      </c>
      <c r="B29" s="578"/>
      <c r="C29" s="110">
        <v>1.9</v>
      </c>
      <c r="D29" s="110">
        <v>1.78</v>
      </c>
      <c r="E29" s="154">
        <f t="shared" si="1"/>
        <v>3.6799999999999997</v>
      </c>
      <c r="F29" s="663">
        <f>'1461'!F29:G29</f>
        <v>1.079</v>
      </c>
      <c r="G29" s="663"/>
      <c r="H29" s="93">
        <f t="shared" si="2"/>
        <v>3.9706999999999999</v>
      </c>
      <c r="I29" s="94">
        <f t="shared" si="3"/>
        <v>22031.37</v>
      </c>
      <c r="N29" s="616" t="s">
        <v>88</v>
      </c>
      <c r="O29" s="616"/>
      <c r="P29" s="642">
        <f t="shared" si="0"/>
        <v>0</v>
      </c>
      <c r="Q29" s="642"/>
      <c r="R29" s="643">
        <v>1</v>
      </c>
      <c r="S29" s="643"/>
      <c r="T29" s="95">
        <f t="shared" si="4"/>
        <v>0</v>
      </c>
      <c r="U29" s="473">
        <f t="shared" si="5"/>
        <v>0</v>
      </c>
    </row>
    <row r="30" spans="1:21" x14ac:dyDescent="0.25">
      <c r="A30" s="590" t="s">
        <v>5</v>
      </c>
      <c r="B30" s="590"/>
      <c r="C30" s="94">
        <f>SUM(C14:C29)</f>
        <v>175.26000000000002</v>
      </c>
      <c r="D30" s="94">
        <f>SUM(D14:D29)</f>
        <v>207.82999999999998</v>
      </c>
      <c r="E30" s="94">
        <f>SUM(E14:E29)</f>
        <v>383.09</v>
      </c>
      <c r="F30" s="582"/>
      <c r="G30" s="582"/>
      <c r="H30" s="99">
        <f>SUM(H14:H29)</f>
        <v>378.56890000000004</v>
      </c>
      <c r="I30" s="94">
        <f>SUM(I14:I29)</f>
        <v>2100483.48</v>
      </c>
      <c r="N30" s="644" t="s">
        <v>5</v>
      </c>
      <c r="O30" s="644"/>
      <c r="P30" s="645">
        <f>SUM(P14:P29)</f>
        <v>0</v>
      </c>
      <c r="Q30" s="645"/>
      <c r="R30" s="617"/>
      <c r="S30" s="617"/>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0" t="s">
        <v>233</v>
      </c>
      <c r="G34" s="670"/>
      <c r="H34" s="670"/>
      <c r="I34" s="101"/>
      <c r="N34" s="28"/>
      <c r="O34" s="28"/>
      <c r="P34" s="29"/>
      <c r="Q34" s="29"/>
      <c r="R34" s="30"/>
      <c r="S34" s="30"/>
      <c r="T34" s="102"/>
      <c r="U34" s="103"/>
    </row>
    <row r="35" spans="1:21" hidden="1" x14ac:dyDescent="0.25">
      <c r="A35" s="3"/>
      <c r="B35" s="69"/>
      <c r="C35" s="69"/>
      <c r="D35" s="69"/>
      <c r="E35" s="69"/>
      <c r="F35" s="670"/>
      <c r="G35" s="670"/>
      <c r="H35" s="670"/>
      <c r="I35" s="24" t="s">
        <v>61</v>
      </c>
      <c r="N35" s="627" t="s">
        <v>26</v>
      </c>
      <c r="O35" s="627"/>
      <c r="P35" s="627"/>
      <c r="Q35" s="627"/>
      <c r="R35" s="627"/>
      <c r="S35" s="627"/>
      <c r="T35" s="627"/>
      <c r="U35" s="25" t="str">
        <f>I35</f>
        <v>2015-16</v>
      </c>
    </row>
    <row r="36" spans="1:21" hidden="1" x14ac:dyDescent="0.25">
      <c r="A36" s="26"/>
      <c r="B36" s="26"/>
      <c r="C36" s="88" t="s">
        <v>93</v>
      </c>
      <c r="D36" s="88" t="s">
        <v>94</v>
      </c>
      <c r="E36" s="89" t="s">
        <v>8</v>
      </c>
      <c r="F36" s="670"/>
      <c r="G36" s="670"/>
      <c r="H36" s="670"/>
      <c r="I36" s="24" t="s">
        <v>27</v>
      </c>
      <c r="N36" s="28"/>
      <c r="O36" s="28"/>
      <c r="P36" s="29"/>
      <c r="Q36" s="29"/>
      <c r="R36" s="30"/>
      <c r="S36" s="30"/>
      <c r="T36" s="102"/>
      <c r="U36" s="25" t="s">
        <v>27</v>
      </c>
    </row>
    <row r="37" spans="1:21" ht="26.25" hidden="1" x14ac:dyDescent="0.25">
      <c r="A37" s="572" t="s">
        <v>50</v>
      </c>
      <c r="B37" s="572"/>
      <c r="C37" s="90" t="s">
        <v>2</v>
      </c>
      <c r="D37" s="90" t="s">
        <v>2</v>
      </c>
      <c r="E37" s="90" t="s">
        <v>2</v>
      </c>
      <c r="F37" s="671"/>
      <c r="G37" s="671"/>
      <c r="H37" s="671"/>
      <c r="I37" s="31" t="s">
        <v>395</v>
      </c>
      <c r="N37" s="639" t="s">
        <v>50</v>
      </c>
      <c r="O37" s="639"/>
      <c r="P37" s="640" t="s">
        <v>19</v>
      </c>
      <c r="Q37" s="640"/>
      <c r="R37" s="640"/>
      <c r="S37" s="640"/>
      <c r="T37" s="640"/>
      <c r="U37" s="19" t="str">
        <f>I37</f>
        <v>(WFTE x BSA x CWF x SDF)</v>
      </c>
    </row>
    <row r="38" spans="1:21" hidden="1" x14ac:dyDescent="0.25">
      <c r="A38" s="576" t="s">
        <v>45</v>
      </c>
      <c r="B38" s="576"/>
      <c r="C38" s="147">
        <v>0</v>
      </c>
      <c r="D38" s="147">
        <v>0</v>
      </c>
      <c r="E38" s="187">
        <f t="shared" ref="E38:E43" si="6">IF(D$44=0,C38*2,C38+D38)</f>
        <v>0</v>
      </c>
      <c r="F38" s="148"/>
      <c r="G38" s="148"/>
      <c r="H38" s="148"/>
      <c r="I38" s="111">
        <f>ROUND(ROUND(ROUND(E38*$C$8,4)*($H$8),2)*(MAX($H$9,1)),2)</f>
        <v>0</v>
      </c>
      <c r="N38" s="641" t="s">
        <v>45</v>
      </c>
      <c r="O38" s="641"/>
      <c r="P38" s="608">
        <f t="shared" ref="P38:P43" si="7">IF($H$133=1,E38,0)</f>
        <v>0</v>
      </c>
      <c r="Q38" s="608"/>
      <c r="R38" s="608"/>
      <c r="S38" s="608"/>
      <c r="T38" s="608"/>
      <c r="U38" s="98">
        <f>ROUND(ROUND(ROUND(P38*$C$8,4)*($H$8),2)*(MAX($H$9,1)),2)</f>
        <v>0</v>
      </c>
    </row>
    <row r="39" spans="1:21" hidden="1" x14ac:dyDescent="0.25">
      <c r="A39" s="578" t="s">
        <v>46</v>
      </c>
      <c r="B39" s="578"/>
      <c r="C39" s="150">
        <v>0</v>
      </c>
      <c r="D39" s="150">
        <v>0</v>
      </c>
      <c r="E39" s="116">
        <f t="shared" si="6"/>
        <v>0</v>
      </c>
      <c r="F39" s="151"/>
      <c r="G39" s="151"/>
      <c r="H39" s="151"/>
      <c r="I39" s="101">
        <f t="shared" ref="I39:I43" si="8">ROUND(ROUND(ROUND(E39*$C$8,4)*($H$8),2)*(MAX($H$9,1)),2)</f>
        <v>0</v>
      </c>
      <c r="N39" s="601" t="s">
        <v>46</v>
      </c>
      <c r="O39" s="601"/>
      <c r="P39" s="608">
        <f t="shared" si="7"/>
        <v>0</v>
      </c>
      <c r="Q39" s="608"/>
      <c r="R39" s="608"/>
      <c r="S39" s="608"/>
      <c r="T39" s="608"/>
      <c r="U39" s="98">
        <f t="shared" ref="U39:U43" si="9">ROUND(ROUND(ROUND(P39*$C$8,4)*($H$8),2)*(MAX($H$9,1)),2)</f>
        <v>0</v>
      </c>
    </row>
    <row r="40" spans="1:21" hidden="1" x14ac:dyDescent="0.25">
      <c r="A40" s="583" t="s">
        <v>47</v>
      </c>
      <c r="B40" s="583"/>
      <c r="C40" s="150">
        <v>0</v>
      </c>
      <c r="D40" s="150">
        <v>0</v>
      </c>
      <c r="E40" s="116">
        <f t="shared" si="6"/>
        <v>0</v>
      </c>
      <c r="F40" s="151"/>
      <c r="G40" s="151"/>
      <c r="H40" s="151"/>
      <c r="I40" s="101">
        <f t="shared" si="8"/>
        <v>0</v>
      </c>
      <c r="N40" s="646" t="s">
        <v>47</v>
      </c>
      <c r="O40" s="646"/>
      <c r="P40" s="608">
        <f t="shared" si="7"/>
        <v>0</v>
      </c>
      <c r="Q40" s="608"/>
      <c r="R40" s="608"/>
      <c r="S40" s="608"/>
      <c r="T40" s="608"/>
      <c r="U40" s="98">
        <f t="shared" si="9"/>
        <v>0</v>
      </c>
    </row>
    <row r="41" spans="1:21" hidden="1" x14ac:dyDescent="0.25">
      <c r="A41" s="578" t="s">
        <v>48</v>
      </c>
      <c r="B41" s="578"/>
      <c r="C41" s="150">
        <v>0</v>
      </c>
      <c r="D41" s="150">
        <v>0</v>
      </c>
      <c r="E41" s="116">
        <f t="shared" si="6"/>
        <v>0</v>
      </c>
      <c r="F41" s="151"/>
      <c r="G41" s="151"/>
      <c r="H41" s="151"/>
      <c r="I41" s="101">
        <f t="shared" si="8"/>
        <v>0</v>
      </c>
      <c r="N41" s="601" t="s">
        <v>48</v>
      </c>
      <c r="O41" s="601"/>
      <c r="P41" s="608">
        <f t="shared" si="7"/>
        <v>0</v>
      </c>
      <c r="Q41" s="608"/>
      <c r="R41" s="608"/>
      <c r="S41" s="608"/>
      <c r="T41" s="608"/>
      <c r="U41" s="98">
        <f t="shared" si="9"/>
        <v>0</v>
      </c>
    </row>
    <row r="42" spans="1:21" hidden="1" x14ac:dyDescent="0.25">
      <c r="A42" s="578" t="s">
        <v>49</v>
      </c>
      <c r="B42" s="578"/>
      <c r="C42" s="150">
        <v>0</v>
      </c>
      <c r="D42" s="150">
        <v>0</v>
      </c>
      <c r="E42" s="116">
        <f t="shared" si="6"/>
        <v>0</v>
      </c>
      <c r="F42" s="151"/>
      <c r="G42" s="151"/>
      <c r="H42" s="151"/>
      <c r="I42" s="101">
        <f t="shared" si="8"/>
        <v>0</v>
      </c>
      <c r="N42" s="601" t="s">
        <v>49</v>
      </c>
      <c r="O42" s="601"/>
      <c r="P42" s="608">
        <f t="shared" si="7"/>
        <v>0</v>
      </c>
      <c r="Q42" s="608"/>
      <c r="R42" s="608"/>
      <c r="S42" s="608"/>
      <c r="T42" s="608"/>
      <c r="U42" s="98">
        <f t="shared" si="9"/>
        <v>0</v>
      </c>
    </row>
    <row r="43" spans="1:21" hidden="1" x14ac:dyDescent="0.25">
      <c r="A43" s="578" t="s">
        <v>41</v>
      </c>
      <c r="B43" s="578"/>
      <c r="C43" s="149">
        <v>0</v>
      </c>
      <c r="D43" s="149">
        <v>0</v>
      </c>
      <c r="E43" s="154">
        <f t="shared" si="6"/>
        <v>0</v>
      </c>
      <c r="F43" s="151"/>
      <c r="G43" s="151"/>
      <c r="H43" s="151"/>
      <c r="I43" s="94">
        <f t="shared" si="8"/>
        <v>0</v>
      </c>
      <c r="N43" s="616" t="s">
        <v>41</v>
      </c>
      <c r="O43" s="616"/>
      <c r="P43" s="608">
        <f t="shared" si="7"/>
        <v>0</v>
      </c>
      <c r="Q43" s="608"/>
      <c r="R43" s="608"/>
      <c r="S43" s="608"/>
      <c r="T43" s="60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3" t="s">
        <v>43</v>
      </c>
      <c r="O44" s="603"/>
      <c r="P44" s="603"/>
      <c r="Q44" s="603"/>
      <c r="R44" s="33">
        <f>SUM(P38:R43)</f>
        <v>0</v>
      </c>
      <c r="S44" s="617" t="s">
        <v>51</v>
      </c>
      <c r="T44" s="617"/>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378.56890000000004</v>
      </c>
      <c r="F46" s="34"/>
      <c r="G46" s="106"/>
      <c r="H46" s="107" t="s">
        <v>98</v>
      </c>
      <c r="I46" s="94">
        <f>SUM(I44,I30)</f>
        <v>2100483.48</v>
      </c>
      <c r="N46" s="603" t="s">
        <v>44</v>
      </c>
      <c r="O46" s="603"/>
      <c r="P46" s="603"/>
      <c r="Q46" s="603"/>
      <c r="R46" s="35">
        <f>R44+T30</f>
        <v>0</v>
      </c>
      <c r="S46" s="617" t="s">
        <v>42</v>
      </c>
      <c r="T46" s="617"/>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396</v>
      </c>
      <c r="B48" s="26"/>
      <c r="C48" s="26"/>
      <c r="D48" s="26"/>
      <c r="E48" s="26"/>
      <c r="F48" s="34"/>
      <c r="G48" s="27"/>
      <c r="H48" s="27"/>
      <c r="I48" s="101"/>
      <c r="N48" s="383" t="s">
        <v>396</v>
      </c>
      <c r="O48" s="28"/>
      <c r="P48" s="28"/>
      <c r="Q48" s="28"/>
      <c r="R48" s="35"/>
      <c r="S48" s="30"/>
      <c r="T48" s="30"/>
      <c r="U48" s="402"/>
    </row>
    <row r="49" spans="1:22" s="391" customFormat="1" ht="9" customHeight="1" x14ac:dyDescent="0.2">
      <c r="A49" s="481" t="s">
        <v>397</v>
      </c>
      <c r="F49" s="392"/>
      <c r="G49" s="393"/>
      <c r="H49" s="393"/>
      <c r="I49" s="394"/>
      <c r="N49" s="403" t="s">
        <v>397</v>
      </c>
      <c r="O49" s="395"/>
      <c r="P49" s="395"/>
      <c r="Q49" s="395"/>
      <c r="R49" s="396"/>
      <c r="S49" s="397"/>
      <c r="T49" s="397"/>
      <c r="U49" s="404"/>
    </row>
    <row r="50" spans="1:22" s="391" customFormat="1" ht="11.25" customHeight="1" x14ac:dyDescent="0.2">
      <c r="A50" s="483" t="s">
        <v>398</v>
      </c>
      <c r="F50" s="392"/>
      <c r="G50" s="393"/>
      <c r="H50" s="393"/>
      <c r="I50" s="394"/>
      <c r="N50" s="405" t="s">
        <v>398</v>
      </c>
      <c r="O50" s="395"/>
      <c r="P50" s="395"/>
      <c r="Q50" s="395"/>
      <c r="R50" s="396"/>
      <c r="S50" s="397"/>
      <c r="T50" s="397"/>
      <c r="U50" s="404"/>
    </row>
    <row r="51" spans="1:22" x14ac:dyDescent="0.25">
      <c r="A51" s="389"/>
      <c r="B51" s="399" t="s">
        <v>399</v>
      </c>
      <c r="C51" s="26"/>
      <c r="D51" s="26"/>
      <c r="E51" s="43" t="s">
        <v>400</v>
      </c>
      <c r="F51" s="400">
        <f>I46</f>
        <v>2100483.48</v>
      </c>
      <c r="G51" s="109" t="s">
        <v>6</v>
      </c>
      <c r="H51" s="401">
        <v>4.5199999999999997E-2</v>
      </c>
      <c r="I51" s="101">
        <f>ROUND(F51*H51,2)</f>
        <v>94941.85</v>
      </c>
      <c r="N51" s="406"/>
      <c r="O51" s="407" t="s">
        <v>399</v>
      </c>
      <c r="P51" s="28"/>
      <c r="Q51" s="44" t="s">
        <v>400</v>
      </c>
      <c r="R51" s="408">
        <f>U30</f>
        <v>0</v>
      </c>
      <c r="S51" s="409" t="s">
        <v>6</v>
      </c>
      <c r="T51" s="410">
        <v>4.5199999999999997E-2</v>
      </c>
      <c r="U51" s="402">
        <f>ROUND(R51*T51,2)</f>
        <v>0</v>
      </c>
    </row>
    <row r="52" spans="1:22" x14ac:dyDescent="0.25">
      <c r="A52" s="26"/>
      <c r="B52" s="81" t="s">
        <v>401</v>
      </c>
      <c r="C52" s="26"/>
      <c r="D52" s="26"/>
      <c r="E52" s="43" t="s">
        <v>400</v>
      </c>
      <c r="F52" s="400">
        <f>I46</f>
        <v>2100483.48</v>
      </c>
      <c r="G52" s="109" t="s">
        <v>6</v>
      </c>
      <c r="H52" s="401">
        <v>1.41E-2</v>
      </c>
      <c r="I52" s="101">
        <f>ROUND(F52*H52,2)</f>
        <v>29616.82</v>
      </c>
      <c r="N52" s="28"/>
      <c r="O52" s="383" t="s">
        <v>401</v>
      </c>
      <c r="P52" s="28"/>
      <c r="Q52" s="44" t="s">
        <v>400</v>
      </c>
      <c r="R52" s="408">
        <f>U30</f>
        <v>0</v>
      </c>
      <c r="S52" s="409" t="s">
        <v>6</v>
      </c>
      <c r="T52" s="410">
        <v>1.41E-2</v>
      </c>
      <c r="U52" s="411">
        <f>ROUND(R52*T52,2)</f>
        <v>0</v>
      </c>
    </row>
    <row r="53" spans="1:22" x14ac:dyDescent="0.25">
      <c r="A53" s="26"/>
      <c r="B53" s="81" t="s">
        <v>402</v>
      </c>
      <c r="C53" s="26"/>
      <c r="D53" s="26"/>
      <c r="E53" s="43"/>
      <c r="F53" s="400"/>
      <c r="G53" s="109"/>
      <c r="H53" s="401"/>
      <c r="I53" s="97">
        <f>SUM(I51:I52)</f>
        <v>124558.67000000001</v>
      </c>
      <c r="N53" s="28"/>
      <c r="O53" s="383" t="s">
        <v>402</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440</v>
      </c>
      <c r="G55" s="109" t="s">
        <v>441</v>
      </c>
      <c r="H55" s="454" t="s">
        <v>442</v>
      </c>
      <c r="I55" s="101"/>
      <c r="N55" s="448"/>
      <c r="O55" s="448"/>
      <c r="P55" s="464"/>
      <c r="Q55" s="465"/>
      <c r="R55" s="466"/>
      <c r="S55" s="468" t="s">
        <v>441</v>
      </c>
      <c r="T55" s="469" t="s">
        <v>442</v>
      </c>
      <c r="U55" s="467"/>
      <c r="V55" s="424"/>
    </row>
    <row r="56" spans="1:22" x14ac:dyDescent="0.25">
      <c r="A56" s="36" t="s">
        <v>443</v>
      </c>
      <c r="B56" s="36"/>
      <c r="C56" s="324" t="str">
        <f>'1461'!C56</f>
        <v>FTE</v>
      </c>
      <c r="D56" s="324" t="str">
        <f>'1461'!D56</f>
        <v>FTE</v>
      </c>
      <c r="E56" s="90" t="s">
        <v>2</v>
      </c>
      <c r="F56" s="439" t="s">
        <v>444</v>
      </c>
      <c r="G56" s="441" t="s">
        <v>444</v>
      </c>
      <c r="H56" s="455" t="s">
        <v>445</v>
      </c>
      <c r="I56" s="36"/>
      <c r="N56" s="459" t="s">
        <v>443</v>
      </c>
      <c r="O56" s="459"/>
      <c r="P56" s="620" t="s">
        <v>2</v>
      </c>
      <c r="Q56" s="620"/>
      <c r="R56" s="459" t="s">
        <v>449</v>
      </c>
      <c r="S56" s="450" t="s">
        <v>444</v>
      </c>
      <c r="T56" s="470" t="s">
        <v>445</v>
      </c>
      <c r="U56" s="459"/>
      <c r="V56" s="458"/>
    </row>
    <row r="57" spans="1:22" x14ac:dyDescent="0.25">
      <c r="A57" s="588" t="s">
        <v>447</v>
      </c>
      <c r="B57" s="588"/>
      <c r="C57" s="143">
        <v>0</v>
      </c>
      <c r="D57" s="143">
        <v>0</v>
      </c>
      <c r="E57" s="116">
        <f t="shared" ref="E57:E65" si="10">IF(D$66=0,C57*2,C57+D57)</f>
        <v>0</v>
      </c>
      <c r="F57" s="443" t="s">
        <v>439</v>
      </c>
      <c r="G57" s="443">
        <v>251</v>
      </c>
      <c r="H57" s="457">
        <f>'1461'!H57</f>
        <v>1047</v>
      </c>
      <c r="I57" s="101">
        <f>ROUND(E57*H57,2)</f>
        <v>0</v>
      </c>
      <c r="N57" s="618" t="s">
        <v>447</v>
      </c>
      <c r="O57" s="618"/>
      <c r="P57" s="621"/>
      <c r="Q57" s="621"/>
      <c r="R57" s="449" t="s">
        <v>439</v>
      </c>
      <c r="S57" s="449">
        <v>251</v>
      </c>
      <c r="T57" s="460">
        <f>H57</f>
        <v>1047</v>
      </c>
      <c r="U57" s="474">
        <f>ROUND(P57*T57,2)</f>
        <v>0</v>
      </c>
      <c r="V57" s="424"/>
    </row>
    <row r="58" spans="1:22" x14ac:dyDescent="0.25">
      <c r="A58" s="589"/>
      <c r="B58" s="589"/>
      <c r="C58" s="143">
        <v>0</v>
      </c>
      <c r="D58" s="143">
        <v>0</v>
      </c>
      <c r="E58" s="116">
        <f t="shared" si="10"/>
        <v>0</v>
      </c>
      <c r="F58" s="443" t="s">
        <v>439</v>
      </c>
      <c r="G58" s="443">
        <v>252</v>
      </c>
      <c r="H58" s="457">
        <f>'1461'!H58</f>
        <v>3380</v>
      </c>
      <c r="I58" s="101">
        <f t="shared" ref="I58:I65" si="11">ROUND(E58*H58,2)</f>
        <v>0</v>
      </c>
      <c r="N58" s="619"/>
      <c r="O58" s="619"/>
      <c r="P58" s="622"/>
      <c r="Q58" s="622"/>
      <c r="R58" s="449" t="s">
        <v>439</v>
      </c>
      <c r="S58" s="449">
        <v>252</v>
      </c>
      <c r="T58" s="460">
        <f t="shared" ref="T58:T65" si="12">H58</f>
        <v>3380</v>
      </c>
      <c r="U58" s="474">
        <f t="shared" ref="U58:U65" si="13">ROUND(P58*T58,2)</f>
        <v>0</v>
      </c>
      <c r="V58" s="424"/>
    </row>
    <row r="59" spans="1:22" x14ac:dyDescent="0.25">
      <c r="A59" s="589"/>
      <c r="B59" s="589"/>
      <c r="C59" s="143">
        <v>0</v>
      </c>
      <c r="D59" s="143">
        <v>0</v>
      </c>
      <c r="E59" s="116">
        <f t="shared" si="10"/>
        <v>0</v>
      </c>
      <c r="F59" s="443" t="s">
        <v>439</v>
      </c>
      <c r="G59" s="443">
        <v>253</v>
      </c>
      <c r="H59" s="457">
        <f>'1461'!H59</f>
        <v>6896</v>
      </c>
      <c r="I59" s="101">
        <f t="shared" si="11"/>
        <v>0</v>
      </c>
      <c r="N59" s="619"/>
      <c r="O59" s="619"/>
      <c r="P59" s="622"/>
      <c r="Q59" s="622"/>
      <c r="R59" s="449" t="s">
        <v>439</v>
      </c>
      <c r="S59" s="449">
        <v>253</v>
      </c>
      <c r="T59" s="460">
        <f t="shared" si="12"/>
        <v>6896</v>
      </c>
      <c r="U59" s="474">
        <f t="shared" si="13"/>
        <v>0</v>
      </c>
      <c r="V59" s="424"/>
    </row>
    <row r="60" spans="1:22" x14ac:dyDescent="0.25">
      <c r="A60" s="589"/>
      <c r="B60" s="589"/>
      <c r="C60" s="143">
        <v>0</v>
      </c>
      <c r="D60" s="143">
        <v>0</v>
      </c>
      <c r="E60" s="116">
        <f t="shared" si="10"/>
        <v>0</v>
      </c>
      <c r="F60" s="444" t="s">
        <v>13</v>
      </c>
      <c r="G60" s="443">
        <v>251</v>
      </c>
      <c r="H60" s="457">
        <f>'1461'!H60</f>
        <v>1173</v>
      </c>
      <c r="I60" s="101">
        <f t="shared" si="11"/>
        <v>0</v>
      </c>
      <c r="N60" s="619"/>
      <c r="O60" s="619"/>
      <c r="P60" s="622"/>
      <c r="Q60" s="622"/>
      <c r="R60" s="40" t="s">
        <v>13</v>
      </c>
      <c r="S60" s="449">
        <v>251</v>
      </c>
      <c r="T60" s="460">
        <f t="shared" si="12"/>
        <v>1173</v>
      </c>
      <c r="U60" s="474">
        <f t="shared" si="13"/>
        <v>0</v>
      </c>
      <c r="V60" s="424"/>
    </row>
    <row r="61" spans="1:22" x14ac:dyDescent="0.25">
      <c r="A61" s="589"/>
      <c r="B61" s="589"/>
      <c r="C61" s="143">
        <v>0</v>
      </c>
      <c r="D61" s="143">
        <v>0</v>
      </c>
      <c r="E61" s="116">
        <f t="shared" si="10"/>
        <v>0</v>
      </c>
      <c r="F61" s="444" t="s">
        <v>13</v>
      </c>
      <c r="G61" s="443">
        <v>252</v>
      </c>
      <c r="H61" s="457">
        <f>'1461'!H61</f>
        <v>3506</v>
      </c>
      <c r="I61" s="101">
        <f t="shared" si="11"/>
        <v>0</v>
      </c>
      <c r="N61" s="619"/>
      <c r="O61" s="619"/>
      <c r="P61" s="622"/>
      <c r="Q61" s="622"/>
      <c r="R61" s="40" t="s">
        <v>13</v>
      </c>
      <c r="S61" s="449">
        <v>252</v>
      </c>
      <c r="T61" s="460">
        <f t="shared" si="12"/>
        <v>3506</v>
      </c>
      <c r="U61" s="474">
        <f t="shared" si="13"/>
        <v>0</v>
      </c>
      <c r="V61" s="424"/>
    </row>
    <row r="62" spans="1:22" x14ac:dyDescent="0.25">
      <c r="A62" s="589"/>
      <c r="B62" s="589"/>
      <c r="C62" s="143">
        <v>0</v>
      </c>
      <c r="D62" s="143">
        <v>0</v>
      </c>
      <c r="E62" s="116">
        <f t="shared" si="10"/>
        <v>0</v>
      </c>
      <c r="F62" s="444" t="s">
        <v>13</v>
      </c>
      <c r="G62" s="443">
        <v>253</v>
      </c>
      <c r="H62" s="457">
        <f>'1461'!H62</f>
        <v>7023</v>
      </c>
      <c r="I62" s="101">
        <f t="shared" si="11"/>
        <v>0</v>
      </c>
      <c r="N62" s="619"/>
      <c r="O62" s="619"/>
      <c r="P62" s="622"/>
      <c r="Q62" s="622"/>
      <c r="R62" s="40" t="s">
        <v>13</v>
      </c>
      <c r="S62" s="449">
        <v>253</v>
      </c>
      <c r="T62" s="460">
        <f t="shared" si="12"/>
        <v>7023</v>
      </c>
      <c r="U62" s="474">
        <f t="shared" si="13"/>
        <v>0</v>
      </c>
      <c r="V62" s="424"/>
    </row>
    <row r="63" spans="1:22" x14ac:dyDescent="0.25">
      <c r="A63" s="589"/>
      <c r="B63" s="589"/>
      <c r="C63" s="143">
        <v>25.23</v>
      </c>
      <c r="D63" s="143">
        <v>33.21</v>
      </c>
      <c r="E63" s="116">
        <f t="shared" si="10"/>
        <v>58.44</v>
      </c>
      <c r="F63" s="444" t="s">
        <v>14</v>
      </c>
      <c r="G63" s="443">
        <v>251</v>
      </c>
      <c r="H63" s="457">
        <f>'1461'!H63</f>
        <v>835</v>
      </c>
      <c r="I63" s="101">
        <f t="shared" si="11"/>
        <v>48797.4</v>
      </c>
      <c r="N63" s="619"/>
      <c r="O63" s="619"/>
      <c r="P63" s="622"/>
      <c r="Q63" s="622"/>
      <c r="R63" s="40" t="s">
        <v>14</v>
      </c>
      <c r="S63" s="449">
        <v>251</v>
      </c>
      <c r="T63" s="460">
        <f t="shared" si="12"/>
        <v>835</v>
      </c>
      <c r="U63" s="474">
        <f t="shared" si="13"/>
        <v>0</v>
      </c>
      <c r="V63" s="424"/>
    </row>
    <row r="64" spans="1:22" x14ac:dyDescent="0.25">
      <c r="A64" s="589"/>
      <c r="B64" s="589"/>
      <c r="C64" s="143">
        <v>4</v>
      </c>
      <c r="D64" s="143">
        <v>4.92</v>
      </c>
      <c r="E64" s="116">
        <f t="shared" si="10"/>
        <v>8.92</v>
      </c>
      <c r="F64" s="444" t="s">
        <v>14</v>
      </c>
      <c r="G64" s="443">
        <v>252</v>
      </c>
      <c r="H64" s="457">
        <f>'1461'!H64</f>
        <v>3168</v>
      </c>
      <c r="I64" s="101">
        <f t="shared" si="11"/>
        <v>28258.560000000001</v>
      </c>
      <c r="N64" s="619"/>
      <c r="O64" s="619"/>
      <c r="P64" s="622"/>
      <c r="Q64" s="622"/>
      <c r="R64" s="40" t="s">
        <v>14</v>
      </c>
      <c r="S64" s="449">
        <v>252</v>
      </c>
      <c r="T64" s="460">
        <f t="shared" si="12"/>
        <v>3168</v>
      </c>
      <c r="U64" s="474">
        <f t="shared" si="13"/>
        <v>0</v>
      </c>
      <c r="V64" s="424"/>
    </row>
    <row r="65" spans="1:22" ht="16.5" thickBot="1" x14ac:dyDescent="0.3">
      <c r="A65" s="589"/>
      <c r="B65" s="589"/>
      <c r="C65" s="143">
        <v>0</v>
      </c>
      <c r="D65" s="143">
        <v>0</v>
      </c>
      <c r="E65" s="116">
        <f t="shared" si="10"/>
        <v>0</v>
      </c>
      <c r="F65" s="444" t="s">
        <v>14</v>
      </c>
      <c r="G65" s="443">
        <v>253</v>
      </c>
      <c r="H65" s="457">
        <f>'1461'!H65</f>
        <v>6685</v>
      </c>
      <c r="I65" s="101">
        <f t="shared" si="11"/>
        <v>0</v>
      </c>
      <c r="N65" s="619"/>
      <c r="O65" s="619"/>
      <c r="P65" s="623"/>
      <c r="Q65" s="623"/>
      <c r="R65" s="40" t="s">
        <v>14</v>
      </c>
      <c r="S65" s="449">
        <v>253</v>
      </c>
      <c r="T65" s="460">
        <f t="shared" si="12"/>
        <v>6685</v>
      </c>
      <c r="U65" s="475">
        <f t="shared" si="13"/>
        <v>0</v>
      </c>
      <c r="V65" s="424"/>
    </row>
    <row r="66" spans="1:22" ht="16.5" thickBot="1" x14ac:dyDescent="0.3">
      <c r="A66" s="440"/>
      <c r="C66" s="97">
        <f>SUM(C57:C65)</f>
        <v>29.23</v>
      </c>
      <c r="D66" s="97">
        <f>SUM(D57:D65)</f>
        <v>38.130000000000003</v>
      </c>
      <c r="E66" s="97">
        <f>SUM(E57:E65)</f>
        <v>67.36</v>
      </c>
      <c r="F66" s="590" t="s">
        <v>448</v>
      </c>
      <c r="G66" s="590"/>
      <c r="H66" s="590"/>
      <c r="I66" s="97">
        <f>SUM(I57:I65)</f>
        <v>77055.960000000006</v>
      </c>
      <c r="N66" s="446"/>
      <c r="O66" s="51"/>
      <c r="P66" s="602">
        <f>SUM(P57:P65)</f>
        <v>0</v>
      </c>
      <c r="Q66" s="602"/>
      <c r="R66" s="603" t="s">
        <v>448</v>
      </c>
      <c r="S66" s="603"/>
      <c r="T66" s="603"/>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450</v>
      </c>
      <c r="N68" s="453" t="s">
        <v>458</v>
      </c>
      <c r="O68" s="51"/>
      <c r="P68" s="51"/>
      <c r="Q68" s="51"/>
      <c r="R68" s="51"/>
      <c r="S68" s="51"/>
      <c r="T68" s="51"/>
      <c r="U68" s="51"/>
    </row>
    <row r="69" spans="1:22" x14ac:dyDescent="0.25">
      <c r="A69" s="584" t="s">
        <v>403</v>
      </c>
      <c r="B69" s="578"/>
      <c r="C69" s="112">
        <f>E30</f>
        <v>383.09</v>
      </c>
      <c r="D69" s="565" t="s">
        <v>414</v>
      </c>
      <c r="E69" s="565"/>
      <c r="F69" s="565"/>
      <c r="G69" s="565"/>
      <c r="H69" s="300">
        <f>'1461'!H69</f>
        <v>210228.91</v>
      </c>
      <c r="I69" s="113"/>
      <c r="N69" s="600" t="s">
        <v>407</v>
      </c>
      <c r="O69" s="601"/>
      <c r="P69" s="41">
        <f>P30</f>
        <v>0</v>
      </c>
      <c r="Q69" s="606" t="s">
        <v>409</v>
      </c>
      <c r="R69" s="607"/>
      <c r="S69" s="607"/>
      <c r="T69" s="604">
        <f>H69</f>
        <v>210228.91</v>
      </c>
      <c r="U69" s="604"/>
    </row>
    <row r="70" spans="1:22" x14ac:dyDescent="0.25">
      <c r="B70" s="69"/>
      <c r="G70" s="42" t="s">
        <v>12</v>
      </c>
      <c r="H70" s="114">
        <f>ROUND(C69/H69,6)</f>
        <v>1.8220000000000001E-3</v>
      </c>
      <c r="I70" s="115"/>
      <c r="N70" s="601"/>
      <c r="O70" s="601"/>
      <c r="P70" s="601"/>
      <c r="Q70" s="601"/>
      <c r="R70" s="601"/>
      <c r="S70" s="601"/>
      <c r="T70" s="605">
        <f>ROUND(P69/T69,6)</f>
        <v>0</v>
      </c>
      <c r="U70" s="605"/>
    </row>
    <row r="71" spans="1:22" x14ac:dyDescent="0.25">
      <c r="A71" s="442" t="s">
        <v>451</v>
      </c>
      <c r="N71" s="453" t="s">
        <v>459</v>
      </c>
      <c r="O71" s="51"/>
      <c r="P71" s="51"/>
      <c r="Q71" s="51"/>
      <c r="R71" s="51"/>
      <c r="S71" s="51"/>
      <c r="T71" s="51"/>
      <c r="U71" s="51"/>
    </row>
    <row r="72" spans="1:22" x14ac:dyDescent="0.25">
      <c r="A72" s="584" t="s">
        <v>404</v>
      </c>
      <c r="B72" s="578"/>
      <c r="C72" s="112">
        <f>H30</f>
        <v>378.56890000000004</v>
      </c>
      <c r="D72" s="565" t="s">
        <v>415</v>
      </c>
      <c r="E72" s="565"/>
      <c r="F72" s="565"/>
      <c r="G72" s="565"/>
      <c r="H72" s="301">
        <f>'1461'!H72</f>
        <v>234891.44</v>
      </c>
      <c r="I72" s="116"/>
      <c r="N72" s="600" t="s">
        <v>408</v>
      </c>
      <c r="O72" s="601"/>
      <c r="P72" s="41">
        <f>T30</f>
        <v>0</v>
      </c>
      <c r="Q72" s="606" t="s">
        <v>410</v>
      </c>
      <c r="R72" s="607"/>
      <c r="S72" s="607"/>
      <c r="T72" s="604">
        <f>H72</f>
        <v>234891.44</v>
      </c>
      <c r="U72" s="604"/>
    </row>
    <row r="73" spans="1:22" x14ac:dyDescent="0.25">
      <c r="G73" s="42" t="s">
        <v>12</v>
      </c>
      <c r="H73" s="114">
        <f>ROUND(C72/H72,6)</f>
        <v>1.6119999999999999E-3</v>
      </c>
      <c r="I73" s="114"/>
      <c r="N73" s="601"/>
      <c r="O73" s="601"/>
      <c r="P73" s="601"/>
      <c r="Q73" s="601"/>
      <c r="R73" s="601"/>
      <c r="S73" s="601"/>
      <c r="T73" s="605">
        <f>ROUND(P72/T72,6)</f>
        <v>0</v>
      </c>
      <c r="U73" s="605"/>
    </row>
    <row r="74" spans="1:22" x14ac:dyDescent="0.25">
      <c r="A74" s="417" t="s">
        <v>452</v>
      </c>
      <c r="B74" s="414"/>
      <c r="C74" s="414"/>
      <c r="D74" s="414"/>
      <c r="E74" s="414"/>
      <c r="F74" s="414"/>
      <c r="G74" s="414"/>
      <c r="H74" s="414"/>
      <c r="I74" s="414"/>
      <c r="N74" s="416" t="s">
        <v>460</v>
      </c>
      <c r="O74" s="415"/>
      <c r="P74" s="415"/>
      <c r="Q74" s="415"/>
      <c r="R74" s="415"/>
      <c r="S74" s="415"/>
      <c r="T74" s="415"/>
      <c r="U74" s="415"/>
      <c r="V74" s="414"/>
    </row>
    <row r="75" spans="1:22" x14ac:dyDescent="0.25">
      <c r="A75" s="584" t="s">
        <v>405</v>
      </c>
      <c r="B75" s="578"/>
      <c r="C75" s="112">
        <f>E30</f>
        <v>383.09</v>
      </c>
      <c r="D75" s="557" t="s">
        <v>416</v>
      </c>
      <c r="E75" s="557"/>
      <c r="F75" s="557"/>
      <c r="G75" s="557"/>
      <c r="H75" s="300">
        <f>'1461'!H75</f>
        <v>187665.41</v>
      </c>
      <c r="I75" s="113"/>
      <c r="N75" s="600" t="s">
        <v>406</v>
      </c>
      <c r="O75" s="601"/>
      <c r="P75" s="41">
        <f>P30</f>
        <v>0</v>
      </c>
      <c r="Q75" s="636" t="s">
        <v>411</v>
      </c>
      <c r="R75" s="637"/>
      <c r="S75" s="637"/>
      <c r="T75" s="604">
        <f>H75</f>
        <v>187665.41</v>
      </c>
      <c r="U75" s="604"/>
    </row>
    <row r="76" spans="1:22" x14ac:dyDescent="0.25">
      <c r="B76" s="69"/>
      <c r="G76" s="42" t="s">
        <v>12</v>
      </c>
      <c r="H76" s="114">
        <f>ROUND(C75/H75,6)</f>
        <v>2.0409999999999998E-3</v>
      </c>
      <c r="I76" s="115"/>
      <c r="N76" s="601"/>
      <c r="O76" s="601"/>
      <c r="P76" s="601"/>
      <c r="Q76" s="601"/>
      <c r="R76" s="601"/>
      <c r="S76" s="601"/>
      <c r="T76" s="605">
        <f>ROUND(P75/T75,6)</f>
        <v>0</v>
      </c>
      <c r="U76" s="605"/>
    </row>
    <row r="77" spans="1:22" x14ac:dyDescent="0.25">
      <c r="A77" s="417" t="s">
        <v>453</v>
      </c>
      <c r="B77" s="414"/>
      <c r="C77" s="414"/>
      <c r="D77" s="414"/>
      <c r="E77" s="414"/>
      <c r="F77" s="414"/>
      <c r="G77" s="414"/>
      <c r="H77" s="414"/>
      <c r="I77" s="414"/>
      <c r="N77" s="416" t="s">
        <v>461</v>
      </c>
      <c r="O77" s="415"/>
      <c r="P77" s="415"/>
      <c r="Q77" s="415"/>
      <c r="R77" s="415"/>
      <c r="S77" s="415"/>
      <c r="T77" s="415"/>
      <c r="U77" s="415"/>
      <c r="V77" s="414"/>
    </row>
    <row r="78" spans="1:22" x14ac:dyDescent="0.25">
      <c r="A78" s="584" t="s">
        <v>405</v>
      </c>
      <c r="B78" s="578"/>
      <c r="C78" s="112">
        <f>E30</f>
        <v>383.09</v>
      </c>
      <c r="D78" s="585" t="s">
        <v>417</v>
      </c>
      <c r="E78" s="585"/>
      <c r="F78" s="585"/>
      <c r="G78" s="585"/>
      <c r="H78" s="300">
        <f>'1461'!H78</f>
        <v>209892.26</v>
      </c>
      <c r="I78" s="113"/>
      <c r="N78" s="600" t="s">
        <v>406</v>
      </c>
      <c r="O78" s="601"/>
      <c r="P78" s="41">
        <f>P30</f>
        <v>0</v>
      </c>
      <c r="Q78" s="634" t="s">
        <v>412</v>
      </c>
      <c r="R78" s="635"/>
      <c r="S78" s="635"/>
      <c r="T78" s="604">
        <f>H78</f>
        <v>209892.26</v>
      </c>
      <c r="U78" s="604"/>
    </row>
    <row r="79" spans="1:22" x14ac:dyDescent="0.25">
      <c r="B79" s="69"/>
      <c r="G79" s="42" t="s">
        <v>12</v>
      </c>
      <c r="H79" s="114">
        <f>ROUND(C78/H78,6)</f>
        <v>1.825E-3</v>
      </c>
      <c r="I79" s="115"/>
      <c r="N79" s="601"/>
      <c r="O79" s="601"/>
      <c r="P79" s="601"/>
      <c r="Q79" s="601"/>
      <c r="R79" s="601"/>
      <c r="S79" s="601"/>
      <c r="T79" s="605">
        <f>ROUND(P78/T78,6)</f>
        <v>0</v>
      </c>
      <c r="U79" s="605"/>
    </row>
    <row r="80" spans="1:22" x14ac:dyDescent="0.25">
      <c r="A80" s="417" t="s">
        <v>454</v>
      </c>
      <c r="B80" s="414"/>
      <c r="C80" s="414"/>
      <c r="D80" s="414"/>
      <c r="E80" s="414"/>
      <c r="F80" s="414"/>
      <c r="G80" s="414"/>
      <c r="H80" s="414"/>
      <c r="I80" s="414"/>
      <c r="N80" s="416" t="s">
        <v>462</v>
      </c>
      <c r="O80" s="415"/>
      <c r="P80" s="415"/>
      <c r="Q80" s="415"/>
      <c r="R80" s="415"/>
      <c r="S80" s="415"/>
      <c r="T80" s="415"/>
      <c r="U80" s="415"/>
      <c r="V80" s="414"/>
    </row>
    <row r="81" spans="1:21" x14ac:dyDescent="0.25">
      <c r="A81" s="584" t="s">
        <v>413</v>
      </c>
      <c r="B81" s="578"/>
      <c r="C81" s="112">
        <f>E30</f>
        <v>383.09</v>
      </c>
      <c r="D81" s="557" t="s">
        <v>418</v>
      </c>
      <c r="E81" s="557"/>
      <c r="F81" s="557"/>
      <c r="G81" s="557"/>
      <c r="H81" s="300">
        <f>'1461'!H81</f>
        <v>187328.76</v>
      </c>
      <c r="I81" s="113"/>
      <c r="N81" s="600" t="s">
        <v>419</v>
      </c>
      <c r="O81" s="601"/>
      <c r="P81" s="41">
        <f>P30</f>
        <v>0</v>
      </c>
      <c r="Q81" s="636" t="s">
        <v>420</v>
      </c>
      <c r="R81" s="637"/>
      <c r="S81" s="637"/>
      <c r="T81" s="604">
        <f>H81</f>
        <v>187328.76</v>
      </c>
      <c r="U81" s="604"/>
    </row>
    <row r="82" spans="1:21" x14ac:dyDescent="0.25">
      <c r="B82" s="69"/>
      <c r="G82" s="42" t="s">
        <v>12</v>
      </c>
      <c r="H82" s="114">
        <f>ROUND(C81/H81,6)</f>
        <v>2.0449999999999999E-3</v>
      </c>
      <c r="I82" s="115"/>
      <c r="N82" s="601"/>
      <c r="O82" s="601"/>
      <c r="P82" s="601"/>
      <c r="Q82" s="601"/>
      <c r="R82" s="601"/>
      <c r="S82" s="601"/>
      <c r="T82" s="605">
        <f>ROUND(P81/T81,6)</f>
        <v>0</v>
      </c>
      <c r="U82" s="605"/>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455</v>
      </c>
      <c r="D85" s="69"/>
      <c r="E85" s="43" t="s">
        <v>299</v>
      </c>
      <c r="F85" s="302">
        <f>'1461'!F85</f>
        <v>46163704</v>
      </c>
      <c r="G85" s="37" t="s">
        <v>6</v>
      </c>
      <c r="H85" s="422">
        <f>H79</f>
        <v>1.825E-3</v>
      </c>
      <c r="I85" s="101">
        <f>ROUND(F85*H85,2)</f>
        <v>84248.76</v>
      </c>
      <c r="N85" s="453" t="s">
        <v>455</v>
      </c>
      <c r="O85" s="51"/>
      <c r="P85" s="51"/>
      <c r="Q85" s="44"/>
      <c r="R85" s="419">
        <f>F85</f>
        <v>46163704</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87" t="s">
        <v>71</v>
      </c>
      <c r="B87" s="578"/>
      <c r="C87" s="578"/>
      <c r="D87" s="69"/>
      <c r="E87" s="43"/>
      <c r="F87" s="117"/>
      <c r="G87" s="37"/>
      <c r="H87" s="422"/>
      <c r="I87" s="101"/>
      <c r="N87" s="600" t="s">
        <v>463</v>
      </c>
      <c r="O87" s="601"/>
      <c r="P87" s="601"/>
      <c r="Q87" s="51"/>
      <c r="R87" s="420"/>
      <c r="S87" s="51"/>
      <c r="T87" s="38"/>
      <c r="U87" s="478"/>
    </row>
    <row r="88" spans="1:21" x14ac:dyDescent="0.25">
      <c r="A88" s="587" t="s">
        <v>99</v>
      </c>
      <c r="B88" s="578"/>
      <c r="C88" s="578"/>
      <c r="D88" s="69"/>
      <c r="E88" s="43" t="s">
        <v>3</v>
      </c>
      <c r="F88" s="302">
        <f>'1461'!F88</f>
        <v>0</v>
      </c>
      <c r="G88" s="37" t="s">
        <v>6</v>
      </c>
      <c r="H88" s="422">
        <f>H70</f>
        <v>1.8220000000000001E-3</v>
      </c>
      <c r="I88" s="101">
        <f>ROUND(F88*H88,2)</f>
        <v>0</v>
      </c>
      <c r="N88" s="638" t="s">
        <v>99</v>
      </c>
      <c r="O88" s="601"/>
      <c r="P88" s="601"/>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456</v>
      </c>
      <c r="D90" s="69"/>
      <c r="E90" s="43" t="s">
        <v>421</v>
      </c>
      <c r="F90" s="302">
        <f>'1461'!F90</f>
        <v>19042026</v>
      </c>
      <c r="G90" s="37" t="s">
        <v>6</v>
      </c>
      <c r="H90" s="422">
        <f>H82</f>
        <v>2.0449999999999999E-3</v>
      </c>
      <c r="I90" s="101">
        <f>ROUND(F90*H90,2)</f>
        <v>38940.94</v>
      </c>
      <c r="N90" s="453" t="s">
        <v>456</v>
      </c>
      <c r="O90" s="51"/>
      <c r="P90" s="51"/>
      <c r="Q90" s="44"/>
      <c r="R90" s="419">
        <f>F90</f>
        <v>19042026</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457</v>
      </c>
      <c r="D92" s="69"/>
      <c r="E92" s="43" t="s">
        <v>3</v>
      </c>
      <c r="F92" s="302">
        <f>'1461'!F92</f>
        <v>11441151</v>
      </c>
      <c r="G92" s="37" t="s">
        <v>6</v>
      </c>
      <c r="H92" s="422">
        <f>H76</f>
        <v>2.0409999999999998E-3</v>
      </c>
      <c r="I92" s="101">
        <f t="shared" ref="I92:I96" si="14">ROUND(F92*H92,2)</f>
        <v>23351.39</v>
      </c>
      <c r="N92" s="453" t="s">
        <v>457</v>
      </c>
      <c r="O92" s="51"/>
      <c r="P92" s="51"/>
      <c r="Q92" s="44"/>
      <c r="R92" s="419">
        <f t="shared" ref="R92:R96" si="15">F92</f>
        <v>11441151</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84" t="s">
        <v>422</v>
      </c>
      <c r="B94" s="578"/>
      <c r="C94" s="578"/>
      <c r="D94" s="69"/>
      <c r="E94" s="43" t="s">
        <v>4</v>
      </c>
      <c r="F94" s="302">
        <f>'1461'!F94</f>
        <v>247265670</v>
      </c>
      <c r="G94" s="37" t="s">
        <v>6</v>
      </c>
      <c r="H94" s="422">
        <f>H73</f>
        <v>1.6119999999999999E-3</v>
      </c>
      <c r="I94" s="101">
        <f t="shared" si="14"/>
        <v>398592.26</v>
      </c>
      <c r="N94" s="601" t="s">
        <v>422</v>
      </c>
      <c r="O94" s="601"/>
      <c r="P94" s="601"/>
      <c r="Q94" s="44"/>
      <c r="R94" s="419">
        <f t="shared" si="15"/>
        <v>247265670</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4" t="s">
        <v>423</v>
      </c>
      <c r="B96" s="578"/>
      <c r="C96" s="578"/>
      <c r="D96" s="69"/>
      <c r="E96" s="43" t="s">
        <v>4</v>
      </c>
      <c r="F96" s="302">
        <f>'1461'!F96</f>
        <v>0</v>
      </c>
      <c r="G96" s="37" t="s">
        <v>6</v>
      </c>
      <c r="H96" s="422">
        <f>H73</f>
        <v>1.6119999999999999E-3</v>
      </c>
      <c r="I96" s="101">
        <f t="shared" si="14"/>
        <v>0</v>
      </c>
      <c r="N96" s="600" t="s">
        <v>423</v>
      </c>
      <c r="O96" s="601"/>
      <c r="P96" s="601"/>
      <c r="Q96" s="44"/>
      <c r="R96" s="419">
        <f t="shared" si="15"/>
        <v>0</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530" t="s">
        <v>497</v>
      </c>
      <c r="B98" s="529"/>
      <c r="C98" s="529"/>
      <c r="D98" s="529"/>
      <c r="E98" s="527" t="s">
        <v>3</v>
      </c>
      <c r="F98" s="290">
        <v>0</v>
      </c>
      <c r="G98" s="528" t="s">
        <v>6</v>
      </c>
      <c r="H98" s="422">
        <f>H70</f>
        <v>1.8220000000000001E-3</v>
      </c>
      <c r="I98" s="101">
        <f t="shared" ref="I98" si="16">ROUND(F98*H98,2)</f>
        <v>0</v>
      </c>
      <c r="N98" s="533" t="s">
        <v>497</v>
      </c>
      <c r="O98" s="533"/>
      <c r="P98" s="533"/>
      <c r="Q98" s="44"/>
      <c r="R98" s="536">
        <f>F98</f>
        <v>0</v>
      </c>
      <c r="S98" s="534" t="s">
        <v>6</v>
      </c>
      <c r="T98" s="421">
        <f>T70</f>
        <v>0</v>
      </c>
      <c r="U98" s="473">
        <f>ROUND(R98*T98,2)</f>
        <v>0</v>
      </c>
    </row>
    <row r="99" spans="1:21" x14ac:dyDescent="0.25">
      <c r="A99" s="530"/>
      <c r="B99" s="529"/>
      <c r="C99" s="529"/>
      <c r="D99" s="529"/>
      <c r="E99" s="527"/>
      <c r="F99" s="276"/>
      <c r="G99" s="528"/>
      <c r="H99" s="422"/>
      <c r="I99" s="101"/>
      <c r="N99" s="533"/>
      <c r="O99" s="533"/>
      <c r="P99" s="533"/>
      <c r="Q99" s="44"/>
      <c r="R99" s="535"/>
      <c r="S99" s="534"/>
      <c r="T99" s="421"/>
      <c r="U99" s="477"/>
    </row>
    <row r="100" spans="1:21" x14ac:dyDescent="0.25">
      <c r="A100" s="530"/>
      <c r="B100" s="529"/>
      <c r="C100" s="529"/>
      <c r="D100" s="529"/>
      <c r="E100" s="527"/>
      <c r="F100" s="276"/>
      <c r="G100" s="528"/>
      <c r="H100" s="422"/>
      <c r="I100" s="101"/>
      <c r="N100" s="533"/>
      <c r="O100" s="533"/>
      <c r="P100" s="533"/>
      <c r="Q100" s="44"/>
      <c r="R100" s="420"/>
      <c r="S100" s="534"/>
      <c r="T100" s="421"/>
      <c r="U100" s="103"/>
    </row>
    <row r="101" spans="1:21" x14ac:dyDescent="0.25">
      <c r="A101" s="399" t="s">
        <v>498</v>
      </c>
      <c r="N101" s="407" t="s">
        <v>498</v>
      </c>
      <c r="O101" s="51"/>
      <c r="P101" s="51"/>
      <c r="Q101" s="51"/>
      <c r="R101" s="51"/>
      <c r="S101" s="51"/>
      <c r="T101" s="51"/>
      <c r="U101" s="51"/>
    </row>
    <row r="102" spans="1:21" x14ac:dyDescent="0.25">
      <c r="B102" s="69"/>
      <c r="C102" s="563" t="s">
        <v>60</v>
      </c>
      <c r="D102" s="563"/>
      <c r="E102" s="69"/>
      <c r="F102" s="39" t="s">
        <v>28</v>
      </c>
      <c r="G102" s="69"/>
      <c r="H102" s="69"/>
      <c r="I102" s="69"/>
      <c r="N102" s="45"/>
      <c r="O102" s="45"/>
      <c r="P102" s="45"/>
      <c r="Q102" s="45"/>
      <c r="R102" s="45"/>
      <c r="S102" s="45"/>
      <c r="T102" s="45"/>
      <c r="U102" s="45"/>
    </row>
    <row r="103" spans="1:21" x14ac:dyDescent="0.25">
      <c r="A103" s="3"/>
      <c r="B103" s="118"/>
      <c r="C103" s="564" t="s">
        <v>101</v>
      </c>
      <c r="D103" s="564"/>
      <c r="E103" s="423" t="s">
        <v>426</v>
      </c>
      <c r="F103" s="120" t="s">
        <v>106</v>
      </c>
      <c r="G103" s="121"/>
      <c r="H103" s="121"/>
      <c r="I103" s="121"/>
      <c r="N103" s="631" t="s">
        <v>35</v>
      </c>
      <c r="O103" s="631"/>
      <c r="P103" s="672" t="s">
        <v>428</v>
      </c>
      <c r="Q103" s="633"/>
      <c r="R103" s="604" t="s">
        <v>31</v>
      </c>
      <c r="S103" s="604"/>
      <c r="T103" s="604"/>
      <c r="U103" s="604"/>
    </row>
    <row r="104" spans="1:21" x14ac:dyDescent="0.25">
      <c r="A104" s="26"/>
      <c r="B104" s="52" t="s">
        <v>105</v>
      </c>
      <c r="C104" s="596">
        <f>H14+H15+H20+H23+H26</f>
        <v>0</v>
      </c>
      <c r="D104" s="596"/>
      <c r="E104" s="46">
        <f>H8</f>
        <v>1.0407999999999999</v>
      </c>
      <c r="F104" s="303">
        <f>'1461'!F104</f>
        <v>950.92</v>
      </c>
      <c r="G104" s="39" t="s">
        <v>12</v>
      </c>
      <c r="H104" s="101">
        <f>ROUND(C104*E104*F104,2)</f>
        <v>0</v>
      </c>
      <c r="I104" s="104"/>
      <c r="N104" s="28" t="s">
        <v>17</v>
      </c>
      <c r="O104" s="47">
        <f>T14+T15+T20+T23+T26</f>
        <v>0</v>
      </c>
      <c r="P104" s="611">
        <f>T8</f>
        <v>1.0407999999999999</v>
      </c>
      <c r="Q104" s="611"/>
      <c r="R104" s="48">
        <f>F104</f>
        <v>950.92</v>
      </c>
      <c r="S104" s="40" t="s">
        <v>12</v>
      </c>
      <c r="T104" s="479">
        <f>ROUND(O104*P104*R104,2)</f>
        <v>0</v>
      </c>
      <c r="U104" s="102"/>
    </row>
    <row r="105" spans="1:21" x14ac:dyDescent="0.25">
      <c r="A105" s="49"/>
      <c r="B105" s="49" t="s">
        <v>104</v>
      </c>
      <c r="C105" s="596">
        <f>H16+H17+H21+H24+H27</f>
        <v>0</v>
      </c>
      <c r="D105" s="596"/>
      <c r="E105" s="46">
        <f>H8</f>
        <v>1.0407999999999999</v>
      </c>
      <c r="F105" s="303">
        <f>'1461'!F105</f>
        <v>907.92</v>
      </c>
      <c r="G105" s="39" t="s">
        <v>12</v>
      </c>
      <c r="H105" s="101">
        <f>ROUND(C105*E105*F105,2)</f>
        <v>0</v>
      </c>
      <c r="N105" s="50" t="s">
        <v>13</v>
      </c>
      <c r="O105" s="47">
        <f>T16+T17+T21+T24+T27</f>
        <v>0</v>
      </c>
      <c r="P105" s="611">
        <f>T8</f>
        <v>1.0407999999999999</v>
      </c>
      <c r="Q105" s="611"/>
      <c r="R105" s="48">
        <f>F105</f>
        <v>907.92</v>
      </c>
      <c r="S105" s="40" t="s">
        <v>12</v>
      </c>
      <c r="T105" s="479">
        <f>ROUND(O105*P105*R105,2)</f>
        <v>0</v>
      </c>
      <c r="U105" s="51"/>
    </row>
    <row r="106" spans="1:21" ht="16.5" thickBot="1" x14ac:dyDescent="0.3">
      <c r="A106" s="52"/>
      <c r="B106" s="52" t="s">
        <v>103</v>
      </c>
      <c r="C106" s="596">
        <f>H18+H19+H22+H25+H28+H29</f>
        <v>378.56890000000004</v>
      </c>
      <c r="D106" s="596"/>
      <c r="E106" s="46">
        <f>H8</f>
        <v>1.0407999999999999</v>
      </c>
      <c r="F106" s="303">
        <f>'1461'!F106</f>
        <v>910.12</v>
      </c>
      <c r="G106" s="39" t="s">
        <v>12</v>
      </c>
      <c r="H106" s="94">
        <f>ROUND(C106*E106*F106,2)</f>
        <v>358600.49</v>
      </c>
      <c r="N106" s="53" t="s">
        <v>14</v>
      </c>
      <c r="O106" s="54">
        <f>T18+T19+T22+T25+T28+T29</f>
        <v>0</v>
      </c>
      <c r="P106" s="611">
        <f>T8</f>
        <v>1.0407999999999999</v>
      </c>
      <c r="Q106" s="611"/>
      <c r="R106" s="48">
        <f>F106</f>
        <v>910.12</v>
      </c>
      <c r="S106" s="40" t="s">
        <v>12</v>
      </c>
      <c r="T106" s="479">
        <f>ROUND(O106*P106*R106,2)</f>
        <v>0</v>
      </c>
      <c r="U106" s="51"/>
    </row>
    <row r="107" spans="1:21" ht="16.5" thickBot="1" x14ac:dyDescent="0.3">
      <c r="A107" s="55"/>
      <c r="B107" s="122" t="s">
        <v>102</v>
      </c>
      <c r="C107" s="586">
        <f>SUM(C104:C106)</f>
        <v>378.56890000000004</v>
      </c>
      <c r="D107" s="586"/>
      <c r="E107" s="123"/>
      <c r="F107" s="123"/>
      <c r="G107" s="123"/>
      <c r="H107" s="124" t="s">
        <v>100</v>
      </c>
      <c r="I107" s="101">
        <f>IF(A1=75,0,H106+H105+H104)</f>
        <v>358600.49</v>
      </c>
      <c r="N107" s="56" t="s">
        <v>89</v>
      </c>
      <c r="O107" s="57">
        <f>SUM(O104:O106)</f>
        <v>0</v>
      </c>
      <c r="P107" s="612" t="s">
        <v>16</v>
      </c>
      <c r="Q107" s="613"/>
      <c r="R107" s="613"/>
      <c r="S107" s="613"/>
      <c r="T107" s="613"/>
      <c r="U107" s="473">
        <f>IF(N1=75,0,T106+T105+T104)</f>
        <v>0</v>
      </c>
    </row>
    <row r="108" spans="1:21" ht="16.5" thickTop="1" x14ac:dyDescent="0.25">
      <c r="A108" s="555" t="s">
        <v>65</v>
      </c>
      <c r="B108" s="555"/>
      <c r="C108" s="555"/>
      <c r="D108" s="555"/>
      <c r="E108" s="555"/>
      <c r="F108" s="555"/>
      <c r="G108" s="555"/>
      <c r="H108" s="555"/>
      <c r="I108" s="555"/>
      <c r="N108" s="614" t="s">
        <v>65</v>
      </c>
      <c r="O108" s="614"/>
      <c r="P108" s="614"/>
      <c r="Q108" s="614"/>
      <c r="R108" s="614"/>
      <c r="S108" s="614"/>
      <c r="T108" s="614"/>
      <c r="U108" s="614"/>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0" t="s">
        <v>499</v>
      </c>
      <c r="C110" s="43"/>
      <c r="D110" s="69"/>
      <c r="E110" s="43" t="s">
        <v>32</v>
      </c>
      <c r="F110" s="556"/>
      <c r="G110" s="556"/>
      <c r="H110" s="556"/>
      <c r="I110" s="556"/>
      <c r="N110" s="600" t="s">
        <v>499</v>
      </c>
      <c r="O110" s="601"/>
      <c r="P110" s="601"/>
      <c r="Q110" s="615"/>
      <c r="R110" s="615"/>
      <c r="S110" s="615"/>
      <c r="T110" s="615"/>
      <c r="U110" s="103"/>
    </row>
    <row r="111" spans="1:21" x14ac:dyDescent="0.25">
      <c r="B111" s="69"/>
      <c r="C111" s="88" t="s">
        <v>494</v>
      </c>
      <c r="D111" s="333" t="s">
        <v>495</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57" t="s">
        <v>381</v>
      </c>
      <c r="B113" s="558"/>
      <c r="C113" s="143">
        <v>254</v>
      </c>
      <c r="D113" s="143">
        <v>309</v>
      </c>
      <c r="E113" s="116">
        <f>(C113+D113)/2</f>
        <v>281.5</v>
      </c>
      <c r="F113" s="126" t="s">
        <v>30</v>
      </c>
      <c r="G113" s="304">
        <f>'1461'!G113</f>
        <v>576</v>
      </c>
      <c r="I113" s="101">
        <f>ROUND(G113*E113,2)</f>
        <v>162144</v>
      </c>
      <c r="N113" s="630" t="s">
        <v>52</v>
      </c>
      <c r="O113" s="630"/>
      <c r="P113" s="610">
        <f>IF(H133=1,E113,0)</f>
        <v>0</v>
      </c>
      <c r="Q113" s="610"/>
      <c r="R113" s="610"/>
      <c r="S113" s="83" t="s">
        <v>30</v>
      </c>
      <c r="T113" s="58">
        <f>G113</f>
        <v>576</v>
      </c>
      <c r="U113" s="473">
        <f>ROUND(T113*P113,2)</f>
        <v>0</v>
      </c>
    </row>
    <row r="114" spans="1:21" x14ac:dyDescent="0.25">
      <c r="A114" s="557" t="s">
        <v>382</v>
      </c>
      <c r="B114" s="558"/>
      <c r="C114" s="143">
        <v>0</v>
      </c>
      <c r="D114" s="143">
        <v>0</v>
      </c>
      <c r="E114" s="116">
        <f>(C114+D114)/2</f>
        <v>0</v>
      </c>
      <c r="F114" s="126" t="s">
        <v>30</v>
      </c>
      <c r="G114" s="304">
        <f>'1461'!G114</f>
        <v>1823</v>
      </c>
      <c r="I114" s="101">
        <f>ROUND(G114*E114,2)</f>
        <v>0</v>
      </c>
      <c r="N114" s="630" t="s">
        <v>64</v>
      </c>
      <c r="O114" s="630"/>
      <c r="P114" s="608"/>
      <c r="Q114" s="608"/>
      <c r="R114" s="608"/>
      <c r="S114" s="83" t="s">
        <v>30</v>
      </c>
      <c r="T114" s="58">
        <f>G114</f>
        <v>1823</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4" t="s">
        <v>430</v>
      </c>
      <c r="B117" s="578"/>
      <c r="C117" s="578"/>
      <c r="D117" s="69"/>
      <c r="E117" s="39" t="s">
        <v>300</v>
      </c>
      <c r="F117" s="563"/>
      <c r="G117" s="563"/>
      <c r="H117" s="563"/>
      <c r="I117" s="563"/>
      <c r="N117" s="600" t="s">
        <v>431</v>
      </c>
      <c r="O117" s="601"/>
      <c r="P117" s="601"/>
      <c r="Q117" s="601"/>
      <c r="R117" s="601"/>
      <c r="S117" s="601"/>
      <c r="T117" s="601"/>
      <c r="U117" s="601"/>
    </row>
    <row r="118" spans="1:21" hidden="1" x14ac:dyDescent="0.25">
      <c r="B118" s="69"/>
      <c r="C118" s="564" t="s">
        <v>66</v>
      </c>
      <c r="D118" s="564"/>
      <c r="E118" s="564"/>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5" t="s">
        <v>109</v>
      </c>
      <c r="G119" s="563"/>
      <c r="H119" s="37" t="s">
        <v>29</v>
      </c>
      <c r="I119" s="37"/>
      <c r="N119" s="45"/>
      <c r="O119" s="45"/>
      <c r="P119" s="45"/>
      <c r="Q119" s="45"/>
      <c r="R119" s="45"/>
      <c r="S119" s="45"/>
      <c r="T119" s="45"/>
      <c r="U119" s="45"/>
    </row>
    <row r="120" spans="1:21" hidden="1" x14ac:dyDescent="0.25">
      <c r="A120" s="564" t="s">
        <v>69</v>
      </c>
      <c r="B120" s="564"/>
      <c r="C120" s="90" t="s">
        <v>2</v>
      </c>
      <c r="D120" s="90" t="s">
        <v>2</v>
      </c>
      <c r="E120" s="59" t="s">
        <v>2</v>
      </c>
      <c r="F120" s="564" t="s">
        <v>28</v>
      </c>
      <c r="G120" s="564"/>
      <c r="H120" s="59" t="s">
        <v>28</v>
      </c>
      <c r="I120" s="59" t="s">
        <v>8</v>
      </c>
      <c r="N120" s="609" t="s">
        <v>53</v>
      </c>
      <c r="O120" s="609"/>
      <c r="P120" s="610" t="s">
        <v>66</v>
      </c>
      <c r="Q120" s="610"/>
      <c r="R120" s="609" t="s">
        <v>54</v>
      </c>
      <c r="S120" s="609"/>
      <c r="T120" s="60" t="s">
        <v>55</v>
      </c>
      <c r="U120" s="60" t="s">
        <v>8</v>
      </c>
    </row>
    <row r="121" spans="1:21" hidden="1" x14ac:dyDescent="0.25">
      <c r="A121" s="561" t="s">
        <v>56</v>
      </c>
      <c r="B121" s="561"/>
      <c r="C121" s="141">
        <v>0</v>
      </c>
      <c r="D121" s="141">
        <v>0</v>
      </c>
      <c r="E121" s="187">
        <f>IF(D30=0,C121*2,C121+D121)</f>
        <v>0</v>
      </c>
      <c r="F121" s="562">
        <v>0</v>
      </c>
      <c r="G121" s="562"/>
      <c r="H121" s="224">
        <f>IF(C121=0,0,125)</f>
        <v>0</v>
      </c>
      <c r="I121" s="101">
        <f>ROUND((H121+F121)*E121,2)</f>
        <v>0</v>
      </c>
      <c r="N121" s="601" t="s">
        <v>56</v>
      </c>
      <c r="O121" s="601"/>
      <c r="P121" s="608">
        <f>IF(H$133=1,C121,0)</f>
        <v>0</v>
      </c>
      <c r="Q121" s="608"/>
      <c r="R121" s="628">
        <f>F121</f>
        <v>0</v>
      </c>
      <c r="S121" s="628"/>
      <c r="T121" s="62">
        <f>H121</f>
        <v>0</v>
      </c>
      <c r="U121" s="96">
        <f>ROUND((T121+R121)*P121,0)</f>
        <v>0</v>
      </c>
    </row>
    <row r="122" spans="1:21" hidden="1" x14ac:dyDescent="0.25">
      <c r="A122" s="581" t="s">
        <v>57</v>
      </c>
      <c r="B122" s="581"/>
      <c r="C122" s="143">
        <v>0</v>
      </c>
      <c r="D122" s="143">
        <v>0</v>
      </c>
      <c r="E122" s="116">
        <f>IF(D31=0,C122*2,C122+D122)</f>
        <v>0</v>
      </c>
      <c r="F122" s="598">
        <f>ROUND(F121/2,2)</f>
        <v>0</v>
      </c>
      <c r="G122" s="598"/>
      <c r="H122" s="224">
        <f>IF(C122=0,0,62.5)</f>
        <v>0</v>
      </c>
      <c r="I122" s="101">
        <f>ROUND((H122+F122)*E122,2)</f>
        <v>0</v>
      </c>
      <c r="N122" s="601" t="s">
        <v>57</v>
      </c>
      <c r="O122" s="601"/>
      <c r="P122" s="608">
        <f>IF(H$133=1,C122,0)</f>
        <v>0</v>
      </c>
      <c r="Q122" s="608"/>
      <c r="R122" s="629">
        <f>ROUND(R121/2,2)</f>
        <v>0</v>
      </c>
      <c r="S122" s="629"/>
      <c r="T122" s="62">
        <f>H122</f>
        <v>0</v>
      </c>
      <c r="U122" s="96">
        <f>ROUND((T122+R122)*P122,0)</f>
        <v>0</v>
      </c>
    </row>
    <row r="123" spans="1:21" ht="16.5" hidden="1" thickBot="1" x14ac:dyDescent="0.3">
      <c r="A123" s="581" t="s">
        <v>58</v>
      </c>
      <c r="B123" s="581"/>
      <c r="C123" s="143">
        <v>0</v>
      </c>
      <c r="D123" s="143">
        <v>0</v>
      </c>
      <c r="E123" s="116">
        <f>IF(D32=0,C123*2,C123+D123)</f>
        <v>0</v>
      </c>
      <c r="F123" s="599"/>
      <c r="G123" s="599"/>
      <c r="H123" s="225">
        <f>IF(H121&gt;0,436,0)</f>
        <v>0</v>
      </c>
      <c r="I123" s="101">
        <f>ROUND(H123*E123,2)</f>
        <v>0</v>
      </c>
      <c r="N123" s="616" t="s">
        <v>58</v>
      </c>
      <c r="O123" s="616"/>
      <c r="P123" s="608">
        <f>IF(H$133=1,C123,0)</f>
        <v>0</v>
      </c>
      <c r="Q123" s="608"/>
      <c r="R123" s="609"/>
      <c r="S123" s="609"/>
      <c r="T123" s="64">
        <f>H123</f>
        <v>0</v>
      </c>
      <c r="U123" s="103">
        <f>ROUND(T123*P123,0)</f>
        <v>0</v>
      </c>
    </row>
    <row r="124" spans="1:21" ht="16.5" hidden="1" thickBot="1" x14ac:dyDescent="0.3">
      <c r="A124" s="563" t="s">
        <v>8</v>
      </c>
      <c r="B124" s="563"/>
      <c r="C124" s="65"/>
      <c r="D124" s="65"/>
      <c r="E124" s="65"/>
      <c r="F124" s="65"/>
      <c r="G124" s="65"/>
      <c r="H124" s="65"/>
      <c r="I124" s="97">
        <f>SUM(I121:I123)</f>
        <v>0</v>
      </c>
      <c r="N124" s="627" t="s">
        <v>8</v>
      </c>
      <c r="O124" s="627"/>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4" t="s">
        <v>432</v>
      </c>
      <c r="B126" s="578"/>
      <c r="C126" s="578"/>
      <c r="D126" s="69"/>
      <c r="E126" s="68" t="s">
        <v>34</v>
      </c>
      <c r="F126" s="597"/>
      <c r="G126" s="597"/>
      <c r="H126" s="597"/>
      <c r="I126" s="154">
        <v>0</v>
      </c>
      <c r="N126" s="600" t="s">
        <v>432</v>
      </c>
      <c r="O126" s="601"/>
      <c r="P126" s="601"/>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90" t="s">
        <v>8</v>
      </c>
      <c r="B128" s="590"/>
      <c r="C128" s="590"/>
      <c r="D128" s="590"/>
      <c r="E128" s="590"/>
      <c r="F128" s="590"/>
      <c r="G128" s="590"/>
      <c r="H128" s="590"/>
      <c r="I128" s="94">
        <f>SUM(I46,I66,I85,I88,I90,I92,I94,I96,I107,I113,I114,I124,I126)</f>
        <v>3243417.2800000003</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434</v>
      </c>
      <c r="B130" s="26"/>
      <c r="C130" s="26"/>
      <c r="D130" s="26"/>
      <c r="E130" s="26"/>
      <c r="F130" s="26"/>
      <c r="G130" s="26"/>
      <c r="H130" s="26"/>
      <c r="I130" s="101">
        <f>I128-I53</f>
        <v>3118858.6100000003</v>
      </c>
      <c r="N130" s="601" t="s">
        <v>434</v>
      </c>
      <c r="O130" s="601"/>
      <c r="P130" s="601"/>
      <c r="Q130" s="601"/>
      <c r="R130" s="601"/>
      <c r="S130" s="601"/>
      <c r="T130" s="601"/>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4" t="s">
        <v>502</v>
      </c>
      <c r="B132" s="578"/>
      <c r="C132" s="578"/>
      <c r="D132" s="578"/>
      <c r="E132" s="578"/>
      <c r="F132" s="578"/>
      <c r="G132" s="578"/>
      <c r="H132" s="81" t="s">
        <v>333</v>
      </c>
      <c r="I132" s="134"/>
      <c r="N132" s="600" t="s">
        <v>502</v>
      </c>
      <c r="O132" s="601"/>
      <c r="P132" s="601"/>
      <c r="Q132" s="601"/>
      <c r="R132" s="601"/>
      <c r="S132" s="601"/>
      <c r="T132" s="601"/>
      <c r="U132" s="138"/>
    </row>
    <row r="133" spans="1:21" x14ac:dyDescent="0.25">
      <c r="A133" s="578" t="s">
        <v>70</v>
      </c>
      <c r="B133" s="578"/>
      <c r="C133" s="578"/>
      <c r="D133" s="578"/>
      <c r="E133" s="578"/>
      <c r="F133" s="578"/>
      <c r="G133" s="578"/>
      <c r="H133" s="70"/>
      <c r="I133" s="116">
        <f>U130</f>
        <v>0</v>
      </c>
      <c r="N133" s="601" t="s">
        <v>70</v>
      </c>
      <c r="O133" s="601"/>
      <c r="P133" s="601"/>
      <c r="Q133" s="601"/>
      <c r="R133" s="601"/>
      <c r="S133" s="601"/>
      <c r="T133" s="601"/>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3118858.6100000003</v>
      </c>
      <c r="I135" s="94">
        <f>ROUND(IF(E30=0,0,IF(E30&gt;250,-(((250/E30)*H135)*IF(G135="H",0.02,0.05)),IF(G135="H",-0.02*H135,-0.05*H135))),2)</f>
        <v>-101766.51</v>
      </c>
      <c r="N135" s="626"/>
      <c r="O135" s="626"/>
      <c r="P135" s="626"/>
      <c r="Q135" s="626"/>
      <c r="R135" s="626"/>
      <c r="S135" s="626"/>
      <c r="T135" s="626"/>
      <c r="U135" s="626"/>
    </row>
    <row r="136" spans="1:21" x14ac:dyDescent="0.25">
      <c r="B136" s="69"/>
      <c r="C136" s="69"/>
      <c r="D136" s="69"/>
      <c r="E136" s="69"/>
      <c r="F136" s="69"/>
      <c r="G136" s="69"/>
      <c r="H136" s="65"/>
      <c r="I136" s="101"/>
      <c r="N136" s="624" t="s">
        <v>7</v>
      </c>
      <c r="O136" s="624"/>
      <c r="P136" s="624"/>
      <c r="Q136" s="624"/>
      <c r="R136" s="624"/>
      <c r="S136" s="624"/>
      <c r="T136" s="624"/>
      <c r="U136" s="624"/>
    </row>
    <row r="137" spans="1:21" x14ac:dyDescent="0.25">
      <c r="A137" s="309" t="s">
        <v>74</v>
      </c>
      <c r="B137" s="310"/>
      <c r="C137" s="310"/>
      <c r="D137" s="310"/>
      <c r="E137" s="310"/>
      <c r="F137" s="310"/>
      <c r="G137" s="310"/>
      <c r="H137" s="311"/>
      <c r="I137" s="312">
        <f>I128+I135</f>
        <v>3141650.7700000005</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Payments'!Q86</f>
        <v>0</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3141650.7700000005</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261804.23</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54176.42</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372</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373</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374</v>
      </c>
      <c r="B155" s="252"/>
      <c r="C155" s="252"/>
      <c r="D155" s="252"/>
      <c r="E155" s="252"/>
      <c r="F155" s="252"/>
      <c r="G155" s="252"/>
      <c r="H155" s="252"/>
      <c r="I155" s="252"/>
      <c r="N155" s="625"/>
      <c r="O155" s="625"/>
      <c r="P155" s="625"/>
      <c r="Q155" s="625"/>
      <c r="R155" s="625"/>
      <c r="S155" s="625"/>
      <c r="T155" s="625"/>
      <c r="U155" s="625"/>
    </row>
    <row r="156" spans="1:21" s="76" customFormat="1" x14ac:dyDescent="0.2">
      <c r="A156" s="320" t="s">
        <v>375</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376</v>
      </c>
      <c r="B157" s="252"/>
      <c r="C157" s="252"/>
      <c r="D157" s="252"/>
      <c r="E157" s="252"/>
      <c r="F157" s="252"/>
      <c r="G157" s="252"/>
      <c r="H157" s="252"/>
      <c r="I157" s="252"/>
      <c r="N157" s="78"/>
      <c r="O157" s="79"/>
      <c r="P157" s="79"/>
      <c r="Q157" s="79"/>
      <c r="R157" s="79"/>
      <c r="S157" s="79"/>
      <c r="T157" s="79"/>
      <c r="U157" s="79"/>
    </row>
    <row r="158" spans="1:21" s="76" customFormat="1" x14ac:dyDescent="0.2">
      <c r="A158" s="320" t="s">
        <v>377</v>
      </c>
      <c r="B158" s="252"/>
      <c r="C158" s="252"/>
      <c r="D158" s="252"/>
      <c r="E158" s="252"/>
      <c r="F158" s="252"/>
      <c r="G158" s="252"/>
      <c r="H158" s="252"/>
      <c r="I158" s="252"/>
      <c r="N158" s="78"/>
    </row>
    <row r="159" spans="1:21" s="76" customFormat="1" x14ac:dyDescent="0.2">
      <c r="A159" s="320" t="s">
        <v>379</v>
      </c>
      <c r="B159" s="252"/>
      <c r="C159" s="252"/>
      <c r="D159" s="252"/>
      <c r="E159" s="252"/>
      <c r="F159" s="252"/>
      <c r="G159" s="252"/>
      <c r="H159" s="252"/>
      <c r="I159" s="252"/>
      <c r="N159" s="78"/>
    </row>
    <row r="160" spans="1:21" s="76" customFormat="1" x14ac:dyDescent="0.2">
      <c r="A160" s="385" t="s">
        <v>378</v>
      </c>
      <c r="B160" s="252"/>
      <c r="C160" s="252"/>
      <c r="D160" s="252"/>
      <c r="E160" s="252"/>
      <c r="F160" s="252"/>
      <c r="G160" s="252"/>
      <c r="H160" s="252"/>
      <c r="I160" s="252"/>
      <c r="N160" s="78"/>
    </row>
    <row r="161" spans="1:14" s="76" customFormat="1" x14ac:dyDescent="0.2">
      <c r="A161" s="320" t="s">
        <v>380</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383</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385</v>
      </c>
      <c r="B165" s="293"/>
      <c r="C165" s="293"/>
      <c r="D165" s="293"/>
      <c r="E165" s="293"/>
      <c r="F165" s="293"/>
      <c r="G165" s="293"/>
      <c r="H165" s="293"/>
      <c r="I165" s="293"/>
      <c r="N165" s="78"/>
    </row>
    <row r="166" spans="1:14" s="76" customFormat="1" ht="15.75" customHeight="1" x14ac:dyDescent="0.2">
      <c r="A166" s="351" t="s">
        <v>384</v>
      </c>
      <c r="B166" s="293"/>
      <c r="C166" s="293"/>
      <c r="D166" s="293"/>
      <c r="E166" s="293"/>
      <c r="F166" s="293"/>
      <c r="G166" s="293"/>
      <c r="H166" s="293"/>
      <c r="I166" s="293"/>
      <c r="N166" s="78"/>
    </row>
    <row r="167" spans="1:14" s="76" customFormat="1" ht="15.75" customHeight="1" x14ac:dyDescent="0.2">
      <c r="A167" s="320" t="s">
        <v>386</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388</v>
      </c>
      <c r="B169" s="343"/>
      <c r="C169" s="343"/>
      <c r="D169" s="343"/>
      <c r="E169" s="343"/>
      <c r="F169" s="343"/>
      <c r="G169" s="343"/>
      <c r="H169" s="343"/>
      <c r="I169" s="343"/>
      <c r="N169" s="78"/>
    </row>
    <row r="170" spans="1:14" s="76" customFormat="1" ht="15.75" customHeight="1" x14ac:dyDescent="0.2">
      <c r="A170" s="351" t="s">
        <v>387</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389</v>
      </c>
      <c r="B175" s="293"/>
      <c r="C175" s="293"/>
      <c r="D175" s="293"/>
      <c r="E175" s="293"/>
      <c r="F175" s="293"/>
      <c r="G175" s="293"/>
      <c r="H175" s="293"/>
      <c r="I175" s="293"/>
      <c r="J175" s="3"/>
      <c r="K175" s="3"/>
      <c r="L175" s="3"/>
      <c r="M175" s="3"/>
      <c r="N175" s="78"/>
    </row>
    <row r="176" spans="1:14" s="76" customFormat="1" ht="15.75" customHeight="1" x14ac:dyDescent="0.2">
      <c r="A176" s="361" t="s">
        <v>390</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9">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6" t="s">
        <v>15</v>
      </c>
      <c r="C1" s="567"/>
      <c r="D1" s="567"/>
      <c r="E1" s="567"/>
      <c r="F1" s="567"/>
      <c r="G1" s="567"/>
      <c r="H1" s="567"/>
      <c r="I1" s="567"/>
      <c r="J1" s="135"/>
      <c r="K1" s="135"/>
      <c r="L1" s="135"/>
      <c r="N1" s="82">
        <f>A1</f>
        <v>0</v>
      </c>
      <c r="O1" s="658" t="s">
        <v>15</v>
      </c>
      <c r="P1" s="659"/>
      <c r="Q1" s="659"/>
      <c r="R1" s="659"/>
      <c r="S1" s="659"/>
      <c r="T1" s="659"/>
      <c r="U1" s="659"/>
    </row>
    <row r="2" spans="1:21" ht="21" x14ac:dyDescent="0.35">
      <c r="A2" s="1" t="s">
        <v>123</v>
      </c>
      <c r="B2" s="2"/>
      <c r="C2" s="2"/>
      <c r="D2" s="2"/>
      <c r="E2" s="2"/>
      <c r="F2" s="2"/>
      <c r="G2" s="2"/>
      <c r="H2" s="2"/>
      <c r="I2" s="2"/>
      <c r="N2" s="660" t="s">
        <v>18</v>
      </c>
      <c r="O2" s="660"/>
      <c r="P2" s="660"/>
      <c r="Q2" s="660"/>
      <c r="R2" s="660"/>
      <c r="S2" s="660"/>
      <c r="T2" s="660"/>
      <c r="U2" s="660"/>
    </row>
    <row r="3" spans="1:21" x14ac:dyDescent="0.25">
      <c r="A3" s="81" t="str">
        <f>'1461'!A3</f>
        <v>Based on the FLDOE 2024-25 Conference Calculation</v>
      </c>
      <c r="N3" s="627" t="str">
        <f>A3</f>
        <v>Based on the FLDOE 2024-25 Conference Calculation</v>
      </c>
      <c r="O3" s="627"/>
      <c r="P3" s="627"/>
      <c r="Q3" s="627"/>
      <c r="R3" s="627"/>
      <c r="S3" s="627"/>
      <c r="T3" s="627"/>
      <c r="U3" s="627"/>
    </row>
    <row r="4" spans="1:21" x14ac:dyDescent="0.25">
      <c r="A4" s="568" t="s">
        <v>0</v>
      </c>
      <c r="B4" s="568"/>
      <c r="C4" s="569" t="s">
        <v>9</v>
      </c>
      <c r="D4" s="569"/>
      <c r="E4" s="569"/>
      <c r="F4" s="4" t="str">
        <f>'1461'!F4</f>
        <v>July 2024</v>
      </c>
      <c r="G4" s="4"/>
      <c r="H4" s="4"/>
      <c r="I4" s="4"/>
      <c r="N4" s="661" t="s">
        <v>0</v>
      </c>
      <c r="O4" s="661"/>
      <c r="P4" s="662" t="str">
        <f>C4</f>
        <v>Palm Beach</v>
      </c>
      <c r="Q4" s="662"/>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70" t="s">
        <v>433</v>
      </c>
      <c r="B7" s="664"/>
      <c r="C7" s="664"/>
      <c r="D7" s="664"/>
      <c r="E7" s="664"/>
      <c r="F7" s="664"/>
      <c r="G7" s="664"/>
      <c r="H7" s="664"/>
      <c r="I7" s="664"/>
      <c r="N7" s="661" t="str">
        <f>A7</f>
        <v>1A.   2023-24 FEFP State and Local Funding</v>
      </c>
      <c r="O7" s="661"/>
      <c r="P7" s="661"/>
      <c r="Q7" s="661"/>
      <c r="R7" s="661"/>
      <c r="S7" s="661"/>
      <c r="T7" s="661"/>
      <c r="U7" s="661"/>
    </row>
    <row r="8" spans="1:21" x14ac:dyDescent="0.25">
      <c r="A8" s="84"/>
      <c r="B8" s="85" t="s">
        <v>92</v>
      </c>
      <c r="C8" s="299">
        <f>'1461'!C8</f>
        <v>5330.98</v>
      </c>
      <c r="D8" s="86"/>
      <c r="E8" s="87"/>
      <c r="F8" s="84"/>
      <c r="G8" s="85" t="s">
        <v>393</v>
      </c>
      <c r="H8" s="287">
        <f>'1461'!H8</f>
        <v>1.0407999999999999</v>
      </c>
      <c r="I8" s="75"/>
      <c r="N8" s="665" t="s">
        <v>10</v>
      </c>
      <c r="O8" s="665"/>
      <c r="P8" s="666">
        <f>C8</f>
        <v>5330.98</v>
      </c>
      <c r="Q8" s="666"/>
      <c r="R8" s="648" t="s">
        <v>394</v>
      </c>
      <c r="S8" s="649"/>
      <c r="T8" s="650">
        <f>H8</f>
        <v>1.0407999999999999</v>
      </c>
      <c r="U8" s="650"/>
    </row>
    <row r="9" spans="1:21" x14ac:dyDescent="0.25">
      <c r="A9" s="84"/>
      <c r="B9" s="85"/>
      <c r="C9" s="222"/>
      <c r="D9" s="86"/>
      <c r="E9" s="87"/>
      <c r="F9" s="84"/>
      <c r="G9" s="85" t="s">
        <v>391</v>
      </c>
      <c r="H9" s="287">
        <f>'1461'!H9</f>
        <v>1</v>
      </c>
      <c r="I9" s="75"/>
      <c r="N9" s="12"/>
      <c r="O9" s="12"/>
      <c r="P9" s="13"/>
      <c r="Q9" s="13"/>
      <c r="R9" s="387" t="s">
        <v>392</v>
      </c>
      <c r="S9" s="384"/>
      <c r="T9" s="650">
        <f>H9</f>
        <v>1</v>
      </c>
      <c r="U9" s="650"/>
    </row>
    <row r="10" spans="1:21" x14ac:dyDescent="0.25">
      <c r="A10" s="7"/>
      <c r="B10" s="42" t="s">
        <v>310</v>
      </c>
      <c r="C10" s="334" t="str">
        <f>'1461'!C10</f>
        <v xml:space="preserve"> </v>
      </c>
      <c r="D10" s="334" t="str">
        <f>'1461'!D10</f>
        <v xml:space="preserve"> </v>
      </c>
      <c r="E10" s="8"/>
      <c r="F10" s="9"/>
      <c r="G10" s="9"/>
      <c r="H10" s="10"/>
      <c r="I10" s="305" t="str">
        <f>'1461'!I10</f>
        <v>2024-25</v>
      </c>
      <c r="N10" s="12"/>
      <c r="O10" s="12"/>
      <c r="P10" s="13"/>
      <c r="Q10" s="13"/>
      <c r="R10" s="14"/>
      <c r="S10" s="14"/>
      <c r="T10" s="15"/>
      <c r="U10" s="366" t="str">
        <f>I10</f>
        <v>2024-25</v>
      </c>
    </row>
    <row r="11" spans="1:21" x14ac:dyDescent="0.25">
      <c r="A11" s="7"/>
      <c r="B11" s="7"/>
      <c r="C11" s="88" t="str">
        <f>'1461'!C11</f>
        <v>Oct 2023</v>
      </c>
      <c r="D11" s="333" t="str">
        <f>'1461'!D11</f>
        <v>Feb 2024</v>
      </c>
      <c r="E11" s="89" t="s">
        <v>8</v>
      </c>
      <c r="F11" s="571" t="s">
        <v>1</v>
      </c>
      <c r="G11" s="571"/>
      <c r="H11" s="10" t="s">
        <v>60</v>
      </c>
      <c r="I11" s="11" t="s">
        <v>27</v>
      </c>
      <c r="N11" s="12"/>
      <c r="O11" s="12"/>
      <c r="P11" s="13"/>
      <c r="Q11" s="13"/>
      <c r="R11" s="651" t="s">
        <v>1</v>
      </c>
      <c r="S11" s="651"/>
      <c r="T11" s="15" t="s">
        <v>60</v>
      </c>
      <c r="U11" s="16" t="s">
        <v>27</v>
      </c>
    </row>
    <row r="12" spans="1:21" ht="15.75" customHeight="1" x14ac:dyDescent="0.25">
      <c r="A12" s="572" t="s">
        <v>1</v>
      </c>
      <c r="B12" s="572"/>
      <c r="C12" s="324" t="str">
        <f>'1461'!C12</f>
        <v>FTE</v>
      </c>
      <c r="D12" s="324" t="str">
        <f>'1461'!D12</f>
        <v>FTE</v>
      </c>
      <c r="E12" s="324" t="s">
        <v>2</v>
      </c>
      <c r="F12" s="573" t="s">
        <v>63</v>
      </c>
      <c r="G12" s="573"/>
      <c r="H12" s="17" t="s">
        <v>59</v>
      </c>
      <c r="I12" s="388" t="s">
        <v>395</v>
      </c>
      <c r="N12" s="639" t="s">
        <v>1</v>
      </c>
      <c r="O12" s="639"/>
      <c r="P12" s="652" t="s">
        <v>19</v>
      </c>
      <c r="Q12" s="652"/>
      <c r="R12" s="653" t="s">
        <v>63</v>
      </c>
      <c r="S12" s="653"/>
      <c r="T12" s="18" t="s">
        <v>59</v>
      </c>
      <c r="U12" s="19" t="str">
        <f>I12</f>
        <v>(WFTE x BSA x CWF x SDF)</v>
      </c>
    </row>
    <row r="13" spans="1:21" x14ac:dyDescent="0.25">
      <c r="A13" s="574" t="s">
        <v>36</v>
      </c>
      <c r="B13" s="574"/>
      <c r="C13" s="91"/>
      <c r="D13" s="91"/>
      <c r="E13" s="92" t="s">
        <v>37</v>
      </c>
      <c r="F13" s="575" t="s">
        <v>38</v>
      </c>
      <c r="G13" s="575"/>
      <c r="H13" s="20" t="s">
        <v>39</v>
      </c>
      <c r="I13" s="21" t="s">
        <v>40</v>
      </c>
      <c r="N13" s="654" t="s">
        <v>36</v>
      </c>
      <c r="O13" s="654"/>
      <c r="P13" s="655" t="s">
        <v>37</v>
      </c>
      <c r="Q13" s="655"/>
      <c r="R13" s="656" t="s">
        <v>38</v>
      </c>
      <c r="S13" s="656"/>
      <c r="T13" s="22" t="s">
        <v>39</v>
      </c>
      <c r="U13" s="23" t="s">
        <v>40</v>
      </c>
    </row>
    <row r="14" spans="1:21" x14ac:dyDescent="0.25">
      <c r="A14" s="576" t="s">
        <v>20</v>
      </c>
      <c r="B14" s="576"/>
      <c r="C14" s="143">
        <v>96.11</v>
      </c>
      <c r="D14" s="141">
        <v>94.7</v>
      </c>
      <c r="E14" s="187">
        <f>IF(D$30=0,C14*2,C14+D14)</f>
        <v>190.81</v>
      </c>
      <c r="F14" s="667">
        <f>'1461'!F14:G14</f>
        <v>1.1180000000000001</v>
      </c>
      <c r="G14" s="667"/>
      <c r="H14" s="145">
        <f>ROUND(E14*F14,4)</f>
        <v>213.32560000000001</v>
      </c>
      <c r="I14" s="111">
        <f>ROUND(ROUND(ROUND(H14*$C$8,4)*($H$8),2)*(MAX($H$9,1)),2)</f>
        <v>1183633.67</v>
      </c>
      <c r="N14" s="641" t="s">
        <v>20</v>
      </c>
      <c r="O14" s="641"/>
      <c r="P14" s="642">
        <f t="shared" ref="P14:P29" si="0">IF($H$133=1,E14,0)</f>
        <v>0</v>
      </c>
      <c r="Q14" s="642"/>
      <c r="R14" s="657">
        <v>1</v>
      </c>
      <c r="S14" s="657"/>
      <c r="T14" s="95">
        <f>ROUND(P14*R14,4)</f>
        <v>0</v>
      </c>
      <c r="U14" s="473">
        <f>ROUND(ROUND(ROUND(T14*$C$8,4)*($H$8),2)*(MAX($H$9,1)),2)</f>
        <v>0</v>
      </c>
    </row>
    <row r="15" spans="1:21" x14ac:dyDescent="0.25">
      <c r="A15" s="578" t="s">
        <v>21</v>
      </c>
      <c r="B15" s="578"/>
      <c r="C15" s="143">
        <v>23</v>
      </c>
      <c r="D15" s="143">
        <v>23</v>
      </c>
      <c r="E15" s="116">
        <f t="shared" ref="E15:E29" si="1">IF(D$30=0,C15*2,C15+D15)</f>
        <v>46</v>
      </c>
      <c r="F15" s="663">
        <f>'1461'!F15:G15</f>
        <v>1.1180000000000001</v>
      </c>
      <c r="G15" s="663"/>
      <c r="H15" s="80">
        <f t="shared" ref="H15:H29" si="2">ROUND(E15*F15,4)</f>
        <v>51.427999999999997</v>
      </c>
      <c r="I15" s="101">
        <f t="shared" ref="I15:I29" si="3">ROUND(ROUND(ROUND(H15*$C$8,4)*($H$8),2)*(MAX($H$9,1)),2)</f>
        <v>285347.43</v>
      </c>
      <c r="J15" s="65" t="str">
        <f>IF(ROUND(E15,2)=ROUND(SUM(E57:E59),2)," ","CHECK PK-3 LINES BELOW")</f>
        <v xml:space="preserve"> </v>
      </c>
      <c r="N15" s="601" t="s">
        <v>21</v>
      </c>
      <c r="O15" s="601"/>
      <c r="P15" s="642">
        <f t="shared" si="0"/>
        <v>0</v>
      </c>
      <c r="Q15" s="642"/>
      <c r="R15" s="647">
        <v>1</v>
      </c>
      <c r="S15" s="647"/>
      <c r="T15" s="95">
        <f t="shared" ref="T15:T29" si="4">ROUND(P15*R15,4)</f>
        <v>0</v>
      </c>
      <c r="U15" s="473">
        <f t="shared" ref="U15:U29" si="5">ROUND(ROUND(ROUND(T15*$C$8,4)*($H$8),2)*(MAX($H$9,1)),2)</f>
        <v>0</v>
      </c>
    </row>
    <row r="16" spans="1:21" x14ac:dyDescent="0.25">
      <c r="A16" s="578" t="s">
        <v>22</v>
      </c>
      <c r="B16" s="578"/>
      <c r="C16" s="143">
        <v>50.22</v>
      </c>
      <c r="D16" s="143">
        <v>49.69</v>
      </c>
      <c r="E16" s="116">
        <f t="shared" si="1"/>
        <v>99.91</v>
      </c>
      <c r="F16" s="663">
        <f>'1461'!F16:G16</f>
        <v>1</v>
      </c>
      <c r="G16" s="663"/>
      <c r="H16" s="80">
        <f t="shared" si="2"/>
        <v>99.91</v>
      </c>
      <c r="I16" s="101">
        <f t="shared" si="3"/>
        <v>554349.03</v>
      </c>
      <c r="N16" s="601" t="s">
        <v>22</v>
      </c>
      <c r="O16" s="601"/>
      <c r="P16" s="642">
        <f t="shared" si="0"/>
        <v>0</v>
      </c>
      <c r="Q16" s="642"/>
      <c r="R16" s="647">
        <v>1</v>
      </c>
      <c r="S16" s="647"/>
      <c r="T16" s="95">
        <f t="shared" si="4"/>
        <v>0</v>
      </c>
      <c r="U16" s="473">
        <f t="shared" si="5"/>
        <v>0</v>
      </c>
    </row>
    <row r="17" spans="1:21" x14ac:dyDescent="0.25">
      <c r="A17" s="578" t="s">
        <v>23</v>
      </c>
      <c r="B17" s="578"/>
      <c r="C17" s="143">
        <v>12</v>
      </c>
      <c r="D17" s="143">
        <v>12.5</v>
      </c>
      <c r="E17" s="116">
        <f t="shared" si="1"/>
        <v>24.5</v>
      </c>
      <c r="F17" s="663">
        <f>'1461'!F17:G17</f>
        <v>1</v>
      </c>
      <c r="G17" s="663"/>
      <c r="H17" s="80">
        <f t="shared" si="2"/>
        <v>24.5</v>
      </c>
      <c r="I17" s="101">
        <f t="shared" si="3"/>
        <v>135937.85999999999</v>
      </c>
      <c r="J17" s="65" t="str">
        <f>IF(ROUND(E17,2)=ROUND(SUM(E60:E62),2)," ","CHECK 4-8 LINES BELOW")</f>
        <v xml:space="preserve"> </v>
      </c>
      <c r="N17" s="601" t="s">
        <v>23</v>
      </c>
      <c r="O17" s="601"/>
      <c r="P17" s="642">
        <f t="shared" si="0"/>
        <v>0</v>
      </c>
      <c r="Q17" s="642"/>
      <c r="R17" s="647">
        <v>1</v>
      </c>
      <c r="S17" s="647"/>
      <c r="T17" s="95">
        <f t="shared" si="4"/>
        <v>0</v>
      </c>
      <c r="U17" s="473">
        <f t="shared" si="5"/>
        <v>0</v>
      </c>
    </row>
    <row r="18" spans="1:21" x14ac:dyDescent="0.25">
      <c r="A18" s="578" t="s">
        <v>24</v>
      </c>
      <c r="B18" s="578"/>
      <c r="C18" s="143">
        <v>0</v>
      </c>
      <c r="D18" s="143">
        <v>0</v>
      </c>
      <c r="E18" s="116">
        <f t="shared" si="1"/>
        <v>0</v>
      </c>
      <c r="F18" s="663">
        <f>'1461'!F18:G18</f>
        <v>0.97799999999999998</v>
      </c>
      <c r="G18" s="663"/>
      <c r="H18" s="80">
        <f t="shared" si="2"/>
        <v>0</v>
      </c>
      <c r="I18" s="101">
        <f t="shared" si="3"/>
        <v>0</v>
      </c>
      <c r="N18" s="601" t="s">
        <v>24</v>
      </c>
      <c r="O18" s="601"/>
      <c r="P18" s="642">
        <f t="shared" si="0"/>
        <v>0</v>
      </c>
      <c r="Q18" s="642"/>
      <c r="R18" s="647">
        <v>1</v>
      </c>
      <c r="S18" s="647"/>
      <c r="T18" s="95">
        <f t="shared" si="4"/>
        <v>0</v>
      </c>
      <c r="U18" s="473">
        <f t="shared" si="5"/>
        <v>0</v>
      </c>
    </row>
    <row r="19" spans="1:21" x14ac:dyDescent="0.25">
      <c r="A19" s="578" t="s">
        <v>25</v>
      </c>
      <c r="B19" s="578"/>
      <c r="C19" s="143">
        <v>0</v>
      </c>
      <c r="D19" s="143">
        <v>0</v>
      </c>
      <c r="E19" s="116">
        <f t="shared" si="1"/>
        <v>0</v>
      </c>
      <c r="F19" s="663">
        <f>'1461'!F19:G19</f>
        <v>0.97799999999999998</v>
      </c>
      <c r="G19" s="663"/>
      <c r="H19" s="80">
        <f t="shared" si="2"/>
        <v>0</v>
      </c>
      <c r="I19" s="101">
        <f t="shared" si="3"/>
        <v>0</v>
      </c>
      <c r="J19" s="65" t="str">
        <f>IF(ROUND(E19,2)=ROUND(SUM(E63:E65),2)," ","CHECK 4-8 LINES BELOW")</f>
        <v xml:space="preserve"> </v>
      </c>
      <c r="N19" s="601" t="s">
        <v>25</v>
      </c>
      <c r="O19" s="601"/>
      <c r="P19" s="642">
        <f t="shared" si="0"/>
        <v>0</v>
      </c>
      <c r="Q19" s="642"/>
      <c r="R19" s="647">
        <v>1</v>
      </c>
      <c r="S19" s="647"/>
      <c r="T19" s="95">
        <f t="shared" si="4"/>
        <v>0</v>
      </c>
      <c r="U19" s="472">
        <f t="shared" si="5"/>
        <v>0</v>
      </c>
    </row>
    <row r="20" spans="1:21" x14ac:dyDescent="0.25">
      <c r="A20" s="578" t="s">
        <v>79</v>
      </c>
      <c r="B20" s="578"/>
      <c r="C20" s="143">
        <v>0</v>
      </c>
      <c r="D20" s="143">
        <v>0</v>
      </c>
      <c r="E20" s="116">
        <f t="shared" si="1"/>
        <v>0</v>
      </c>
      <c r="F20" s="663">
        <f>'1461'!F20:G20</f>
        <v>3.6970000000000001</v>
      </c>
      <c r="G20" s="663"/>
      <c r="H20" s="80">
        <f t="shared" si="2"/>
        <v>0</v>
      </c>
      <c r="I20" s="101">
        <f t="shared" si="3"/>
        <v>0</v>
      </c>
      <c r="N20" s="601" t="s">
        <v>79</v>
      </c>
      <c r="O20" s="601"/>
      <c r="P20" s="642">
        <f t="shared" si="0"/>
        <v>0</v>
      </c>
      <c r="Q20" s="642"/>
      <c r="R20" s="647">
        <v>1</v>
      </c>
      <c r="S20" s="647"/>
      <c r="T20" s="95">
        <f t="shared" si="4"/>
        <v>0</v>
      </c>
      <c r="U20" s="473">
        <f t="shared" si="5"/>
        <v>0</v>
      </c>
    </row>
    <row r="21" spans="1:21" x14ac:dyDescent="0.25">
      <c r="A21" s="578" t="s">
        <v>80</v>
      </c>
      <c r="B21" s="578"/>
      <c r="C21" s="143">
        <v>0</v>
      </c>
      <c r="D21" s="143">
        <v>0</v>
      </c>
      <c r="E21" s="116">
        <f t="shared" si="1"/>
        <v>0</v>
      </c>
      <c r="F21" s="663">
        <f>'1461'!F21:G21</f>
        <v>3.6970000000000001</v>
      </c>
      <c r="G21" s="663"/>
      <c r="H21" s="80">
        <f t="shared" si="2"/>
        <v>0</v>
      </c>
      <c r="I21" s="101">
        <f t="shared" si="3"/>
        <v>0</v>
      </c>
      <c r="N21" s="601" t="s">
        <v>80</v>
      </c>
      <c r="O21" s="601"/>
      <c r="P21" s="642">
        <f t="shared" si="0"/>
        <v>0</v>
      </c>
      <c r="Q21" s="642"/>
      <c r="R21" s="647">
        <v>1</v>
      </c>
      <c r="S21" s="647"/>
      <c r="T21" s="95">
        <f t="shared" si="4"/>
        <v>0</v>
      </c>
      <c r="U21" s="473">
        <f t="shared" si="5"/>
        <v>0</v>
      </c>
    </row>
    <row r="22" spans="1:21" x14ac:dyDescent="0.25">
      <c r="A22" s="578" t="s">
        <v>81</v>
      </c>
      <c r="B22" s="578"/>
      <c r="C22" s="143">
        <v>0</v>
      </c>
      <c r="D22" s="143">
        <v>0</v>
      </c>
      <c r="E22" s="116">
        <f t="shared" si="1"/>
        <v>0</v>
      </c>
      <c r="F22" s="663">
        <f>'1461'!F22:G22</f>
        <v>3.6970000000000001</v>
      </c>
      <c r="G22" s="663"/>
      <c r="H22" s="80">
        <f t="shared" si="2"/>
        <v>0</v>
      </c>
      <c r="I22" s="101">
        <f t="shared" si="3"/>
        <v>0</v>
      </c>
      <c r="N22" s="601" t="s">
        <v>81</v>
      </c>
      <c r="O22" s="601"/>
      <c r="P22" s="642">
        <f t="shared" si="0"/>
        <v>0</v>
      </c>
      <c r="Q22" s="642"/>
      <c r="R22" s="647">
        <v>1</v>
      </c>
      <c r="S22" s="647"/>
      <c r="T22" s="95">
        <f t="shared" si="4"/>
        <v>0</v>
      </c>
      <c r="U22" s="473">
        <f t="shared" si="5"/>
        <v>0</v>
      </c>
    </row>
    <row r="23" spans="1:21" x14ac:dyDescent="0.25">
      <c r="A23" s="578" t="s">
        <v>82</v>
      </c>
      <c r="B23" s="578"/>
      <c r="C23" s="143">
        <v>0</v>
      </c>
      <c r="D23" s="143">
        <v>0</v>
      </c>
      <c r="E23" s="116">
        <f t="shared" si="1"/>
        <v>0</v>
      </c>
      <c r="F23" s="663">
        <f>'1461'!F23:G23</f>
        <v>5.992</v>
      </c>
      <c r="G23" s="663"/>
      <c r="H23" s="80">
        <f t="shared" si="2"/>
        <v>0</v>
      </c>
      <c r="I23" s="101">
        <f t="shared" si="3"/>
        <v>0</v>
      </c>
      <c r="N23" s="601" t="s">
        <v>82</v>
      </c>
      <c r="O23" s="601"/>
      <c r="P23" s="642">
        <f t="shared" si="0"/>
        <v>0</v>
      </c>
      <c r="Q23" s="642"/>
      <c r="R23" s="647">
        <v>1</v>
      </c>
      <c r="S23" s="647"/>
      <c r="T23" s="95">
        <f t="shared" si="4"/>
        <v>0</v>
      </c>
      <c r="U23" s="473">
        <f t="shared" si="5"/>
        <v>0</v>
      </c>
    </row>
    <row r="24" spans="1:21" x14ac:dyDescent="0.25">
      <c r="A24" s="578" t="s">
        <v>83</v>
      </c>
      <c r="B24" s="578"/>
      <c r="C24" s="143">
        <v>0</v>
      </c>
      <c r="D24" s="143">
        <v>0</v>
      </c>
      <c r="E24" s="116">
        <f t="shared" si="1"/>
        <v>0</v>
      </c>
      <c r="F24" s="663">
        <f>'1461'!F24:G24</f>
        <v>5.992</v>
      </c>
      <c r="G24" s="663"/>
      <c r="H24" s="80">
        <f t="shared" si="2"/>
        <v>0</v>
      </c>
      <c r="I24" s="101">
        <f t="shared" si="3"/>
        <v>0</v>
      </c>
      <c r="N24" s="601" t="s">
        <v>83</v>
      </c>
      <c r="O24" s="601"/>
      <c r="P24" s="642">
        <f t="shared" si="0"/>
        <v>0</v>
      </c>
      <c r="Q24" s="642"/>
      <c r="R24" s="647">
        <v>1</v>
      </c>
      <c r="S24" s="647"/>
      <c r="T24" s="95">
        <f t="shared" si="4"/>
        <v>0</v>
      </c>
      <c r="U24" s="473">
        <f t="shared" si="5"/>
        <v>0</v>
      </c>
    </row>
    <row r="25" spans="1:21" x14ac:dyDescent="0.25">
      <c r="A25" s="578" t="s">
        <v>84</v>
      </c>
      <c r="B25" s="578"/>
      <c r="C25" s="143">
        <v>0</v>
      </c>
      <c r="D25" s="143">
        <v>0</v>
      </c>
      <c r="E25" s="116">
        <f t="shared" si="1"/>
        <v>0</v>
      </c>
      <c r="F25" s="663">
        <f>'1461'!F25:G25</f>
        <v>5.992</v>
      </c>
      <c r="G25" s="663"/>
      <c r="H25" s="80">
        <f t="shared" si="2"/>
        <v>0</v>
      </c>
      <c r="I25" s="101">
        <f t="shared" si="3"/>
        <v>0</v>
      </c>
      <c r="N25" s="601" t="s">
        <v>84</v>
      </c>
      <c r="O25" s="601"/>
      <c r="P25" s="642">
        <f t="shared" si="0"/>
        <v>0</v>
      </c>
      <c r="Q25" s="642"/>
      <c r="R25" s="647">
        <v>1</v>
      </c>
      <c r="S25" s="647"/>
      <c r="T25" s="95">
        <f t="shared" si="4"/>
        <v>0</v>
      </c>
      <c r="U25" s="473">
        <f t="shared" si="5"/>
        <v>0</v>
      </c>
    </row>
    <row r="26" spans="1:21" x14ac:dyDescent="0.25">
      <c r="A26" s="578" t="s">
        <v>85</v>
      </c>
      <c r="B26" s="578"/>
      <c r="C26" s="143">
        <f>3.32+0.83+0.83+0.41</f>
        <v>5.39</v>
      </c>
      <c r="D26" s="143">
        <f>3.32+1.24+0.83+0.41</f>
        <v>5.8</v>
      </c>
      <c r="E26" s="116">
        <f t="shared" si="1"/>
        <v>11.19</v>
      </c>
      <c r="F26" s="663">
        <f>'1461'!F26:G26</f>
        <v>1.1919999999999999</v>
      </c>
      <c r="G26" s="663"/>
      <c r="H26" s="80">
        <f t="shared" si="2"/>
        <v>13.3385</v>
      </c>
      <c r="I26" s="101">
        <f t="shared" si="3"/>
        <v>74008.45</v>
      </c>
      <c r="N26" s="601" t="s">
        <v>85</v>
      </c>
      <c r="O26" s="601"/>
      <c r="P26" s="642">
        <f t="shared" si="0"/>
        <v>0</v>
      </c>
      <c r="Q26" s="642"/>
      <c r="R26" s="647">
        <v>1</v>
      </c>
      <c r="S26" s="647"/>
      <c r="T26" s="95">
        <f t="shared" si="4"/>
        <v>0</v>
      </c>
      <c r="U26" s="473">
        <f t="shared" si="5"/>
        <v>0</v>
      </c>
    </row>
    <row r="27" spans="1:21" x14ac:dyDescent="0.25">
      <c r="A27" s="578" t="s">
        <v>86</v>
      </c>
      <c r="B27" s="578"/>
      <c r="C27" s="143">
        <v>0.78</v>
      </c>
      <c r="D27" s="143">
        <v>0.82</v>
      </c>
      <c r="E27" s="116">
        <f t="shared" si="1"/>
        <v>1.6</v>
      </c>
      <c r="F27" s="663">
        <f>'1461'!F27:G27</f>
        <v>1.1919999999999999</v>
      </c>
      <c r="G27" s="663"/>
      <c r="H27" s="80">
        <f t="shared" si="2"/>
        <v>1.9072</v>
      </c>
      <c r="I27" s="101">
        <f t="shared" si="3"/>
        <v>10582.07</v>
      </c>
      <c r="N27" s="601" t="s">
        <v>86</v>
      </c>
      <c r="O27" s="601"/>
      <c r="P27" s="642">
        <f t="shared" si="0"/>
        <v>0</v>
      </c>
      <c r="Q27" s="642"/>
      <c r="R27" s="647">
        <v>1</v>
      </c>
      <c r="S27" s="647"/>
      <c r="T27" s="95">
        <f t="shared" si="4"/>
        <v>0</v>
      </c>
      <c r="U27" s="473">
        <f t="shared" si="5"/>
        <v>0</v>
      </c>
    </row>
    <row r="28" spans="1:21" x14ac:dyDescent="0.25">
      <c r="A28" s="578" t="s">
        <v>87</v>
      </c>
      <c r="B28" s="578"/>
      <c r="C28" s="143">
        <v>0</v>
      </c>
      <c r="D28" s="143">
        <v>0</v>
      </c>
      <c r="E28" s="116">
        <f t="shared" si="1"/>
        <v>0</v>
      </c>
      <c r="F28" s="663">
        <f>'1461'!F28:G28</f>
        <v>1.1919999999999999</v>
      </c>
      <c r="G28" s="663"/>
      <c r="H28" s="80">
        <f t="shared" si="2"/>
        <v>0</v>
      </c>
      <c r="I28" s="101">
        <f t="shared" si="3"/>
        <v>0</v>
      </c>
      <c r="N28" s="601" t="s">
        <v>87</v>
      </c>
      <c r="O28" s="601"/>
      <c r="P28" s="642">
        <f t="shared" si="0"/>
        <v>0</v>
      </c>
      <c r="Q28" s="642"/>
      <c r="R28" s="647">
        <v>1</v>
      </c>
      <c r="S28" s="647"/>
      <c r="T28" s="95">
        <f t="shared" si="4"/>
        <v>0</v>
      </c>
      <c r="U28" s="473">
        <f t="shared" si="5"/>
        <v>0</v>
      </c>
    </row>
    <row r="29" spans="1:21" x14ac:dyDescent="0.25">
      <c r="A29" s="578" t="s">
        <v>88</v>
      </c>
      <c r="B29" s="578"/>
      <c r="C29" s="110">
        <v>0</v>
      </c>
      <c r="D29" s="110">
        <v>0</v>
      </c>
      <c r="E29" s="154">
        <f t="shared" si="1"/>
        <v>0</v>
      </c>
      <c r="F29" s="663">
        <f>'1461'!F29:G29</f>
        <v>1.079</v>
      </c>
      <c r="G29" s="663"/>
      <c r="H29" s="93">
        <f t="shared" si="2"/>
        <v>0</v>
      </c>
      <c r="I29" s="94">
        <f t="shared" si="3"/>
        <v>0</v>
      </c>
      <c r="N29" s="616" t="s">
        <v>88</v>
      </c>
      <c r="O29" s="616"/>
      <c r="P29" s="642">
        <f t="shared" si="0"/>
        <v>0</v>
      </c>
      <c r="Q29" s="642"/>
      <c r="R29" s="643">
        <v>1</v>
      </c>
      <c r="S29" s="643"/>
      <c r="T29" s="95">
        <f t="shared" si="4"/>
        <v>0</v>
      </c>
      <c r="U29" s="473">
        <f t="shared" si="5"/>
        <v>0</v>
      </c>
    </row>
    <row r="30" spans="1:21" x14ac:dyDescent="0.25">
      <c r="A30" s="590" t="s">
        <v>5</v>
      </c>
      <c r="B30" s="590"/>
      <c r="C30" s="94">
        <f>SUM(C14:C29)</f>
        <v>187.49999999999997</v>
      </c>
      <c r="D30" s="94">
        <f>SUM(D14:D29)</f>
        <v>186.51</v>
      </c>
      <c r="E30" s="94">
        <f>SUM(E14:E29)</f>
        <v>374.01000000000005</v>
      </c>
      <c r="F30" s="582"/>
      <c r="G30" s="582"/>
      <c r="H30" s="99">
        <f>SUM(H14:H29)</f>
        <v>404.40929999999997</v>
      </c>
      <c r="I30" s="94">
        <f>SUM(I14:I29)</f>
        <v>2243858.5099999998</v>
      </c>
      <c r="N30" s="644" t="s">
        <v>5</v>
      </c>
      <c r="O30" s="644"/>
      <c r="P30" s="645">
        <f>SUM(P14:P29)</f>
        <v>0</v>
      </c>
      <c r="Q30" s="645"/>
      <c r="R30" s="617"/>
      <c r="S30" s="617"/>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0" t="s">
        <v>233</v>
      </c>
      <c r="G34" s="670"/>
      <c r="H34" s="670"/>
      <c r="I34" s="101"/>
      <c r="N34" s="28"/>
      <c r="O34" s="28"/>
      <c r="P34" s="29"/>
      <c r="Q34" s="29"/>
      <c r="R34" s="30"/>
      <c r="S34" s="30"/>
      <c r="T34" s="102"/>
      <c r="U34" s="103"/>
    </row>
    <row r="35" spans="1:21" hidden="1" x14ac:dyDescent="0.25">
      <c r="A35" s="3"/>
      <c r="B35" s="69"/>
      <c r="C35" s="69"/>
      <c r="D35" s="69"/>
      <c r="E35" s="69"/>
      <c r="F35" s="670"/>
      <c r="G35" s="670"/>
      <c r="H35" s="670"/>
      <c r="I35" s="24" t="s">
        <v>61</v>
      </c>
      <c r="N35" s="627" t="s">
        <v>26</v>
      </c>
      <c r="O35" s="627"/>
      <c r="P35" s="627"/>
      <c r="Q35" s="627"/>
      <c r="R35" s="627"/>
      <c r="S35" s="627"/>
      <c r="T35" s="627"/>
      <c r="U35" s="25" t="str">
        <f>I35</f>
        <v>2015-16</v>
      </c>
    </row>
    <row r="36" spans="1:21" hidden="1" x14ac:dyDescent="0.25">
      <c r="A36" s="26"/>
      <c r="B36" s="26"/>
      <c r="C36" s="88" t="s">
        <v>93</v>
      </c>
      <c r="D36" s="88" t="s">
        <v>94</v>
      </c>
      <c r="E36" s="89" t="s">
        <v>8</v>
      </c>
      <c r="F36" s="670"/>
      <c r="G36" s="670"/>
      <c r="H36" s="670"/>
      <c r="I36" s="24" t="s">
        <v>27</v>
      </c>
      <c r="N36" s="28"/>
      <c r="O36" s="28"/>
      <c r="P36" s="29"/>
      <c r="Q36" s="29"/>
      <c r="R36" s="30"/>
      <c r="S36" s="30"/>
      <c r="T36" s="102"/>
      <c r="U36" s="25" t="s">
        <v>27</v>
      </c>
    </row>
    <row r="37" spans="1:21" ht="26.25" hidden="1" x14ac:dyDescent="0.25">
      <c r="A37" s="572" t="s">
        <v>50</v>
      </c>
      <c r="B37" s="572"/>
      <c r="C37" s="90" t="s">
        <v>2</v>
      </c>
      <c r="D37" s="90" t="s">
        <v>2</v>
      </c>
      <c r="E37" s="90" t="s">
        <v>2</v>
      </c>
      <c r="F37" s="671"/>
      <c r="G37" s="671"/>
      <c r="H37" s="671"/>
      <c r="I37" s="31" t="s">
        <v>395</v>
      </c>
      <c r="N37" s="639" t="s">
        <v>50</v>
      </c>
      <c r="O37" s="639"/>
      <c r="P37" s="640" t="s">
        <v>19</v>
      </c>
      <c r="Q37" s="640"/>
      <c r="R37" s="640"/>
      <c r="S37" s="640"/>
      <c r="T37" s="640"/>
      <c r="U37" s="19" t="str">
        <f>I37</f>
        <v>(WFTE x BSA x CWF x SDF)</v>
      </c>
    </row>
    <row r="38" spans="1:21" hidden="1" x14ac:dyDescent="0.25">
      <c r="A38" s="576" t="s">
        <v>45</v>
      </c>
      <c r="B38" s="576"/>
      <c r="C38" s="147">
        <v>0</v>
      </c>
      <c r="D38" s="147">
        <v>0</v>
      </c>
      <c r="E38" s="187">
        <f t="shared" ref="E38:E43" si="6">IF(D$44=0,C38*2,C38+D38)</f>
        <v>0</v>
      </c>
      <c r="F38" s="148"/>
      <c r="G38" s="148"/>
      <c r="H38" s="148"/>
      <c r="I38" s="111">
        <f>ROUND(ROUND(ROUND(E38*$C$8,4)*($H$8),2)*(MAX($H$9,1)),2)</f>
        <v>0</v>
      </c>
      <c r="N38" s="641" t="s">
        <v>45</v>
      </c>
      <c r="O38" s="641"/>
      <c r="P38" s="608">
        <f t="shared" ref="P38:P43" si="7">IF($H$133=1,E38,0)</f>
        <v>0</v>
      </c>
      <c r="Q38" s="608"/>
      <c r="R38" s="608"/>
      <c r="S38" s="608"/>
      <c r="T38" s="608"/>
      <c r="U38" s="98">
        <f>ROUND(ROUND(ROUND(P38*$C$8,4)*($H$8),2)*(MAX($H$9,1)),2)</f>
        <v>0</v>
      </c>
    </row>
    <row r="39" spans="1:21" hidden="1" x14ac:dyDescent="0.25">
      <c r="A39" s="578" t="s">
        <v>46</v>
      </c>
      <c r="B39" s="578"/>
      <c r="C39" s="150">
        <v>0</v>
      </c>
      <c r="D39" s="150">
        <v>0</v>
      </c>
      <c r="E39" s="116">
        <f t="shared" si="6"/>
        <v>0</v>
      </c>
      <c r="F39" s="151"/>
      <c r="G39" s="151"/>
      <c r="H39" s="151"/>
      <c r="I39" s="101">
        <f t="shared" ref="I39:I43" si="8">ROUND(ROUND(ROUND(E39*$C$8,4)*($H$8),2)*(MAX($H$9,1)),2)</f>
        <v>0</v>
      </c>
      <c r="N39" s="601" t="s">
        <v>46</v>
      </c>
      <c r="O39" s="601"/>
      <c r="P39" s="608">
        <f t="shared" si="7"/>
        <v>0</v>
      </c>
      <c r="Q39" s="608"/>
      <c r="R39" s="608"/>
      <c r="S39" s="608"/>
      <c r="T39" s="608"/>
      <c r="U39" s="98">
        <f t="shared" ref="U39:U43" si="9">ROUND(ROUND(ROUND(P39*$C$8,4)*($H$8),2)*(MAX($H$9,1)),2)</f>
        <v>0</v>
      </c>
    </row>
    <row r="40" spans="1:21" hidden="1" x14ac:dyDescent="0.25">
      <c r="A40" s="583" t="s">
        <v>47</v>
      </c>
      <c r="B40" s="583"/>
      <c r="C40" s="150">
        <v>0</v>
      </c>
      <c r="D40" s="150">
        <v>0</v>
      </c>
      <c r="E40" s="116">
        <f t="shared" si="6"/>
        <v>0</v>
      </c>
      <c r="F40" s="151"/>
      <c r="G40" s="151"/>
      <c r="H40" s="151"/>
      <c r="I40" s="101">
        <f t="shared" si="8"/>
        <v>0</v>
      </c>
      <c r="N40" s="646" t="s">
        <v>47</v>
      </c>
      <c r="O40" s="646"/>
      <c r="P40" s="608">
        <f t="shared" si="7"/>
        <v>0</v>
      </c>
      <c r="Q40" s="608"/>
      <c r="R40" s="608"/>
      <c r="S40" s="608"/>
      <c r="T40" s="608"/>
      <c r="U40" s="98">
        <f t="shared" si="9"/>
        <v>0</v>
      </c>
    </row>
    <row r="41" spans="1:21" hidden="1" x14ac:dyDescent="0.25">
      <c r="A41" s="578" t="s">
        <v>48</v>
      </c>
      <c r="B41" s="578"/>
      <c r="C41" s="150">
        <v>0</v>
      </c>
      <c r="D41" s="150">
        <v>0</v>
      </c>
      <c r="E41" s="116">
        <f t="shared" si="6"/>
        <v>0</v>
      </c>
      <c r="F41" s="151"/>
      <c r="G41" s="151"/>
      <c r="H41" s="151"/>
      <c r="I41" s="101">
        <f t="shared" si="8"/>
        <v>0</v>
      </c>
      <c r="N41" s="601" t="s">
        <v>48</v>
      </c>
      <c r="O41" s="601"/>
      <c r="P41" s="608">
        <f t="shared" si="7"/>
        <v>0</v>
      </c>
      <c r="Q41" s="608"/>
      <c r="R41" s="608"/>
      <c r="S41" s="608"/>
      <c r="T41" s="608"/>
      <c r="U41" s="98">
        <f t="shared" si="9"/>
        <v>0</v>
      </c>
    </row>
    <row r="42" spans="1:21" hidden="1" x14ac:dyDescent="0.25">
      <c r="A42" s="578" t="s">
        <v>49</v>
      </c>
      <c r="B42" s="578"/>
      <c r="C42" s="150">
        <v>0</v>
      </c>
      <c r="D42" s="150">
        <v>0</v>
      </c>
      <c r="E42" s="116">
        <f t="shared" si="6"/>
        <v>0</v>
      </c>
      <c r="F42" s="151"/>
      <c r="G42" s="151"/>
      <c r="H42" s="151"/>
      <c r="I42" s="101">
        <f t="shared" si="8"/>
        <v>0</v>
      </c>
      <c r="N42" s="601" t="s">
        <v>49</v>
      </c>
      <c r="O42" s="601"/>
      <c r="P42" s="608">
        <f t="shared" si="7"/>
        <v>0</v>
      </c>
      <c r="Q42" s="608"/>
      <c r="R42" s="608"/>
      <c r="S42" s="608"/>
      <c r="T42" s="608"/>
      <c r="U42" s="98">
        <f t="shared" si="9"/>
        <v>0</v>
      </c>
    </row>
    <row r="43" spans="1:21" hidden="1" x14ac:dyDescent="0.25">
      <c r="A43" s="578" t="s">
        <v>41</v>
      </c>
      <c r="B43" s="578"/>
      <c r="C43" s="149">
        <v>0</v>
      </c>
      <c r="D43" s="149">
        <v>0</v>
      </c>
      <c r="E43" s="154">
        <f t="shared" si="6"/>
        <v>0</v>
      </c>
      <c r="F43" s="151"/>
      <c r="G43" s="151"/>
      <c r="H43" s="151"/>
      <c r="I43" s="94">
        <f t="shared" si="8"/>
        <v>0</v>
      </c>
      <c r="N43" s="616" t="s">
        <v>41</v>
      </c>
      <c r="O43" s="616"/>
      <c r="P43" s="608">
        <f t="shared" si="7"/>
        <v>0</v>
      </c>
      <c r="Q43" s="608"/>
      <c r="R43" s="608"/>
      <c r="S43" s="608"/>
      <c r="T43" s="60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3" t="s">
        <v>43</v>
      </c>
      <c r="O44" s="603"/>
      <c r="P44" s="603"/>
      <c r="Q44" s="603"/>
      <c r="R44" s="33">
        <f>SUM(P38:R43)</f>
        <v>0</v>
      </c>
      <c r="S44" s="617" t="s">
        <v>51</v>
      </c>
      <c r="T44" s="617"/>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404.40929999999997</v>
      </c>
      <c r="F46" s="34"/>
      <c r="G46" s="106"/>
      <c r="H46" s="107" t="s">
        <v>98</v>
      </c>
      <c r="I46" s="94">
        <f>SUM(I44,I30)</f>
        <v>2243858.5099999998</v>
      </c>
      <c r="N46" s="603" t="s">
        <v>44</v>
      </c>
      <c r="O46" s="603"/>
      <c r="P46" s="603"/>
      <c r="Q46" s="603"/>
      <c r="R46" s="35">
        <f>R44+T30</f>
        <v>0</v>
      </c>
      <c r="S46" s="617" t="s">
        <v>42</v>
      </c>
      <c r="T46" s="617"/>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396</v>
      </c>
      <c r="B48" s="26"/>
      <c r="C48" s="26"/>
      <c r="D48" s="26"/>
      <c r="E48" s="26"/>
      <c r="F48" s="34"/>
      <c r="G48" s="27"/>
      <c r="H48" s="27"/>
      <c r="I48" s="101"/>
      <c r="N48" s="383" t="s">
        <v>396</v>
      </c>
      <c r="O48" s="28"/>
      <c r="P48" s="28"/>
      <c r="Q48" s="28"/>
      <c r="R48" s="35"/>
      <c r="S48" s="30"/>
      <c r="T48" s="30"/>
      <c r="U48" s="402"/>
    </row>
    <row r="49" spans="1:22" s="391" customFormat="1" ht="9" customHeight="1" x14ac:dyDescent="0.2">
      <c r="A49" s="481" t="s">
        <v>397</v>
      </c>
      <c r="F49" s="392"/>
      <c r="G49" s="393"/>
      <c r="H49" s="393"/>
      <c r="I49" s="394"/>
      <c r="N49" s="403" t="s">
        <v>397</v>
      </c>
      <c r="O49" s="395"/>
      <c r="P49" s="395"/>
      <c r="Q49" s="395"/>
      <c r="R49" s="396"/>
      <c r="S49" s="397"/>
      <c r="T49" s="397"/>
      <c r="U49" s="404"/>
    </row>
    <row r="50" spans="1:22" s="391" customFormat="1" ht="11.25" customHeight="1" x14ac:dyDescent="0.2">
      <c r="A50" s="483" t="s">
        <v>398</v>
      </c>
      <c r="F50" s="392"/>
      <c r="G50" s="393"/>
      <c r="H50" s="393"/>
      <c r="I50" s="394"/>
      <c r="N50" s="405" t="s">
        <v>398</v>
      </c>
      <c r="O50" s="395"/>
      <c r="P50" s="395"/>
      <c r="Q50" s="395"/>
      <c r="R50" s="396"/>
      <c r="S50" s="397"/>
      <c r="T50" s="397"/>
      <c r="U50" s="404"/>
    </row>
    <row r="51" spans="1:22" x14ac:dyDescent="0.25">
      <c r="A51" s="389"/>
      <c r="B51" s="399" t="s">
        <v>399</v>
      </c>
      <c r="C51" s="26"/>
      <c r="D51" s="26"/>
      <c r="E51" s="43" t="s">
        <v>400</v>
      </c>
      <c r="F51" s="400">
        <f>I46</f>
        <v>2243858.5099999998</v>
      </c>
      <c r="G51" s="109" t="s">
        <v>6</v>
      </c>
      <c r="H51" s="401">
        <v>4.5199999999999997E-2</v>
      </c>
      <c r="I51" s="101">
        <f>ROUND(F51*H51,2)</f>
        <v>101422.39999999999</v>
      </c>
      <c r="N51" s="406"/>
      <c r="O51" s="407" t="s">
        <v>399</v>
      </c>
      <c r="P51" s="28"/>
      <c r="Q51" s="44" t="s">
        <v>400</v>
      </c>
      <c r="R51" s="408">
        <f>U30</f>
        <v>0</v>
      </c>
      <c r="S51" s="409" t="s">
        <v>6</v>
      </c>
      <c r="T51" s="410">
        <v>4.5199999999999997E-2</v>
      </c>
      <c r="U51" s="402">
        <f>ROUND(R51*T51,2)</f>
        <v>0</v>
      </c>
    </row>
    <row r="52" spans="1:22" x14ac:dyDescent="0.25">
      <c r="A52" s="26"/>
      <c r="B52" s="81" t="s">
        <v>401</v>
      </c>
      <c r="C52" s="26"/>
      <c r="D52" s="26"/>
      <c r="E52" s="43" t="s">
        <v>400</v>
      </c>
      <c r="F52" s="400">
        <f>I46</f>
        <v>2243858.5099999998</v>
      </c>
      <c r="G52" s="109" t="s">
        <v>6</v>
      </c>
      <c r="H52" s="401">
        <v>1.41E-2</v>
      </c>
      <c r="I52" s="101">
        <f>ROUND(F52*H52,2)</f>
        <v>31638.400000000001</v>
      </c>
      <c r="N52" s="28"/>
      <c r="O52" s="383" t="s">
        <v>401</v>
      </c>
      <c r="P52" s="28"/>
      <c r="Q52" s="44" t="s">
        <v>400</v>
      </c>
      <c r="R52" s="408">
        <f>U30</f>
        <v>0</v>
      </c>
      <c r="S52" s="409" t="s">
        <v>6</v>
      </c>
      <c r="T52" s="410">
        <v>1.41E-2</v>
      </c>
      <c r="U52" s="411">
        <f>ROUND(R52*T52,2)</f>
        <v>0</v>
      </c>
    </row>
    <row r="53" spans="1:22" x14ac:dyDescent="0.25">
      <c r="A53" s="26"/>
      <c r="B53" s="81" t="s">
        <v>402</v>
      </c>
      <c r="C53" s="26"/>
      <c r="D53" s="26"/>
      <c r="E53" s="43"/>
      <c r="F53" s="400"/>
      <c r="G53" s="109"/>
      <c r="H53" s="401"/>
      <c r="I53" s="97">
        <f>SUM(I51:I52)</f>
        <v>133060.79999999999</v>
      </c>
      <c r="N53" s="28"/>
      <c r="O53" s="383" t="s">
        <v>402</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440</v>
      </c>
      <c r="G55" s="109" t="s">
        <v>441</v>
      </c>
      <c r="H55" s="454" t="s">
        <v>442</v>
      </c>
      <c r="I55" s="101"/>
      <c r="N55" s="448"/>
      <c r="O55" s="448"/>
      <c r="P55" s="464"/>
      <c r="Q55" s="465"/>
      <c r="R55" s="466"/>
      <c r="S55" s="468" t="s">
        <v>441</v>
      </c>
      <c r="T55" s="469" t="s">
        <v>442</v>
      </c>
      <c r="U55" s="467"/>
      <c r="V55" s="424"/>
    </row>
    <row r="56" spans="1:22" x14ac:dyDescent="0.25">
      <c r="A56" s="36" t="s">
        <v>443</v>
      </c>
      <c r="B56" s="36"/>
      <c r="C56" s="324" t="str">
        <f>'1461'!C56</f>
        <v>FTE</v>
      </c>
      <c r="D56" s="324" t="str">
        <f>'1461'!D56</f>
        <v>FTE</v>
      </c>
      <c r="E56" s="90" t="s">
        <v>2</v>
      </c>
      <c r="F56" s="439" t="s">
        <v>444</v>
      </c>
      <c r="G56" s="441" t="s">
        <v>444</v>
      </c>
      <c r="H56" s="455" t="s">
        <v>445</v>
      </c>
      <c r="I56" s="36"/>
      <c r="N56" s="459" t="s">
        <v>443</v>
      </c>
      <c r="O56" s="459"/>
      <c r="P56" s="620" t="s">
        <v>2</v>
      </c>
      <c r="Q56" s="620"/>
      <c r="R56" s="459" t="s">
        <v>449</v>
      </c>
      <c r="S56" s="450" t="s">
        <v>444</v>
      </c>
      <c r="T56" s="470" t="s">
        <v>445</v>
      </c>
      <c r="U56" s="459"/>
      <c r="V56" s="458"/>
    </row>
    <row r="57" spans="1:22" x14ac:dyDescent="0.25">
      <c r="A57" s="588" t="s">
        <v>447</v>
      </c>
      <c r="B57" s="588"/>
      <c r="C57" s="143">
        <v>20.5</v>
      </c>
      <c r="D57" s="143">
        <v>20.49</v>
      </c>
      <c r="E57" s="116">
        <f t="shared" ref="E57:E65" si="10">IF(D$66=0,C57*2,C57+D57)</f>
        <v>40.989999999999995</v>
      </c>
      <c r="F57" s="443" t="s">
        <v>439</v>
      </c>
      <c r="G57" s="443">
        <v>251</v>
      </c>
      <c r="H57" s="457">
        <f>'1461'!H57</f>
        <v>1047</v>
      </c>
      <c r="I57" s="101">
        <f>ROUND(E57*H57,2)</f>
        <v>42916.53</v>
      </c>
      <c r="N57" s="618" t="s">
        <v>447</v>
      </c>
      <c r="O57" s="618"/>
      <c r="P57" s="621"/>
      <c r="Q57" s="621"/>
      <c r="R57" s="449" t="s">
        <v>439</v>
      </c>
      <c r="S57" s="449">
        <v>251</v>
      </c>
      <c r="T57" s="460">
        <f>H57</f>
        <v>1047</v>
      </c>
      <c r="U57" s="474">
        <f>ROUND(P57*T57,2)</f>
        <v>0</v>
      </c>
      <c r="V57" s="424"/>
    </row>
    <row r="58" spans="1:22" x14ac:dyDescent="0.25">
      <c r="A58" s="589"/>
      <c r="B58" s="589"/>
      <c r="C58" s="143">
        <v>2.5</v>
      </c>
      <c r="D58" s="143">
        <v>2.5099999999999998</v>
      </c>
      <c r="E58" s="116">
        <f t="shared" si="10"/>
        <v>5.01</v>
      </c>
      <c r="F58" s="443" t="s">
        <v>439</v>
      </c>
      <c r="G58" s="443">
        <v>252</v>
      </c>
      <c r="H58" s="457">
        <f>'1461'!H58</f>
        <v>3380</v>
      </c>
      <c r="I58" s="101">
        <f t="shared" ref="I58:I65" si="11">ROUND(E58*H58,2)</f>
        <v>16933.8</v>
      </c>
      <c r="N58" s="619"/>
      <c r="O58" s="619"/>
      <c r="P58" s="622"/>
      <c r="Q58" s="622"/>
      <c r="R58" s="449" t="s">
        <v>439</v>
      </c>
      <c r="S58" s="449">
        <v>252</v>
      </c>
      <c r="T58" s="460">
        <f t="shared" ref="T58:T65" si="12">H58</f>
        <v>3380</v>
      </c>
      <c r="U58" s="474">
        <f t="shared" ref="U58:U65" si="13">ROUND(P58*T58,2)</f>
        <v>0</v>
      </c>
      <c r="V58" s="424"/>
    </row>
    <row r="59" spans="1:22" x14ac:dyDescent="0.25">
      <c r="A59" s="589"/>
      <c r="B59" s="589"/>
      <c r="C59" s="143">
        <v>0</v>
      </c>
      <c r="D59" s="143">
        <v>0</v>
      </c>
      <c r="E59" s="116">
        <f t="shared" si="10"/>
        <v>0</v>
      </c>
      <c r="F59" s="443" t="s">
        <v>439</v>
      </c>
      <c r="G59" s="443">
        <v>253</v>
      </c>
      <c r="H59" s="457">
        <f>'1461'!H59</f>
        <v>6896</v>
      </c>
      <c r="I59" s="101">
        <f t="shared" si="11"/>
        <v>0</v>
      </c>
      <c r="N59" s="619"/>
      <c r="O59" s="619"/>
      <c r="P59" s="622"/>
      <c r="Q59" s="622"/>
      <c r="R59" s="449" t="s">
        <v>439</v>
      </c>
      <c r="S59" s="449">
        <v>253</v>
      </c>
      <c r="T59" s="460">
        <f t="shared" si="12"/>
        <v>6896</v>
      </c>
      <c r="U59" s="474">
        <f t="shared" si="13"/>
        <v>0</v>
      </c>
      <c r="V59" s="424"/>
    </row>
    <row r="60" spans="1:22" x14ac:dyDescent="0.25">
      <c r="A60" s="589"/>
      <c r="B60" s="589"/>
      <c r="C60" s="143">
        <v>11.5</v>
      </c>
      <c r="D60" s="143">
        <v>12</v>
      </c>
      <c r="E60" s="116">
        <f t="shared" si="10"/>
        <v>23.5</v>
      </c>
      <c r="F60" s="444" t="s">
        <v>13</v>
      </c>
      <c r="G60" s="443">
        <v>251</v>
      </c>
      <c r="H60" s="457">
        <f>'1461'!H60</f>
        <v>1173</v>
      </c>
      <c r="I60" s="101">
        <f t="shared" si="11"/>
        <v>27565.5</v>
      </c>
      <c r="N60" s="619"/>
      <c r="O60" s="619"/>
      <c r="P60" s="622"/>
      <c r="Q60" s="622"/>
      <c r="R60" s="40" t="s">
        <v>13</v>
      </c>
      <c r="S60" s="449">
        <v>251</v>
      </c>
      <c r="T60" s="460">
        <f t="shared" si="12"/>
        <v>1173</v>
      </c>
      <c r="U60" s="474">
        <f t="shared" si="13"/>
        <v>0</v>
      </c>
      <c r="V60" s="424"/>
    </row>
    <row r="61" spans="1:22" x14ac:dyDescent="0.25">
      <c r="A61" s="589"/>
      <c r="B61" s="589"/>
      <c r="C61" s="143">
        <v>0.5</v>
      </c>
      <c r="D61" s="143">
        <v>0.5</v>
      </c>
      <c r="E61" s="116">
        <f t="shared" si="10"/>
        <v>1</v>
      </c>
      <c r="F61" s="444" t="s">
        <v>13</v>
      </c>
      <c r="G61" s="443">
        <v>252</v>
      </c>
      <c r="H61" s="457">
        <f>'1461'!H61</f>
        <v>3506</v>
      </c>
      <c r="I61" s="101">
        <f t="shared" si="11"/>
        <v>3506</v>
      </c>
      <c r="N61" s="619"/>
      <c r="O61" s="619"/>
      <c r="P61" s="622"/>
      <c r="Q61" s="622"/>
      <c r="R61" s="40" t="s">
        <v>13</v>
      </c>
      <c r="S61" s="449">
        <v>252</v>
      </c>
      <c r="T61" s="460">
        <f t="shared" si="12"/>
        <v>3506</v>
      </c>
      <c r="U61" s="474">
        <f t="shared" si="13"/>
        <v>0</v>
      </c>
      <c r="V61" s="424"/>
    </row>
    <row r="62" spans="1:22" x14ac:dyDescent="0.25">
      <c r="A62" s="589"/>
      <c r="B62" s="589"/>
      <c r="C62" s="143">
        <v>0</v>
      </c>
      <c r="D62" s="143">
        <v>0</v>
      </c>
      <c r="E62" s="116">
        <f t="shared" si="10"/>
        <v>0</v>
      </c>
      <c r="F62" s="444" t="s">
        <v>13</v>
      </c>
      <c r="G62" s="443">
        <v>253</v>
      </c>
      <c r="H62" s="457">
        <f>'1461'!H62</f>
        <v>7023</v>
      </c>
      <c r="I62" s="101">
        <f t="shared" si="11"/>
        <v>0</v>
      </c>
      <c r="N62" s="619"/>
      <c r="O62" s="619"/>
      <c r="P62" s="622"/>
      <c r="Q62" s="622"/>
      <c r="R62" s="40" t="s">
        <v>13</v>
      </c>
      <c r="S62" s="449">
        <v>253</v>
      </c>
      <c r="T62" s="460">
        <f t="shared" si="12"/>
        <v>7023</v>
      </c>
      <c r="U62" s="474">
        <f t="shared" si="13"/>
        <v>0</v>
      </c>
      <c r="V62" s="424"/>
    </row>
    <row r="63" spans="1:22" x14ac:dyDescent="0.25">
      <c r="A63" s="589"/>
      <c r="B63" s="589"/>
      <c r="C63" s="143">
        <v>0</v>
      </c>
      <c r="D63" s="143">
        <v>0</v>
      </c>
      <c r="E63" s="116">
        <f t="shared" si="10"/>
        <v>0</v>
      </c>
      <c r="F63" s="444" t="s">
        <v>14</v>
      </c>
      <c r="G63" s="443">
        <v>251</v>
      </c>
      <c r="H63" s="457">
        <f>'1461'!H63</f>
        <v>835</v>
      </c>
      <c r="I63" s="101">
        <f t="shared" si="11"/>
        <v>0</v>
      </c>
      <c r="N63" s="619"/>
      <c r="O63" s="619"/>
      <c r="P63" s="622"/>
      <c r="Q63" s="622"/>
      <c r="R63" s="40" t="s">
        <v>14</v>
      </c>
      <c r="S63" s="449">
        <v>251</v>
      </c>
      <c r="T63" s="460">
        <f t="shared" si="12"/>
        <v>835</v>
      </c>
      <c r="U63" s="474">
        <f t="shared" si="13"/>
        <v>0</v>
      </c>
      <c r="V63" s="424"/>
    </row>
    <row r="64" spans="1:22" x14ac:dyDescent="0.25">
      <c r="A64" s="589"/>
      <c r="B64" s="589"/>
      <c r="C64" s="143">
        <v>0</v>
      </c>
      <c r="D64" s="143">
        <v>0</v>
      </c>
      <c r="E64" s="116">
        <f t="shared" si="10"/>
        <v>0</v>
      </c>
      <c r="F64" s="444" t="s">
        <v>14</v>
      </c>
      <c r="G64" s="443">
        <v>252</v>
      </c>
      <c r="H64" s="457">
        <f>'1461'!H64</f>
        <v>3168</v>
      </c>
      <c r="I64" s="101">
        <f t="shared" si="11"/>
        <v>0</v>
      </c>
      <c r="N64" s="619"/>
      <c r="O64" s="619"/>
      <c r="P64" s="622"/>
      <c r="Q64" s="622"/>
      <c r="R64" s="40" t="s">
        <v>14</v>
      </c>
      <c r="S64" s="449">
        <v>252</v>
      </c>
      <c r="T64" s="460">
        <f t="shared" si="12"/>
        <v>3168</v>
      </c>
      <c r="U64" s="474">
        <f t="shared" si="13"/>
        <v>0</v>
      </c>
      <c r="V64" s="424"/>
    </row>
    <row r="65" spans="1:22" ht="16.5" thickBot="1" x14ac:dyDescent="0.3">
      <c r="A65" s="589"/>
      <c r="B65" s="589"/>
      <c r="C65" s="143">
        <v>0</v>
      </c>
      <c r="D65" s="143">
        <v>0</v>
      </c>
      <c r="E65" s="116">
        <f t="shared" si="10"/>
        <v>0</v>
      </c>
      <c r="F65" s="444" t="s">
        <v>14</v>
      </c>
      <c r="G65" s="443">
        <v>253</v>
      </c>
      <c r="H65" s="457">
        <f>'1461'!H65</f>
        <v>6685</v>
      </c>
      <c r="I65" s="101">
        <f t="shared" si="11"/>
        <v>0</v>
      </c>
      <c r="N65" s="619"/>
      <c r="O65" s="619"/>
      <c r="P65" s="623"/>
      <c r="Q65" s="623"/>
      <c r="R65" s="40" t="s">
        <v>14</v>
      </c>
      <c r="S65" s="449">
        <v>253</v>
      </c>
      <c r="T65" s="460">
        <f t="shared" si="12"/>
        <v>6685</v>
      </c>
      <c r="U65" s="475">
        <f t="shared" si="13"/>
        <v>0</v>
      </c>
      <c r="V65" s="424"/>
    </row>
    <row r="66" spans="1:22" ht="16.5" thickBot="1" x14ac:dyDescent="0.3">
      <c r="A66" s="440"/>
      <c r="C66" s="97">
        <f>SUM(C57:C65)</f>
        <v>35</v>
      </c>
      <c r="D66" s="97">
        <f>SUM(D57:D65)</f>
        <v>35.5</v>
      </c>
      <c r="E66" s="97">
        <f>SUM(E57:E65)</f>
        <v>70.5</v>
      </c>
      <c r="F66" s="590" t="s">
        <v>448</v>
      </c>
      <c r="G66" s="590"/>
      <c r="H66" s="590"/>
      <c r="I66" s="97">
        <f>SUM(I57:I65)</f>
        <v>90921.83</v>
      </c>
      <c r="N66" s="446"/>
      <c r="O66" s="51"/>
      <c r="P66" s="602">
        <f>SUM(P57:P65)</f>
        <v>0</v>
      </c>
      <c r="Q66" s="602"/>
      <c r="R66" s="603" t="s">
        <v>448</v>
      </c>
      <c r="S66" s="603"/>
      <c r="T66" s="603"/>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450</v>
      </c>
      <c r="N68" s="453" t="s">
        <v>458</v>
      </c>
      <c r="O68" s="51"/>
      <c r="P68" s="51"/>
      <c r="Q68" s="51"/>
      <c r="R68" s="51"/>
      <c r="S68" s="51"/>
      <c r="T68" s="51"/>
      <c r="U68" s="51"/>
    </row>
    <row r="69" spans="1:22" x14ac:dyDescent="0.25">
      <c r="A69" s="584" t="s">
        <v>403</v>
      </c>
      <c r="B69" s="578"/>
      <c r="C69" s="112">
        <f>E30</f>
        <v>374.01000000000005</v>
      </c>
      <c r="D69" s="565" t="s">
        <v>414</v>
      </c>
      <c r="E69" s="565"/>
      <c r="F69" s="565"/>
      <c r="G69" s="565"/>
      <c r="H69" s="300">
        <f>'1461'!H69</f>
        <v>210228.91</v>
      </c>
      <c r="I69" s="113"/>
      <c r="N69" s="600" t="s">
        <v>407</v>
      </c>
      <c r="O69" s="601"/>
      <c r="P69" s="41">
        <f>P30</f>
        <v>0</v>
      </c>
      <c r="Q69" s="606" t="s">
        <v>409</v>
      </c>
      <c r="R69" s="607"/>
      <c r="S69" s="607"/>
      <c r="T69" s="604">
        <f>H69</f>
        <v>210228.91</v>
      </c>
      <c r="U69" s="604"/>
    </row>
    <row r="70" spans="1:22" x14ac:dyDescent="0.25">
      <c r="B70" s="69"/>
      <c r="G70" s="42" t="s">
        <v>12</v>
      </c>
      <c r="H70" s="114">
        <f>ROUND(C69/H69,6)</f>
        <v>1.779E-3</v>
      </c>
      <c r="I70" s="115"/>
      <c r="N70" s="601"/>
      <c r="O70" s="601"/>
      <c r="P70" s="601"/>
      <c r="Q70" s="601"/>
      <c r="R70" s="601"/>
      <c r="S70" s="601"/>
      <c r="T70" s="605">
        <f>ROUND(P69/T69,6)</f>
        <v>0</v>
      </c>
      <c r="U70" s="605"/>
    </row>
    <row r="71" spans="1:22" x14ac:dyDescent="0.25">
      <c r="A71" s="442" t="s">
        <v>451</v>
      </c>
      <c r="N71" s="453" t="s">
        <v>459</v>
      </c>
      <c r="O71" s="51"/>
      <c r="P71" s="51"/>
      <c r="Q71" s="51"/>
      <c r="R71" s="51"/>
      <c r="S71" s="51"/>
      <c r="T71" s="51"/>
      <c r="U71" s="51"/>
    </row>
    <row r="72" spans="1:22" x14ac:dyDescent="0.25">
      <c r="A72" s="584" t="s">
        <v>404</v>
      </c>
      <c r="B72" s="578"/>
      <c r="C72" s="112">
        <f>H30</f>
        <v>404.40929999999997</v>
      </c>
      <c r="D72" s="565" t="s">
        <v>415</v>
      </c>
      <c r="E72" s="565"/>
      <c r="F72" s="565"/>
      <c r="G72" s="565"/>
      <c r="H72" s="301">
        <f>'1461'!H72</f>
        <v>234891.44</v>
      </c>
      <c r="I72" s="116"/>
      <c r="N72" s="600" t="s">
        <v>408</v>
      </c>
      <c r="O72" s="601"/>
      <c r="P72" s="41">
        <f>T30</f>
        <v>0</v>
      </c>
      <c r="Q72" s="606" t="s">
        <v>410</v>
      </c>
      <c r="R72" s="607"/>
      <c r="S72" s="607"/>
      <c r="T72" s="604">
        <f>H72</f>
        <v>234891.44</v>
      </c>
      <c r="U72" s="604"/>
    </row>
    <row r="73" spans="1:22" x14ac:dyDescent="0.25">
      <c r="G73" s="42" t="s">
        <v>12</v>
      </c>
      <c r="H73" s="114">
        <f>ROUND(C72/H72,6)</f>
        <v>1.722E-3</v>
      </c>
      <c r="I73" s="114"/>
      <c r="N73" s="601"/>
      <c r="O73" s="601"/>
      <c r="P73" s="601"/>
      <c r="Q73" s="601"/>
      <c r="R73" s="601"/>
      <c r="S73" s="601"/>
      <c r="T73" s="605">
        <f>ROUND(P72/T72,6)</f>
        <v>0</v>
      </c>
      <c r="U73" s="605"/>
    </row>
    <row r="74" spans="1:22" x14ac:dyDescent="0.25">
      <c r="A74" s="417" t="s">
        <v>452</v>
      </c>
      <c r="B74" s="414"/>
      <c r="C74" s="414"/>
      <c r="D74" s="414"/>
      <c r="E74" s="414"/>
      <c r="F74" s="414"/>
      <c r="G74" s="414"/>
      <c r="H74" s="414"/>
      <c r="I74" s="414"/>
      <c r="N74" s="416" t="s">
        <v>460</v>
      </c>
      <c r="O74" s="415"/>
      <c r="P74" s="415"/>
      <c r="Q74" s="415"/>
      <c r="R74" s="415"/>
      <c r="S74" s="415"/>
      <c r="T74" s="415"/>
      <c r="U74" s="415"/>
      <c r="V74" s="414"/>
    </row>
    <row r="75" spans="1:22" x14ac:dyDescent="0.25">
      <c r="A75" s="584" t="s">
        <v>405</v>
      </c>
      <c r="B75" s="578"/>
      <c r="C75" s="112">
        <f>E30</f>
        <v>374.01000000000005</v>
      </c>
      <c r="D75" s="557" t="s">
        <v>416</v>
      </c>
      <c r="E75" s="557"/>
      <c r="F75" s="557"/>
      <c r="G75" s="557"/>
      <c r="H75" s="300">
        <f>'1461'!H75</f>
        <v>187665.41</v>
      </c>
      <c r="I75" s="113"/>
      <c r="N75" s="600" t="s">
        <v>406</v>
      </c>
      <c r="O75" s="601"/>
      <c r="P75" s="41">
        <f>P30</f>
        <v>0</v>
      </c>
      <c r="Q75" s="636" t="s">
        <v>411</v>
      </c>
      <c r="R75" s="637"/>
      <c r="S75" s="637"/>
      <c r="T75" s="604">
        <f>H75</f>
        <v>187665.41</v>
      </c>
      <c r="U75" s="604"/>
    </row>
    <row r="76" spans="1:22" x14ac:dyDescent="0.25">
      <c r="B76" s="69"/>
      <c r="G76" s="42" t="s">
        <v>12</v>
      </c>
      <c r="H76" s="114">
        <f>ROUND(C75/H75,6)</f>
        <v>1.993E-3</v>
      </c>
      <c r="I76" s="115"/>
      <c r="N76" s="601"/>
      <c r="O76" s="601"/>
      <c r="P76" s="601"/>
      <c r="Q76" s="601"/>
      <c r="R76" s="601"/>
      <c r="S76" s="601"/>
      <c r="T76" s="605">
        <f>ROUND(P75/T75,6)</f>
        <v>0</v>
      </c>
      <c r="U76" s="605"/>
    </row>
    <row r="77" spans="1:22" x14ac:dyDescent="0.25">
      <c r="A77" s="417" t="s">
        <v>453</v>
      </c>
      <c r="B77" s="414"/>
      <c r="C77" s="414"/>
      <c r="D77" s="414"/>
      <c r="E77" s="414"/>
      <c r="F77" s="414"/>
      <c r="G77" s="414"/>
      <c r="H77" s="414"/>
      <c r="I77" s="414"/>
      <c r="N77" s="416" t="s">
        <v>461</v>
      </c>
      <c r="O77" s="415"/>
      <c r="P77" s="415"/>
      <c r="Q77" s="415"/>
      <c r="R77" s="415"/>
      <c r="S77" s="415"/>
      <c r="T77" s="415"/>
      <c r="U77" s="415"/>
      <c r="V77" s="414"/>
    </row>
    <row r="78" spans="1:22" x14ac:dyDescent="0.25">
      <c r="A78" s="584" t="s">
        <v>405</v>
      </c>
      <c r="B78" s="578"/>
      <c r="C78" s="112">
        <f>E30</f>
        <v>374.01000000000005</v>
      </c>
      <c r="D78" s="585" t="s">
        <v>417</v>
      </c>
      <c r="E78" s="585"/>
      <c r="F78" s="585"/>
      <c r="G78" s="585"/>
      <c r="H78" s="300">
        <f>'1461'!H78</f>
        <v>209892.26</v>
      </c>
      <c r="I78" s="113"/>
      <c r="N78" s="600" t="s">
        <v>406</v>
      </c>
      <c r="O78" s="601"/>
      <c r="P78" s="41">
        <f>P30</f>
        <v>0</v>
      </c>
      <c r="Q78" s="634" t="s">
        <v>412</v>
      </c>
      <c r="R78" s="635"/>
      <c r="S78" s="635"/>
      <c r="T78" s="604">
        <f>H78</f>
        <v>209892.26</v>
      </c>
      <c r="U78" s="604"/>
    </row>
    <row r="79" spans="1:22" x14ac:dyDescent="0.25">
      <c r="B79" s="69"/>
      <c r="G79" s="42" t="s">
        <v>12</v>
      </c>
      <c r="H79" s="114">
        <f>ROUND(C78/H78,6)</f>
        <v>1.7819999999999999E-3</v>
      </c>
      <c r="I79" s="115"/>
      <c r="N79" s="601"/>
      <c r="O79" s="601"/>
      <c r="P79" s="601"/>
      <c r="Q79" s="601"/>
      <c r="R79" s="601"/>
      <c r="S79" s="601"/>
      <c r="T79" s="605">
        <f>ROUND(P78/T78,6)</f>
        <v>0</v>
      </c>
      <c r="U79" s="605"/>
    </row>
    <row r="80" spans="1:22" x14ac:dyDescent="0.25">
      <c r="A80" s="417" t="s">
        <v>454</v>
      </c>
      <c r="B80" s="414"/>
      <c r="C80" s="414"/>
      <c r="D80" s="414"/>
      <c r="E80" s="414"/>
      <c r="F80" s="414"/>
      <c r="G80" s="414"/>
      <c r="H80" s="414"/>
      <c r="I80" s="414"/>
      <c r="N80" s="416" t="s">
        <v>462</v>
      </c>
      <c r="O80" s="415"/>
      <c r="P80" s="415"/>
      <c r="Q80" s="415"/>
      <c r="R80" s="415"/>
      <c r="S80" s="415"/>
      <c r="T80" s="415"/>
      <c r="U80" s="415"/>
      <c r="V80" s="414"/>
    </row>
    <row r="81" spans="1:21" x14ac:dyDescent="0.25">
      <c r="A81" s="584" t="s">
        <v>413</v>
      </c>
      <c r="B81" s="578"/>
      <c r="C81" s="112">
        <f>E30</f>
        <v>374.01000000000005</v>
      </c>
      <c r="D81" s="557" t="s">
        <v>418</v>
      </c>
      <c r="E81" s="557"/>
      <c r="F81" s="557"/>
      <c r="G81" s="557"/>
      <c r="H81" s="300">
        <f>'1461'!H81</f>
        <v>187328.76</v>
      </c>
      <c r="I81" s="113"/>
      <c r="N81" s="600" t="s">
        <v>419</v>
      </c>
      <c r="O81" s="601"/>
      <c r="P81" s="41">
        <f>P30</f>
        <v>0</v>
      </c>
      <c r="Q81" s="636" t="s">
        <v>420</v>
      </c>
      <c r="R81" s="637"/>
      <c r="S81" s="637"/>
      <c r="T81" s="604">
        <f>H81</f>
        <v>187328.76</v>
      </c>
      <c r="U81" s="604"/>
    </row>
    <row r="82" spans="1:21" x14ac:dyDescent="0.25">
      <c r="B82" s="69"/>
      <c r="G82" s="42" t="s">
        <v>12</v>
      </c>
      <c r="H82" s="114">
        <f>ROUND(C81/H81,6)</f>
        <v>1.9970000000000001E-3</v>
      </c>
      <c r="I82" s="115"/>
      <c r="N82" s="601"/>
      <c r="O82" s="601"/>
      <c r="P82" s="601"/>
      <c r="Q82" s="601"/>
      <c r="R82" s="601"/>
      <c r="S82" s="601"/>
      <c r="T82" s="605">
        <f>ROUND(P81/T81,6)</f>
        <v>0</v>
      </c>
      <c r="U82" s="605"/>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455</v>
      </c>
      <c r="D85" s="69"/>
      <c r="E85" s="43" t="s">
        <v>299</v>
      </c>
      <c r="F85" s="302">
        <f>'1461'!F85</f>
        <v>46163704</v>
      </c>
      <c r="G85" s="37" t="s">
        <v>6</v>
      </c>
      <c r="H85" s="422">
        <f>H79</f>
        <v>1.7819999999999999E-3</v>
      </c>
      <c r="I85" s="101">
        <f>ROUND(F85*H85,2)</f>
        <v>82263.72</v>
      </c>
      <c r="N85" s="453" t="s">
        <v>455</v>
      </c>
      <c r="O85" s="51"/>
      <c r="P85" s="51"/>
      <c r="Q85" s="44"/>
      <c r="R85" s="419">
        <f>F85</f>
        <v>46163704</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87" t="s">
        <v>71</v>
      </c>
      <c r="B87" s="578"/>
      <c r="C87" s="578"/>
      <c r="D87" s="69"/>
      <c r="E87" s="43"/>
      <c r="F87" s="117"/>
      <c r="G87" s="37"/>
      <c r="H87" s="422"/>
      <c r="I87" s="101"/>
      <c r="N87" s="600" t="s">
        <v>463</v>
      </c>
      <c r="O87" s="601"/>
      <c r="P87" s="601"/>
      <c r="Q87" s="51"/>
      <c r="R87" s="420"/>
      <c r="S87" s="51"/>
      <c r="T87" s="38"/>
      <c r="U87" s="478"/>
    </row>
    <row r="88" spans="1:21" x14ac:dyDescent="0.25">
      <c r="A88" s="587" t="s">
        <v>99</v>
      </c>
      <c r="B88" s="578"/>
      <c r="C88" s="578"/>
      <c r="D88" s="69"/>
      <c r="E88" s="43" t="s">
        <v>3</v>
      </c>
      <c r="F88" s="302">
        <f>'1461'!F88</f>
        <v>0</v>
      </c>
      <c r="G88" s="37" t="s">
        <v>6</v>
      </c>
      <c r="H88" s="422">
        <f>H70</f>
        <v>1.779E-3</v>
      </c>
      <c r="I88" s="101">
        <f>ROUND(F88*H88,2)</f>
        <v>0</v>
      </c>
      <c r="N88" s="638" t="s">
        <v>99</v>
      </c>
      <c r="O88" s="601"/>
      <c r="P88" s="601"/>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456</v>
      </c>
      <c r="D90" s="69"/>
      <c r="E90" s="43" t="s">
        <v>421</v>
      </c>
      <c r="F90" s="302">
        <f>'1461'!F90</f>
        <v>19042026</v>
      </c>
      <c r="G90" s="37" t="s">
        <v>6</v>
      </c>
      <c r="H90" s="422">
        <f>H82</f>
        <v>1.9970000000000001E-3</v>
      </c>
      <c r="I90" s="101">
        <f>ROUND(F90*H90,2)</f>
        <v>38026.93</v>
      </c>
      <c r="N90" s="453" t="s">
        <v>456</v>
      </c>
      <c r="O90" s="51"/>
      <c r="P90" s="51"/>
      <c r="Q90" s="44"/>
      <c r="R90" s="419">
        <f>F90</f>
        <v>19042026</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457</v>
      </c>
      <c r="D92" s="69"/>
      <c r="E92" s="43" t="s">
        <v>3</v>
      </c>
      <c r="F92" s="302">
        <f>'1461'!F92</f>
        <v>11441151</v>
      </c>
      <c r="G92" s="37" t="s">
        <v>6</v>
      </c>
      <c r="H92" s="422">
        <f>H76</f>
        <v>1.993E-3</v>
      </c>
      <c r="I92" s="101">
        <f t="shared" ref="I92:I96" si="14">ROUND(F92*H92,2)</f>
        <v>22802.21</v>
      </c>
      <c r="N92" s="453" t="s">
        <v>457</v>
      </c>
      <c r="O92" s="51"/>
      <c r="P92" s="51"/>
      <c r="Q92" s="44"/>
      <c r="R92" s="419">
        <f t="shared" ref="R92:R96" si="15">F92</f>
        <v>11441151</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84" t="s">
        <v>422</v>
      </c>
      <c r="B94" s="578"/>
      <c r="C94" s="578"/>
      <c r="D94" s="69"/>
      <c r="E94" s="43" t="s">
        <v>4</v>
      </c>
      <c r="F94" s="302">
        <f>'1461'!F94</f>
        <v>247265670</v>
      </c>
      <c r="G94" s="37" t="s">
        <v>6</v>
      </c>
      <c r="H94" s="422">
        <f>H73</f>
        <v>1.722E-3</v>
      </c>
      <c r="I94" s="101">
        <f t="shared" si="14"/>
        <v>425791.48</v>
      </c>
      <c r="N94" s="601" t="s">
        <v>422</v>
      </c>
      <c r="O94" s="601"/>
      <c r="P94" s="601"/>
      <c r="Q94" s="44"/>
      <c r="R94" s="419">
        <f t="shared" si="15"/>
        <v>247265670</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4" t="s">
        <v>423</v>
      </c>
      <c r="B96" s="578"/>
      <c r="C96" s="578"/>
      <c r="D96" s="69"/>
      <c r="E96" s="43" t="s">
        <v>4</v>
      </c>
      <c r="F96" s="302">
        <f>'1461'!F96</f>
        <v>0</v>
      </c>
      <c r="G96" s="37" t="s">
        <v>6</v>
      </c>
      <c r="H96" s="422">
        <f>H73</f>
        <v>1.722E-3</v>
      </c>
      <c r="I96" s="101">
        <f t="shared" si="14"/>
        <v>0</v>
      </c>
      <c r="N96" s="600" t="s">
        <v>423</v>
      </c>
      <c r="O96" s="601"/>
      <c r="P96" s="601"/>
      <c r="Q96" s="44"/>
      <c r="R96" s="419">
        <f t="shared" si="15"/>
        <v>0</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530" t="s">
        <v>497</v>
      </c>
      <c r="B98" s="529"/>
      <c r="C98" s="529"/>
      <c r="D98" s="529"/>
      <c r="E98" s="527" t="s">
        <v>3</v>
      </c>
      <c r="F98" s="290">
        <v>0</v>
      </c>
      <c r="G98" s="528" t="s">
        <v>6</v>
      </c>
      <c r="H98" s="422">
        <f>H70</f>
        <v>1.779E-3</v>
      </c>
      <c r="I98" s="101">
        <f t="shared" ref="I98" si="16">ROUND(F98*H98,2)</f>
        <v>0</v>
      </c>
      <c r="N98" s="533" t="s">
        <v>497</v>
      </c>
      <c r="O98" s="533"/>
      <c r="P98" s="533"/>
      <c r="Q98" s="44"/>
      <c r="R98" s="536">
        <f>F98</f>
        <v>0</v>
      </c>
      <c r="S98" s="534" t="s">
        <v>6</v>
      </c>
      <c r="T98" s="421">
        <f>T70</f>
        <v>0</v>
      </c>
      <c r="U98" s="473">
        <f>ROUND(R98*T98,2)</f>
        <v>0</v>
      </c>
    </row>
    <row r="99" spans="1:21" x14ac:dyDescent="0.25">
      <c r="A99" s="530"/>
      <c r="B99" s="529"/>
      <c r="C99" s="529"/>
      <c r="D99" s="529"/>
      <c r="E99" s="527"/>
      <c r="F99" s="276"/>
      <c r="G99" s="528"/>
      <c r="H99" s="422"/>
      <c r="I99" s="101"/>
      <c r="N99" s="533"/>
      <c r="O99" s="533"/>
      <c r="P99" s="533"/>
      <c r="Q99" s="44"/>
      <c r="R99" s="535"/>
      <c r="S99" s="534"/>
      <c r="T99" s="421"/>
      <c r="U99" s="477"/>
    </row>
    <row r="100" spans="1:21" x14ac:dyDescent="0.25">
      <c r="A100" s="530"/>
      <c r="B100" s="529"/>
      <c r="C100" s="529"/>
      <c r="D100" s="529"/>
      <c r="E100" s="527"/>
      <c r="F100" s="276"/>
      <c r="G100" s="528"/>
      <c r="H100" s="422"/>
      <c r="I100" s="101"/>
      <c r="N100" s="533"/>
      <c r="O100" s="533"/>
      <c r="P100" s="533"/>
      <c r="Q100" s="44"/>
      <c r="R100" s="420"/>
      <c r="S100" s="534"/>
      <c r="T100" s="421"/>
      <c r="U100" s="103"/>
    </row>
    <row r="101" spans="1:21" x14ac:dyDescent="0.25">
      <c r="A101" s="399" t="s">
        <v>498</v>
      </c>
      <c r="N101" s="407" t="s">
        <v>498</v>
      </c>
      <c r="O101" s="51"/>
      <c r="P101" s="51"/>
      <c r="Q101" s="51"/>
      <c r="R101" s="51"/>
      <c r="S101" s="51"/>
      <c r="T101" s="51"/>
      <c r="U101" s="51"/>
    </row>
    <row r="102" spans="1:21" x14ac:dyDescent="0.25">
      <c r="B102" s="69"/>
      <c r="C102" s="563" t="s">
        <v>60</v>
      </c>
      <c r="D102" s="563"/>
      <c r="E102" s="69"/>
      <c r="F102" s="39" t="s">
        <v>28</v>
      </c>
      <c r="G102" s="69"/>
      <c r="H102" s="69"/>
      <c r="I102" s="69"/>
      <c r="N102" s="45"/>
      <c r="O102" s="45"/>
      <c r="P102" s="45"/>
      <c r="Q102" s="45"/>
      <c r="R102" s="45"/>
      <c r="S102" s="45"/>
      <c r="T102" s="45"/>
      <c r="U102" s="45"/>
    </row>
    <row r="103" spans="1:21" x14ac:dyDescent="0.25">
      <c r="A103" s="3"/>
      <c r="B103" s="118"/>
      <c r="C103" s="564" t="s">
        <v>101</v>
      </c>
      <c r="D103" s="564"/>
      <c r="E103" s="423" t="s">
        <v>426</v>
      </c>
      <c r="F103" s="120" t="s">
        <v>106</v>
      </c>
      <c r="G103" s="121"/>
      <c r="H103" s="121"/>
      <c r="I103" s="121"/>
      <c r="N103" s="631" t="s">
        <v>35</v>
      </c>
      <c r="O103" s="631"/>
      <c r="P103" s="672" t="s">
        <v>428</v>
      </c>
      <c r="Q103" s="633"/>
      <c r="R103" s="604" t="s">
        <v>31</v>
      </c>
      <c r="S103" s="604"/>
      <c r="T103" s="604"/>
      <c r="U103" s="604"/>
    </row>
    <row r="104" spans="1:21" x14ac:dyDescent="0.25">
      <c r="A104" s="26"/>
      <c r="B104" s="52" t="s">
        <v>105</v>
      </c>
      <c r="C104" s="596">
        <f>H14+H15+H20+H23+H26</f>
        <v>278.09210000000002</v>
      </c>
      <c r="D104" s="596"/>
      <c r="E104" s="46">
        <f>H8</f>
        <v>1.0407999999999999</v>
      </c>
      <c r="F104" s="303">
        <f>'1461'!F104</f>
        <v>950.92</v>
      </c>
      <c r="G104" s="39" t="s">
        <v>12</v>
      </c>
      <c r="H104" s="101">
        <f>ROUND(C104*E104*F104,2)</f>
        <v>275232.63</v>
      </c>
      <c r="I104" s="104"/>
      <c r="N104" s="28" t="s">
        <v>17</v>
      </c>
      <c r="O104" s="47">
        <f>T14+T15+T20+T23+T26</f>
        <v>0</v>
      </c>
      <c r="P104" s="611">
        <f>T8</f>
        <v>1.0407999999999999</v>
      </c>
      <c r="Q104" s="611"/>
      <c r="R104" s="48">
        <f>F104</f>
        <v>950.92</v>
      </c>
      <c r="S104" s="40" t="s">
        <v>12</v>
      </c>
      <c r="T104" s="479">
        <f>ROUND(O104*P104*R104,2)</f>
        <v>0</v>
      </c>
      <c r="U104" s="102"/>
    </row>
    <row r="105" spans="1:21" x14ac:dyDescent="0.25">
      <c r="A105" s="49"/>
      <c r="B105" s="49" t="s">
        <v>104</v>
      </c>
      <c r="C105" s="596">
        <f>H16+H17+H21+H24+H27</f>
        <v>126.3172</v>
      </c>
      <c r="D105" s="596"/>
      <c r="E105" s="46">
        <f>H8</f>
        <v>1.0407999999999999</v>
      </c>
      <c r="F105" s="303">
        <f>'1461'!F105</f>
        <v>907.92</v>
      </c>
      <c r="G105" s="39" t="s">
        <v>12</v>
      </c>
      <c r="H105" s="101">
        <f>ROUND(C105*E105*F105,2)</f>
        <v>119365.1</v>
      </c>
      <c r="N105" s="50" t="s">
        <v>13</v>
      </c>
      <c r="O105" s="47">
        <f>T16+T17+T21+T24+T27</f>
        <v>0</v>
      </c>
      <c r="P105" s="611">
        <f>T8</f>
        <v>1.0407999999999999</v>
      </c>
      <c r="Q105" s="611"/>
      <c r="R105" s="48">
        <f>F105</f>
        <v>907.92</v>
      </c>
      <c r="S105" s="40" t="s">
        <v>12</v>
      </c>
      <c r="T105" s="479">
        <f>ROUND(O105*P105*R105,2)</f>
        <v>0</v>
      </c>
      <c r="U105" s="51"/>
    </row>
    <row r="106" spans="1:21" ht="16.5" thickBot="1" x14ac:dyDescent="0.3">
      <c r="A106" s="52"/>
      <c r="B106" s="52" t="s">
        <v>103</v>
      </c>
      <c r="C106" s="596">
        <f>H18+H19+H22+H25+H28+H29</f>
        <v>0</v>
      </c>
      <c r="D106" s="596"/>
      <c r="E106" s="46">
        <f>H8</f>
        <v>1.0407999999999999</v>
      </c>
      <c r="F106" s="303">
        <f>'1461'!F106</f>
        <v>910.12</v>
      </c>
      <c r="G106" s="39" t="s">
        <v>12</v>
      </c>
      <c r="H106" s="94">
        <f>ROUND(C106*E106*F106,2)</f>
        <v>0</v>
      </c>
      <c r="N106" s="53" t="s">
        <v>14</v>
      </c>
      <c r="O106" s="54">
        <f>T18+T19+T22+T25+T28+T29</f>
        <v>0</v>
      </c>
      <c r="P106" s="611">
        <f>T8</f>
        <v>1.0407999999999999</v>
      </c>
      <c r="Q106" s="611"/>
      <c r="R106" s="48">
        <f>F106</f>
        <v>910.12</v>
      </c>
      <c r="S106" s="40" t="s">
        <v>12</v>
      </c>
      <c r="T106" s="479">
        <f>ROUND(O106*P106*R106,2)</f>
        <v>0</v>
      </c>
      <c r="U106" s="51"/>
    </row>
    <row r="107" spans="1:21" ht="16.5" thickBot="1" x14ac:dyDescent="0.3">
      <c r="A107" s="55"/>
      <c r="B107" s="122" t="s">
        <v>102</v>
      </c>
      <c r="C107" s="586">
        <f>SUM(C104:C106)</f>
        <v>404.40930000000003</v>
      </c>
      <c r="D107" s="586"/>
      <c r="E107" s="123"/>
      <c r="F107" s="123"/>
      <c r="G107" s="123"/>
      <c r="H107" s="124" t="s">
        <v>100</v>
      </c>
      <c r="I107" s="101">
        <f>IF(A1=75,0,H106+H105+H104)</f>
        <v>394597.73</v>
      </c>
      <c r="N107" s="56" t="s">
        <v>89</v>
      </c>
      <c r="O107" s="57">
        <f>SUM(O104:O106)</f>
        <v>0</v>
      </c>
      <c r="P107" s="612" t="s">
        <v>16</v>
      </c>
      <c r="Q107" s="613"/>
      <c r="R107" s="613"/>
      <c r="S107" s="613"/>
      <c r="T107" s="613"/>
      <c r="U107" s="473">
        <f>IF(N1=75,0,T106+T105+T104)</f>
        <v>0</v>
      </c>
    </row>
    <row r="108" spans="1:21" ht="16.5" thickTop="1" x14ac:dyDescent="0.25">
      <c r="A108" s="555" t="s">
        <v>65</v>
      </c>
      <c r="B108" s="555"/>
      <c r="C108" s="555"/>
      <c r="D108" s="555"/>
      <c r="E108" s="555"/>
      <c r="F108" s="555"/>
      <c r="G108" s="555"/>
      <c r="H108" s="555"/>
      <c r="I108" s="555"/>
      <c r="N108" s="614" t="s">
        <v>65</v>
      </c>
      <c r="O108" s="614"/>
      <c r="P108" s="614"/>
      <c r="Q108" s="614"/>
      <c r="R108" s="614"/>
      <c r="S108" s="614"/>
      <c r="T108" s="614"/>
      <c r="U108" s="614"/>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0" t="s">
        <v>499</v>
      </c>
      <c r="C110" s="43"/>
      <c r="D110" s="69"/>
      <c r="E110" s="43" t="s">
        <v>32</v>
      </c>
      <c r="F110" s="556"/>
      <c r="G110" s="556"/>
      <c r="H110" s="556"/>
      <c r="I110" s="556"/>
      <c r="N110" s="600" t="s">
        <v>499</v>
      </c>
      <c r="O110" s="601"/>
      <c r="P110" s="601"/>
      <c r="Q110" s="615"/>
      <c r="R110" s="615"/>
      <c r="S110" s="615"/>
      <c r="T110" s="615"/>
      <c r="U110" s="103"/>
    </row>
    <row r="111" spans="1:21" x14ac:dyDescent="0.25">
      <c r="B111" s="69"/>
      <c r="C111" s="88" t="s">
        <v>494</v>
      </c>
      <c r="D111" s="333" t="s">
        <v>495</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57" t="s">
        <v>381</v>
      </c>
      <c r="B113" s="558"/>
      <c r="C113" s="143">
        <v>0</v>
      </c>
      <c r="D113" s="143">
        <v>0</v>
      </c>
      <c r="E113" s="116">
        <f>(C113+D113)/2</f>
        <v>0</v>
      </c>
      <c r="F113" s="126" t="s">
        <v>30</v>
      </c>
      <c r="G113" s="304">
        <f>'1461'!G113</f>
        <v>576</v>
      </c>
      <c r="I113" s="101">
        <f>ROUND(G113*E113,2)</f>
        <v>0</v>
      </c>
      <c r="N113" s="630" t="s">
        <v>52</v>
      </c>
      <c r="O113" s="630"/>
      <c r="P113" s="610">
        <f>IF(H133=1,E113,0)</f>
        <v>0</v>
      </c>
      <c r="Q113" s="610"/>
      <c r="R113" s="610"/>
      <c r="S113" s="83" t="s">
        <v>30</v>
      </c>
      <c r="T113" s="58">
        <f>G113</f>
        <v>576</v>
      </c>
      <c r="U113" s="473">
        <f>ROUND(T113*P113,2)</f>
        <v>0</v>
      </c>
    </row>
    <row r="114" spans="1:21" x14ac:dyDescent="0.25">
      <c r="A114" s="557" t="s">
        <v>382</v>
      </c>
      <c r="B114" s="558"/>
      <c r="C114" s="143">
        <v>0</v>
      </c>
      <c r="D114" s="143">
        <v>0</v>
      </c>
      <c r="E114" s="116">
        <f>(C114+D114)/2</f>
        <v>0</v>
      </c>
      <c r="F114" s="126" t="s">
        <v>30</v>
      </c>
      <c r="G114" s="304">
        <f>'1461'!G114</f>
        <v>1823</v>
      </c>
      <c r="I114" s="101">
        <f>ROUND(G114*E114,2)</f>
        <v>0</v>
      </c>
      <c r="N114" s="630" t="s">
        <v>64</v>
      </c>
      <c r="O114" s="630"/>
      <c r="P114" s="608"/>
      <c r="Q114" s="608"/>
      <c r="R114" s="608"/>
      <c r="S114" s="83" t="s">
        <v>30</v>
      </c>
      <c r="T114" s="58">
        <f>G114</f>
        <v>1823</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4" t="s">
        <v>430</v>
      </c>
      <c r="B117" s="578"/>
      <c r="C117" s="578"/>
      <c r="D117" s="69"/>
      <c r="E117" s="39" t="s">
        <v>300</v>
      </c>
      <c r="F117" s="563"/>
      <c r="G117" s="563"/>
      <c r="H117" s="563"/>
      <c r="I117" s="563"/>
      <c r="N117" s="600" t="s">
        <v>431</v>
      </c>
      <c r="O117" s="601"/>
      <c r="P117" s="601"/>
      <c r="Q117" s="601"/>
      <c r="R117" s="601"/>
      <c r="S117" s="601"/>
      <c r="T117" s="601"/>
      <c r="U117" s="601"/>
    </row>
    <row r="118" spans="1:21" hidden="1" x14ac:dyDescent="0.25">
      <c r="B118" s="69"/>
      <c r="C118" s="564" t="s">
        <v>66</v>
      </c>
      <c r="D118" s="564"/>
      <c r="E118" s="564"/>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5" t="s">
        <v>109</v>
      </c>
      <c r="G119" s="563"/>
      <c r="H119" s="37" t="s">
        <v>29</v>
      </c>
      <c r="I119" s="37"/>
      <c r="N119" s="45"/>
      <c r="O119" s="45"/>
      <c r="P119" s="45"/>
      <c r="Q119" s="45"/>
      <c r="R119" s="45"/>
      <c r="S119" s="45"/>
      <c r="T119" s="45"/>
      <c r="U119" s="45"/>
    </row>
    <row r="120" spans="1:21" hidden="1" x14ac:dyDescent="0.25">
      <c r="A120" s="564" t="s">
        <v>69</v>
      </c>
      <c r="B120" s="564"/>
      <c r="C120" s="90" t="s">
        <v>2</v>
      </c>
      <c r="D120" s="90" t="s">
        <v>2</v>
      </c>
      <c r="E120" s="59" t="s">
        <v>2</v>
      </c>
      <c r="F120" s="564" t="s">
        <v>28</v>
      </c>
      <c r="G120" s="564"/>
      <c r="H120" s="59" t="s">
        <v>28</v>
      </c>
      <c r="I120" s="59" t="s">
        <v>8</v>
      </c>
      <c r="N120" s="609" t="s">
        <v>53</v>
      </c>
      <c r="O120" s="609"/>
      <c r="P120" s="610" t="s">
        <v>66</v>
      </c>
      <c r="Q120" s="610"/>
      <c r="R120" s="609" t="s">
        <v>54</v>
      </c>
      <c r="S120" s="609"/>
      <c r="T120" s="60" t="s">
        <v>55</v>
      </c>
      <c r="U120" s="60" t="s">
        <v>8</v>
      </c>
    </row>
    <row r="121" spans="1:21" hidden="1" x14ac:dyDescent="0.25">
      <c r="A121" s="561" t="s">
        <v>56</v>
      </c>
      <c r="B121" s="561"/>
      <c r="C121" s="141">
        <v>0</v>
      </c>
      <c r="D121" s="141">
        <v>0</v>
      </c>
      <c r="E121" s="187">
        <f>IF(D30=0,C121*2,C121+D121)</f>
        <v>0</v>
      </c>
      <c r="F121" s="562">
        <v>0</v>
      </c>
      <c r="G121" s="562"/>
      <c r="H121" s="224">
        <f>IF(C121=0,0,125)</f>
        <v>0</v>
      </c>
      <c r="I121" s="101">
        <f>ROUND((H121+F121)*E121,2)</f>
        <v>0</v>
      </c>
      <c r="N121" s="601" t="s">
        <v>56</v>
      </c>
      <c r="O121" s="601"/>
      <c r="P121" s="608">
        <f>IF(H$133=1,C121,0)</f>
        <v>0</v>
      </c>
      <c r="Q121" s="608"/>
      <c r="R121" s="628">
        <f>F121</f>
        <v>0</v>
      </c>
      <c r="S121" s="628"/>
      <c r="T121" s="62">
        <f>H121</f>
        <v>0</v>
      </c>
      <c r="U121" s="96">
        <f>ROUND((T121+R121)*P121,0)</f>
        <v>0</v>
      </c>
    </row>
    <row r="122" spans="1:21" hidden="1" x14ac:dyDescent="0.25">
      <c r="A122" s="581" t="s">
        <v>57</v>
      </c>
      <c r="B122" s="581"/>
      <c r="C122" s="143">
        <v>0</v>
      </c>
      <c r="D122" s="143">
        <v>0</v>
      </c>
      <c r="E122" s="116">
        <f>IF(D31=0,C122*2,C122+D122)</f>
        <v>0</v>
      </c>
      <c r="F122" s="598">
        <f>ROUND(F121/2,2)</f>
        <v>0</v>
      </c>
      <c r="G122" s="598"/>
      <c r="H122" s="224">
        <f>IF(C122=0,0,62.5)</f>
        <v>0</v>
      </c>
      <c r="I122" s="101">
        <f>ROUND((H122+F122)*E122,2)</f>
        <v>0</v>
      </c>
      <c r="N122" s="601" t="s">
        <v>57</v>
      </c>
      <c r="O122" s="601"/>
      <c r="P122" s="608">
        <f>IF(H$133=1,C122,0)</f>
        <v>0</v>
      </c>
      <c r="Q122" s="608"/>
      <c r="R122" s="629">
        <f>ROUND(R121/2,2)</f>
        <v>0</v>
      </c>
      <c r="S122" s="629"/>
      <c r="T122" s="62">
        <f>H122</f>
        <v>0</v>
      </c>
      <c r="U122" s="96">
        <f>ROUND((T122+R122)*P122,0)</f>
        <v>0</v>
      </c>
    </row>
    <row r="123" spans="1:21" ht="16.5" hidden="1" thickBot="1" x14ac:dyDescent="0.3">
      <c r="A123" s="581" t="s">
        <v>58</v>
      </c>
      <c r="B123" s="581"/>
      <c r="C123" s="143">
        <v>0</v>
      </c>
      <c r="D123" s="143">
        <v>0</v>
      </c>
      <c r="E123" s="116">
        <f>IF(D32=0,C123*2,C123+D123)</f>
        <v>0</v>
      </c>
      <c r="F123" s="599"/>
      <c r="G123" s="599"/>
      <c r="H123" s="225">
        <f>IF(H121&gt;0,436,0)</f>
        <v>0</v>
      </c>
      <c r="I123" s="101">
        <f>ROUND(H123*E123,2)</f>
        <v>0</v>
      </c>
      <c r="N123" s="616" t="s">
        <v>58</v>
      </c>
      <c r="O123" s="616"/>
      <c r="P123" s="608">
        <f>IF(H$133=1,C123,0)</f>
        <v>0</v>
      </c>
      <c r="Q123" s="608"/>
      <c r="R123" s="609"/>
      <c r="S123" s="609"/>
      <c r="T123" s="64">
        <f>H123</f>
        <v>0</v>
      </c>
      <c r="U123" s="103">
        <f>ROUND(T123*P123,0)</f>
        <v>0</v>
      </c>
    </row>
    <row r="124" spans="1:21" ht="16.5" hidden="1" thickBot="1" x14ac:dyDescent="0.3">
      <c r="A124" s="563" t="s">
        <v>8</v>
      </c>
      <c r="B124" s="563"/>
      <c r="C124" s="65"/>
      <c r="D124" s="65"/>
      <c r="E124" s="65"/>
      <c r="F124" s="65"/>
      <c r="G124" s="65"/>
      <c r="H124" s="65"/>
      <c r="I124" s="97">
        <f>SUM(I121:I123)</f>
        <v>0</v>
      </c>
      <c r="N124" s="627" t="s">
        <v>8</v>
      </c>
      <c r="O124" s="627"/>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4" t="s">
        <v>432</v>
      </c>
      <c r="B126" s="578"/>
      <c r="C126" s="578"/>
      <c r="D126" s="69"/>
      <c r="E126" s="68" t="s">
        <v>34</v>
      </c>
      <c r="F126" s="597"/>
      <c r="G126" s="597"/>
      <c r="H126" s="597"/>
      <c r="I126" s="154">
        <v>0</v>
      </c>
      <c r="N126" s="600" t="s">
        <v>432</v>
      </c>
      <c r="O126" s="601"/>
      <c r="P126" s="601"/>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90" t="s">
        <v>8</v>
      </c>
      <c r="B128" s="590"/>
      <c r="C128" s="590"/>
      <c r="D128" s="590"/>
      <c r="E128" s="590"/>
      <c r="F128" s="590"/>
      <c r="G128" s="590"/>
      <c r="H128" s="590"/>
      <c r="I128" s="94">
        <f>SUM(I46,I66,I85,I88,I90,I92,I94,I96,I107,I113,I114,I124,I126)</f>
        <v>3298262.41</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434</v>
      </c>
      <c r="B130" s="26"/>
      <c r="C130" s="26"/>
      <c r="D130" s="26"/>
      <c r="E130" s="26"/>
      <c r="F130" s="26"/>
      <c r="G130" s="26"/>
      <c r="H130" s="26"/>
      <c r="I130" s="101">
        <f>I128-I53</f>
        <v>3165201.6100000003</v>
      </c>
      <c r="N130" s="601" t="s">
        <v>434</v>
      </c>
      <c r="O130" s="601"/>
      <c r="P130" s="601"/>
      <c r="Q130" s="601"/>
      <c r="R130" s="601"/>
      <c r="S130" s="601"/>
      <c r="T130" s="601"/>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4" t="s">
        <v>502</v>
      </c>
      <c r="B132" s="578"/>
      <c r="C132" s="578"/>
      <c r="D132" s="578"/>
      <c r="E132" s="578"/>
      <c r="F132" s="578"/>
      <c r="G132" s="578"/>
      <c r="H132" s="81" t="s">
        <v>333</v>
      </c>
      <c r="I132" s="134"/>
      <c r="N132" s="600" t="s">
        <v>502</v>
      </c>
      <c r="O132" s="601"/>
      <c r="P132" s="601"/>
      <c r="Q132" s="601"/>
      <c r="R132" s="601"/>
      <c r="S132" s="601"/>
      <c r="T132" s="601"/>
      <c r="U132" s="138"/>
    </row>
    <row r="133" spans="1:21" x14ac:dyDescent="0.25">
      <c r="A133" s="578" t="s">
        <v>70</v>
      </c>
      <c r="B133" s="578"/>
      <c r="C133" s="578"/>
      <c r="D133" s="578"/>
      <c r="E133" s="578"/>
      <c r="F133" s="578"/>
      <c r="G133" s="578"/>
      <c r="H133" s="70" t="str">
        <f>IF(E30=0,"",IF((E15+E17+SUM(E19:E25))/E30&gt;0.75,1,""))</f>
        <v/>
      </c>
      <c r="I133" s="116">
        <f>U130</f>
        <v>0</v>
      </c>
      <c r="N133" s="601" t="s">
        <v>70</v>
      </c>
      <c r="O133" s="601"/>
      <c r="P133" s="601"/>
      <c r="Q133" s="601"/>
      <c r="R133" s="601"/>
      <c r="S133" s="601"/>
      <c r="T133" s="601"/>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8" t="s">
        <v>240</v>
      </c>
      <c r="H135" s="139">
        <f>IF(H133=1,I133,I130)</f>
        <v>3165201.6100000003</v>
      </c>
      <c r="I135" s="94">
        <f>ROUND(IF(E30=0,0,IF(E30&gt;250,-(((250/E30)*H135)*IF(G135="H",0.02,0.05)),IF(G135="H",-0.02*H135,-0.05*H135))),2)</f>
        <v>-42314.400000000001</v>
      </c>
      <c r="N135" s="626"/>
      <c r="O135" s="626"/>
      <c r="P135" s="626"/>
      <c r="Q135" s="626"/>
      <c r="R135" s="626"/>
      <c r="S135" s="626"/>
      <c r="T135" s="626"/>
      <c r="U135" s="626"/>
    </row>
    <row r="136" spans="1:21" x14ac:dyDescent="0.25">
      <c r="B136" s="69"/>
      <c r="C136" s="69"/>
      <c r="D136" s="69"/>
      <c r="E136" s="69"/>
      <c r="F136" s="69"/>
      <c r="G136" s="69"/>
      <c r="H136" s="65"/>
      <c r="I136" s="101"/>
      <c r="N136" s="624" t="s">
        <v>7</v>
      </c>
      <c r="O136" s="624"/>
      <c r="P136" s="624"/>
      <c r="Q136" s="624"/>
      <c r="R136" s="624"/>
      <c r="S136" s="624"/>
      <c r="T136" s="624"/>
      <c r="U136" s="624"/>
    </row>
    <row r="137" spans="1:21" x14ac:dyDescent="0.25">
      <c r="A137" s="309" t="s">
        <v>74</v>
      </c>
      <c r="B137" s="310"/>
      <c r="C137" s="310"/>
      <c r="D137" s="310"/>
      <c r="E137" s="310"/>
      <c r="F137" s="310"/>
      <c r="G137" s="310"/>
      <c r="H137" s="311"/>
      <c r="I137" s="312">
        <f>I128+I135</f>
        <v>3255948.0100000002</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Payments'!Q87</f>
        <v>0</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3255948.0100000002</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271329</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20989.63</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372</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373</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374</v>
      </c>
      <c r="B155" s="252"/>
      <c r="C155" s="252"/>
      <c r="D155" s="252"/>
      <c r="E155" s="252"/>
      <c r="F155" s="252"/>
      <c r="G155" s="252"/>
      <c r="H155" s="252"/>
      <c r="I155" s="252"/>
      <c r="N155" s="625"/>
      <c r="O155" s="625"/>
      <c r="P155" s="625"/>
      <c r="Q155" s="625"/>
      <c r="R155" s="625"/>
      <c r="S155" s="625"/>
      <c r="T155" s="625"/>
      <c r="U155" s="625"/>
    </row>
    <row r="156" spans="1:21" s="76" customFormat="1" x14ac:dyDescent="0.2">
      <c r="A156" s="320" t="s">
        <v>375</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376</v>
      </c>
      <c r="B157" s="252"/>
      <c r="C157" s="252"/>
      <c r="D157" s="252"/>
      <c r="E157" s="252"/>
      <c r="F157" s="252"/>
      <c r="G157" s="252"/>
      <c r="H157" s="252"/>
      <c r="I157" s="252"/>
      <c r="N157" s="78"/>
      <c r="O157" s="79"/>
      <c r="P157" s="79"/>
      <c r="Q157" s="79"/>
      <c r="R157" s="79"/>
      <c r="S157" s="79"/>
      <c r="T157" s="79"/>
      <c r="U157" s="79"/>
    </row>
    <row r="158" spans="1:21" s="76" customFormat="1" x14ac:dyDescent="0.2">
      <c r="A158" s="320" t="s">
        <v>377</v>
      </c>
      <c r="B158" s="252"/>
      <c r="C158" s="252"/>
      <c r="D158" s="252"/>
      <c r="E158" s="252"/>
      <c r="F158" s="252"/>
      <c r="G158" s="252"/>
      <c r="H158" s="252"/>
      <c r="I158" s="252"/>
      <c r="N158" s="78"/>
    </row>
    <row r="159" spans="1:21" s="76" customFormat="1" x14ac:dyDescent="0.2">
      <c r="A159" s="320" t="s">
        <v>379</v>
      </c>
      <c r="B159" s="252"/>
      <c r="C159" s="252"/>
      <c r="D159" s="252"/>
      <c r="E159" s="252"/>
      <c r="F159" s="252"/>
      <c r="G159" s="252"/>
      <c r="H159" s="252"/>
      <c r="I159" s="252"/>
      <c r="N159" s="78"/>
    </row>
    <row r="160" spans="1:21" s="76" customFormat="1" x14ac:dyDescent="0.2">
      <c r="A160" s="385" t="s">
        <v>378</v>
      </c>
      <c r="B160" s="252"/>
      <c r="C160" s="252"/>
      <c r="D160" s="252"/>
      <c r="E160" s="252"/>
      <c r="F160" s="252"/>
      <c r="G160" s="252"/>
      <c r="H160" s="252"/>
      <c r="I160" s="252"/>
      <c r="N160" s="78"/>
    </row>
    <row r="161" spans="1:14" s="76" customFormat="1" x14ac:dyDescent="0.2">
      <c r="A161" s="320" t="s">
        <v>380</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383</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385</v>
      </c>
      <c r="B165" s="293"/>
      <c r="C165" s="293"/>
      <c r="D165" s="293"/>
      <c r="E165" s="293"/>
      <c r="F165" s="293"/>
      <c r="G165" s="293"/>
      <c r="H165" s="293"/>
      <c r="I165" s="293"/>
      <c r="N165" s="78"/>
    </row>
    <row r="166" spans="1:14" s="76" customFormat="1" ht="15.75" customHeight="1" x14ac:dyDescent="0.2">
      <c r="A166" s="351" t="s">
        <v>384</v>
      </c>
      <c r="B166" s="293"/>
      <c r="C166" s="293"/>
      <c r="D166" s="293"/>
      <c r="E166" s="293"/>
      <c r="F166" s="293"/>
      <c r="G166" s="293"/>
      <c r="H166" s="293"/>
      <c r="I166" s="293"/>
      <c r="N166" s="78"/>
    </row>
    <row r="167" spans="1:14" s="76" customFormat="1" ht="15.75" customHeight="1" x14ac:dyDescent="0.2">
      <c r="A167" s="320" t="s">
        <v>386</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388</v>
      </c>
      <c r="B169" s="343"/>
      <c r="C169" s="343"/>
      <c r="D169" s="343"/>
      <c r="E169" s="343"/>
      <c r="F169" s="343"/>
      <c r="G169" s="343"/>
      <c r="H169" s="343"/>
      <c r="I169" s="343"/>
      <c r="N169" s="78"/>
    </row>
    <row r="170" spans="1:14" s="76" customFormat="1" ht="15.75" customHeight="1" x14ac:dyDescent="0.2">
      <c r="A170" s="351" t="s">
        <v>387</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389</v>
      </c>
      <c r="B175" s="293"/>
      <c r="C175" s="293"/>
      <c r="D175" s="293"/>
      <c r="E175" s="293"/>
      <c r="F175" s="293"/>
      <c r="G175" s="293"/>
      <c r="H175" s="293"/>
      <c r="I175" s="293"/>
      <c r="J175" s="3"/>
      <c r="K175" s="3"/>
      <c r="L175" s="3"/>
      <c r="M175" s="3"/>
      <c r="N175" s="78"/>
    </row>
    <row r="176" spans="1:14" s="76" customFormat="1" ht="15.75" customHeight="1" x14ac:dyDescent="0.2">
      <c r="A176" s="361" t="s">
        <v>390</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0">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6" t="s">
        <v>15</v>
      </c>
      <c r="C1" s="567"/>
      <c r="D1" s="567"/>
      <c r="E1" s="567"/>
      <c r="F1" s="567"/>
      <c r="G1" s="567"/>
      <c r="H1" s="567"/>
      <c r="I1" s="567"/>
      <c r="J1" s="135"/>
      <c r="K1" s="135"/>
      <c r="L1" s="135"/>
      <c r="N1" s="82">
        <f>A1</f>
        <v>0</v>
      </c>
      <c r="O1" s="658" t="s">
        <v>15</v>
      </c>
      <c r="P1" s="659"/>
      <c r="Q1" s="659"/>
      <c r="R1" s="659"/>
      <c r="S1" s="659"/>
      <c r="T1" s="659"/>
      <c r="U1" s="659"/>
    </row>
    <row r="2" spans="1:21" ht="21" x14ac:dyDescent="0.35">
      <c r="A2" s="1" t="s">
        <v>124</v>
      </c>
      <c r="B2" s="2"/>
      <c r="C2" s="2"/>
      <c r="D2" s="2"/>
      <c r="E2" s="2"/>
      <c r="F2" s="2"/>
      <c r="G2" s="2"/>
      <c r="H2" s="2"/>
      <c r="I2" s="2"/>
      <c r="N2" s="660" t="s">
        <v>18</v>
      </c>
      <c r="O2" s="660"/>
      <c r="P2" s="660"/>
      <c r="Q2" s="660"/>
      <c r="R2" s="660"/>
      <c r="S2" s="660"/>
      <c r="T2" s="660"/>
      <c r="U2" s="660"/>
    </row>
    <row r="3" spans="1:21" x14ac:dyDescent="0.25">
      <c r="A3" s="81" t="str">
        <f>'1461'!A3</f>
        <v>Based on the FLDOE 2024-25 Conference Calculation</v>
      </c>
      <c r="N3" s="627" t="str">
        <f>A3</f>
        <v>Based on the FLDOE 2024-25 Conference Calculation</v>
      </c>
      <c r="O3" s="627"/>
      <c r="P3" s="627"/>
      <c r="Q3" s="627"/>
      <c r="R3" s="627"/>
      <c r="S3" s="627"/>
      <c r="T3" s="627"/>
      <c r="U3" s="627"/>
    </row>
    <row r="4" spans="1:21" x14ac:dyDescent="0.25">
      <c r="A4" s="568" t="s">
        <v>0</v>
      </c>
      <c r="B4" s="568"/>
      <c r="C4" s="569" t="s">
        <v>9</v>
      </c>
      <c r="D4" s="569"/>
      <c r="E4" s="569"/>
      <c r="F4" s="4" t="str">
        <f>'1461'!F4</f>
        <v>July 2024</v>
      </c>
      <c r="G4" s="4"/>
      <c r="H4" s="4"/>
      <c r="I4" s="4"/>
      <c r="N4" s="661" t="s">
        <v>0</v>
      </c>
      <c r="O4" s="661"/>
      <c r="P4" s="662" t="str">
        <f>C4</f>
        <v>Palm Beach</v>
      </c>
      <c r="Q4" s="662"/>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70" t="s">
        <v>433</v>
      </c>
      <c r="B7" s="664"/>
      <c r="C7" s="664"/>
      <c r="D7" s="664"/>
      <c r="E7" s="664"/>
      <c r="F7" s="664"/>
      <c r="G7" s="664"/>
      <c r="H7" s="664"/>
      <c r="I7" s="664"/>
      <c r="N7" s="661" t="str">
        <f>A7</f>
        <v>1A.   2023-24 FEFP State and Local Funding</v>
      </c>
      <c r="O7" s="661"/>
      <c r="P7" s="661"/>
      <c r="Q7" s="661"/>
      <c r="R7" s="661"/>
      <c r="S7" s="661"/>
      <c r="T7" s="661"/>
      <c r="U7" s="661"/>
    </row>
    <row r="8" spans="1:21" x14ac:dyDescent="0.25">
      <c r="A8" s="84"/>
      <c r="B8" s="85" t="s">
        <v>92</v>
      </c>
      <c r="C8" s="299">
        <f>'1461'!C8</f>
        <v>5330.98</v>
      </c>
      <c r="D8" s="86"/>
      <c r="E8" s="87"/>
      <c r="F8" s="84"/>
      <c r="G8" s="85" t="s">
        <v>393</v>
      </c>
      <c r="H8" s="287">
        <f>'1461'!H8</f>
        <v>1.0407999999999999</v>
      </c>
      <c r="I8" s="75"/>
      <c r="N8" s="665" t="s">
        <v>10</v>
      </c>
      <c r="O8" s="665"/>
      <c r="P8" s="666">
        <f>C8</f>
        <v>5330.98</v>
      </c>
      <c r="Q8" s="666"/>
      <c r="R8" s="648" t="s">
        <v>394</v>
      </c>
      <c r="S8" s="649"/>
      <c r="T8" s="650">
        <f>H8</f>
        <v>1.0407999999999999</v>
      </c>
      <c r="U8" s="650"/>
    </row>
    <row r="9" spans="1:21" x14ac:dyDescent="0.25">
      <c r="A9" s="84"/>
      <c r="B9" s="85"/>
      <c r="C9" s="222"/>
      <c r="D9" s="86"/>
      <c r="E9" s="87"/>
      <c r="F9" s="84"/>
      <c r="G9" s="85" t="s">
        <v>391</v>
      </c>
      <c r="H9" s="287">
        <f>'1461'!H9</f>
        <v>1</v>
      </c>
      <c r="I9" s="75"/>
      <c r="N9" s="12"/>
      <c r="O9" s="12"/>
      <c r="P9" s="13"/>
      <c r="Q9" s="13"/>
      <c r="R9" s="387" t="s">
        <v>392</v>
      </c>
      <c r="S9" s="384"/>
      <c r="T9" s="650">
        <f>H9</f>
        <v>1</v>
      </c>
      <c r="U9" s="650"/>
    </row>
    <row r="10" spans="1:21" x14ac:dyDescent="0.25">
      <c r="A10" s="7"/>
      <c r="B10" s="42" t="s">
        <v>310</v>
      </c>
      <c r="C10" s="334" t="str">
        <f>'1461'!C10</f>
        <v xml:space="preserve"> </v>
      </c>
      <c r="D10" s="334" t="str">
        <f>'1461'!D10</f>
        <v xml:space="preserve"> </v>
      </c>
      <c r="E10" s="8"/>
      <c r="F10" s="9"/>
      <c r="G10" s="9"/>
      <c r="H10" s="10"/>
      <c r="I10" s="305" t="str">
        <f>'1461'!I10</f>
        <v>2024-25</v>
      </c>
      <c r="N10" s="12"/>
      <c r="O10" s="12"/>
      <c r="P10" s="13"/>
      <c r="Q10" s="13"/>
      <c r="R10" s="14"/>
      <c r="S10" s="14"/>
      <c r="T10" s="15"/>
      <c r="U10" s="366" t="str">
        <f>I10</f>
        <v>2024-25</v>
      </c>
    </row>
    <row r="11" spans="1:21" x14ac:dyDescent="0.25">
      <c r="A11" s="7"/>
      <c r="B11" s="7"/>
      <c r="C11" s="88" t="str">
        <f>'1461'!C11</f>
        <v>Oct 2023</v>
      </c>
      <c r="D11" s="333" t="str">
        <f>'1461'!D11</f>
        <v>Feb 2024</v>
      </c>
      <c r="E11" s="89" t="s">
        <v>8</v>
      </c>
      <c r="F11" s="571" t="s">
        <v>1</v>
      </c>
      <c r="G11" s="571"/>
      <c r="H11" s="10" t="s">
        <v>60</v>
      </c>
      <c r="I11" s="11" t="s">
        <v>27</v>
      </c>
      <c r="N11" s="12"/>
      <c r="O11" s="12"/>
      <c r="P11" s="13"/>
      <c r="Q11" s="13"/>
      <c r="R11" s="651" t="s">
        <v>1</v>
      </c>
      <c r="S11" s="651"/>
      <c r="T11" s="15" t="s">
        <v>60</v>
      </c>
      <c r="U11" s="16" t="s">
        <v>27</v>
      </c>
    </row>
    <row r="12" spans="1:21" ht="15.75" customHeight="1" x14ac:dyDescent="0.25">
      <c r="A12" s="572" t="s">
        <v>1</v>
      </c>
      <c r="B12" s="572"/>
      <c r="C12" s="324" t="str">
        <f>'1461'!C12</f>
        <v>FTE</v>
      </c>
      <c r="D12" s="324" t="str">
        <f>'1461'!D12</f>
        <v>FTE</v>
      </c>
      <c r="E12" s="324" t="s">
        <v>2</v>
      </c>
      <c r="F12" s="573" t="s">
        <v>63</v>
      </c>
      <c r="G12" s="573"/>
      <c r="H12" s="17" t="s">
        <v>59</v>
      </c>
      <c r="I12" s="388" t="s">
        <v>395</v>
      </c>
      <c r="N12" s="639" t="s">
        <v>1</v>
      </c>
      <c r="O12" s="639"/>
      <c r="P12" s="652" t="s">
        <v>19</v>
      </c>
      <c r="Q12" s="652"/>
      <c r="R12" s="653" t="s">
        <v>63</v>
      </c>
      <c r="S12" s="653"/>
      <c r="T12" s="18" t="s">
        <v>59</v>
      </c>
      <c r="U12" s="19" t="str">
        <f>I12</f>
        <v>(WFTE x BSA x CWF x SDF)</v>
      </c>
    </row>
    <row r="13" spans="1:21" x14ac:dyDescent="0.25">
      <c r="A13" s="574" t="s">
        <v>36</v>
      </c>
      <c r="B13" s="574"/>
      <c r="C13" s="91"/>
      <c r="D13" s="91"/>
      <c r="E13" s="92" t="s">
        <v>37</v>
      </c>
      <c r="F13" s="575" t="s">
        <v>38</v>
      </c>
      <c r="G13" s="575"/>
      <c r="H13" s="20" t="s">
        <v>39</v>
      </c>
      <c r="I13" s="21" t="s">
        <v>40</v>
      </c>
      <c r="N13" s="654" t="s">
        <v>36</v>
      </c>
      <c r="O13" s="654"/>
      <c r="P13" s="655" t="s">
        <v>37</v>
      </c>
      <c r="Q13" s="655"/>
      <c r="R13" s="656" t="s">
        <v>38</v>
      </c>
      <c r="S13" s="656"/>
      <c r="T13" s="22" t="s">
        <v>39</v>
      </c>
      <c r="U13" s="23" t="s">
        <v>40</v>
      </c>
    </row>
    <row r="14" spans="1:21" x14ac:dyDescent="0.25">
      <c r="A14" s="576" t="s">
        <v>20</v>
      </c>
      <c r="B14" s="576"/>
      <c r="C14" s="143">
        <v>0</v>
      </c>
      <c r="D14" s="141">
        <v>0</v>
      </c>
      <c r="E14" s="187">
        <f>IF(D$30=0,C14*2,C14+D14)</f>
        <v>0</v>
      </c>
      <c r="F14" s="667">
        <f>'1461'!F14:G14</f>
        <v>1.1180000000000001</v>
      </c>
      <c r="G14" s="667"/>
      <c r="H14" s="145">
        <f>ROUND(E14*F14,4)</f>
        <v>0</v>
      </c>
      <c r="I14" s="111">
        <f>ROUND(ROUND(ROUND(H14*$C$8,4)*($H$8),2)*(MAX($H$9,1)),2)</f>
        <v>0</v>
      </c>
      <c r="N14" s="641" t="s">
        <v>20</v>
      </c>
      <c r="O14" s="641"/>
      <c r="P14" s="642">
        <f t="shared" ref="P14:P29" si="0">IF($H$133=1,E14,0)</f>
        <v>0</v>
      </c>
      <c r="Q14" s="642"/>
      <c r="R14" s="657">
        <v>1</v>
      </c>
      <c r="S14" s="657"/>
      <c r="T14" s="95">
        <f>ROUND(P14*R14,4)</f>
        <v>0</v>
      </c>
      <c r="U14" s="473">
        <f>ROUND(ROUND(ROUND(T14*$C$8,4)*($H$8),2)*(MAX($H$9,1)),2)</f>
        <v>0</v>
      </c>
    </row>
    <row r="15" spans="1:21" x14ac:dyDescent="0.25">
      <c r="A15" s="578" t="s">
        <v>21</v>
      </c>
      <c r="B15" s="578"/>
      <c r="C15" s="143">
        <v>0</v>
      </c>
      <c r="D15" s="143">
        <v>0</v>
      </c>
      <c r="E15" s="116">
        <f t="shared" ref="E15:E29" si="1">IF(D$30=0,C15*2,C15+D15)</f>
        <v>0</v>
      </c>
      <c r="F15" s="663">
        <f>'1461'!F15:G15</f>
        <v>1.1180000000000001</v>
      </c>
      <c r="G15" s="663"/>
      <c r="H15" s="80">
        <f t="shared" ref="H15:H29" si="2">ROUND(E15*F15,4)</f>
        <v>0</v>
      </c>
      <c r="I15" s="101">
        <f t="shared" ref="I15:I29" si="3">ROUND(ROUND(ROUND(H15*$C$8,4)*($H$8),2)*(MAX($H$9,1)),2)</f>
        <v>0</v>
      </c>
      <c r="J15" s="65" t="str">
        <f>IF(ROUND(E15,2)=ROUND(SUM(E57:E59),2)," ","CHECK PK-3 LINES BELOW")</f>
        <v xml:space="preserve"> </v>
      </c>
      <c r="N15" s="601" t="s">
        <v>21</v>
      </c>
      <c r="O15" s="601"/>
      <c r="P15" s="642">
        <f t="shared" si="0"/>
        <v>0</v>
      </c>
      <c r="Q15" s="642"/>
      <c r="R15" s="647">
        <v>1</v>
      </c>
      <c r="S15" s="647"/>
      <c r="T15" s="95">
        <f t="shared" ref="T15:T29" si="4">ROUND(P15*R15,4)</f>
        <v>0</v>
      </c>
      <c r="U15" s="473">
        <f t="shared" ref="U15:U29" si="5">ROUND(ROUND(ROUND(T15*$C$8,4)*($H$8),2)*(MAX($H$9,1)),2)</f>
        <v>0</v>
      </c>
    </row>
    <row r="16" spans="1:21" x14ac:dyDescent="0.25">
      <c r="A16" s="578" t="s">
        <v>22</v>
      </c>
      <c r="B16" s="578"/>
      <c r="C16" s="143">
        <v>0</v>
      </c>
      <c r="D16" s="143">
        <v>0</v>
      </c>
      <c r="E16" s="116">
        <f t="shared" si="1"/>
        <v>0</v>
      </c>
      <c r="F16" s="663">
        <f>'1461'!F16:G16</f>
        <v>1</v>
      </c>
      <c r="G16" s="663"/>
      <c r="H16" s="80">
        <f t="shared" si="2"/>
        <v>0</v>
      </c>
      <c r="I16" s="101">
        <f t="shared" si="3"/>
        <v>0</v>
      </c>
      <c r="N16" s="601" t="s">
        <v>22</v>
      </c>
      <c r="O16" s="601"/>
      <c r="P16" s="642">
        <f t="shared" si="0"/>
        <v>0</v>
      </c>
      <c r="Q16" s="642"/>
      <c r="R16" s="647">
        <v>1</v>
      </c>
      <c r="S16" s="647"/>
      <c r="T16" s="95">
        <f t="shared" si="4"/>
        <v>0</v>
      </c>
      <c r="U16" s="473">
        <f t="shared" si="5"/>
        <v>0</v>
      </c>
    </row>
    <row r="17" spans="1:21" x14ac:dyDescent="0.25">
      <c r="A17" s="578" t="s">
        <v>23</v>
      </c>
      <c r="B17" s="578"/>
      <c r="C17" s="143">
        <v>0</v>
      </c>
      <c r="D17" s="143">
        <v>0</v>
      </c>
      <c r="E17" s="116">
        <f t="shared" si="1"/>
        <v>0</v>
      </c>
      <c r="F17" s="663">
        <f>'1461'!F17:G17</f>
        <v>1</v>
      </c>
      <c r="G17" s="663"/>
      <c r="H17" s="80">
        <f t="shared" si="2"/>
        <v>0</v>
      </c>
      <c r="I17" s="101">
        <f t="shared" si="3"/>
        <v>0</v>
      </c>
      <c r="J17" s="65" t="str">
        <f>IF(ROUND(E17,2)=ROUND(SUM(E60:E62),2)," ","CHECK 4-8 LINES BELOW")</f>
        <v xml:space="preserve"> </v>
      </c>
      <c r="N17" s="601" t="s">
        <v>23</v>
      </c>
      <c r="O17" s="601"/>
      <c r="P17" s="642">
        <f t="shared" si="0"/>
        <v>0</v>
      </c>
      <c r="Q17" s="642"/>
      <c r="R17" s="647">
        <v>1</v>
      </c>
      <c r="S17" s="647"/>
      <c r="T17" s="95">
        <f t="shared" si="4"/>
        <v>0</v>
      </c>
      <c r="U17" s="473">
        <f t="shared" si="5"/>
        <v>0</v>
      </c>
    </row>
    <row r="18" spans="1:21" x14ac:dyDescent="0.25">
      <c r="A18" s="578" t="s">
        <v>24</v>
      </c>
      <c r="B18" s="578"/>
      <c r="C18" s="143">
        <v>132.65</v>
      </c>
      <c r="D18" s="143">
        <v>177.44</v>
      </c>
      <c r="E18" s="116">
        <f t="shared" si="1"/>
        <v>310.09000000000003</v>
      </c>
      <c r="F18" s="663">
        <f>'1461'!F18:G18</f>
        <v>0.97799999999999998</v>
      </c>
      <c r="G18" s="663"/>
      <c r="H18" s="80">
        <f t="shared" si="2"/>
        <v>303.26799999999997</v>
      </c>
      <c r="I18" s="101">
        <f t="shared" si="3"/>
        <v>1682677.64</v>
      </c>
      <c r="N18" s="601" t="s">
        <v>24</v>
      </c>
      <c r="O18" s="601"/>
      <c r="P18" s="642">
        <f t="shared" si="0"/>
        <v>0</v>
      </c>
      <c r="Q18" s="642"/>
      <c r="R18" s="647">
        <v>1</v>
      </c>
      <c r="S18" s="647"/>
      <c r="T18" s="95">
        <f t="shared" si="4"/>
        <v>0</v>
      </c>
      <c r="U18" s="473">
        <f t="shared" si="5"/>
        <v>0</v>
      </c>
    </row>
    <row r="19" spans="1:21" x14ac:dyDescent="0.25">
      <c r="A19" s="578" t="s">
        <v>25</v>
      </c>
      <c r="B19" s="578"/>
      <c r="C19" s="143">
        <v>28.43</v>
      </c>
      <c r="D19" s="143">
        <v>42.58</v>
      </c>
      <c r="E19" s="116">
        <f t="shared" si="1"/>
        <v>71.009999999999991</v>
      </c>
      <c r="F19" s="663">
        <f>'1461'!F19:G19</f>
        <v>0.97799999999999998</v>
      </c>
      <c r="G19" s="663"/>
      <c r="H19" s="80">
        <f t="shared" si="2"/>
        <v>69.447800000000001</v>
      </c>
      <c r="I19" s="101">
        <f t="shared" si="3"/>
        <v>385330.01</v>
      </c>
      <c r="J19" s="65" t="str">
        <f>IF(ROUND(E19,2)=ROUND(SUM(E63:E65),2)," ","CHECK 4-8 LINES BELOW")</f>
        <v xml:space="preserve"> </v>
      </c>
      <c r="N19" s="601" t="s">
        <v>25</v>
      </c>
      <c r="O19" s="601"/>
      <c r="P19" s="642">
        <f t="shared" si="0"/>
        <v>0</v>
      </c>
      <c r="Q19" s="642"/>
      <c r="R19" s="647">
        <v>1</v>
      </c>
      <c r="S19" s="647"/>
      <c r="T19" s="95">
        <f t="shared" si="4"/>
        <v>0</v>
      </c>
      <c r="U19" s="472">
        <f t="shared" si="5"/>
        <v>0</v>
      </c>
    </row>
    <row r="20" spans="1:21" x14ac:dyDescent="0.25">
      <c r="A20" s="578" t="s">
        <v>79</v>
      </c>
      <c r="B20" s="578"/>
      <c r="C20" s="143">
        <v>0</v>
      </c>
      <c r="D20" s="143">
        <v>0</v>
      </c>
      <c r="E20" s="116">
        <f t="shared" si="1"/>
        <v>0</v>
      </c>
      <c r="F20" s="663">
        <f>'1461'!F20:G20</f>
        <v>3.6970000000000001</v>
      </c>
      <c r="G20" s="663"/>
      <c r="H20" s="80">
        <f t="shared" si="2"/>
        <v>0</v>
      </c>
      <c r="I20" s="101">
        <f t="shared" si="3"/>
        <v>0</v>
      </c>
      <c r="N20" s="601" t="s">
        <v>79</v>
      </c>
      <c r="O20" s="601"/>
      <c r="P20" s="642">
        <f t="shared" si="0"/>
        <v>0</v>
      </c>
      <c r="Q20" s="642"/>
      <c r="R20" s="647">
        <v>1</v>
      </c>
      <c r="S20" s="647"/>
      <c r="T20" s="95">
        <f t="shared" si="4"/>
        <v>0</v>
      </c>
      <c r="U20" s="473">
        <f t="shared" si="5"/>
        <v>0</v>
      </c>
    </row>
    <row r="21" spans="1:21" x14ac:dyDescent="0.25">
      <c r="A21" s="578" t="s">
        <v>80</v>
      </c>
      <c r="B21" s="578"/>
      <c r="C21" s="143">
        <v>0</v>
      </c>
      <c r="D21" s="143">
        <v>0</v>
      </c>
      <c r="E21" s="116">
        <f t="shared" si="1"/>
        <v>0</v>
      </c>
      <c r="F21" s="663">
        <f>'1461'!F21:G21</f>
        <v>3.6970000000000001</v>
      </c>
      <c r="G21" s="663"/>
      <c r="H21" s="80">
        <f t="shared" si="2"/>
        <v>0</v>
      </c>
      <c r="I21" s="101">
        <f t="shared" si="3"/>
        <v>0</v>
      </c>
      <c r="N21" s="601" t="s">
        <v>80</v>
      </c>
      <c r="O21" s="601"/>
      <c r="P21" s="642">
        <f t="shared" si="0"/>
        <v>0</v>
      </c>
      <c r="Q21" s="642"/>
      <c r="R21" s="647">
        <v>1</v>
      </c>
      <c r="S21" s="647"/>
      <c r="T21" s="95">
        <f t="shared" si="4"/>
        <v>0</v>
      </c>
      <c r="U21" s="473">
        <f t="shared" si="5"/>
        <v>0</v>
      </c>
    </row>
    <row r="22" spans="1:21" x14ac:dyDescent="0.25">
      <c r="A22" s="578" t="s">
        <v>81</v>
      </c>
      <c r="B22" s="578"/>
      <c r="C22" s="143">
        <v>0</v>
      </c>
      <c r="D22" s="143">
        <v>0</v>
      </c>
      <c r="E22" s="116">
        <f t="shared" si="1"/>
        <v>0</v>
      </c>
      <c r="F22" s="663">
        <f>'1461'!F22:G22</f>
        <v>3.6970000000000001</v>
      </c>
      <c r="G22" s="663"/>
      <c r="H22" s="80">
        <f t="shared" si="2"/>
        <v>0</v>
      </c>
      <c r="I22" s="101">
        <f t="shared" si="3"/>
        <v>0</v>
      </c>
      <c r="N22" s="601" t="s">
        <v>81</v>
      </c>
      <c r="O22" s="601"/>
      <c r="P22" s="642">
        <f t="shared" si="0"/>
        <v>0</v>
      </c>
      <c r="Q22" s="642"/>
      <c r="R22" s="647">
        <v>1</v>
      </c>
      <c r="S22" s="647"/>
      <c r="T22" s="95">
        <f t="shared" si="4"/>
        <v>0</v>
      </c>
      <c r="U22" s="473">
        <f t="shared" si="5"/>
        <v>0</v>
      </c>
    </row>
    <row r="23" spans="1:21" x14ac:dyDescent="0.25">
      <c r="A23" s="578" t="s">
        <v>82</v>
      </c>
      <c r="B23" s="578"/>
      <c r="C23" s="143">
        <v>0</v>
      </c>
      <c r="D23" s="143">
        <v>0</v>
      </c>
      <c r="E23" s="116">
        <f t="shared" si="1"/>
        <v>0</v>
      </c>
      <c r="F23" s="663">
        <f>'1461'!F23:G23</f>
        <v>5.992</v>
      </c>
      <c r="G23" s="663"/>
      <c r="H23" s="80">
        <f t="shared" si="2"/>
        <v>0</v>
      </c>
      <c r="I23" s="101">
        <f t="shared" si="3"/>
        <v>0</v>
      </c>
      <c r="N23" s="601" t="s">
        <v>82</v>
      </c>
      <c r="O23" s="601"/>
      <c r="P23" s="642">
        <f t="shared" si="0"/>
        <v>0</v>
      </c>
      <c r="Q23" s="642"/>
      <c r="R23" s="647">
        <v>1</v>
      </c>
      <c r="S23" s="647"/>
      <c r="T23" s="95">
        <f t="shared" si="4"/>
        <v>0</v>
      </c>
      <c r="U23" s="473">
        <f t="shared" si="5"/>
        <v>0</v>
      </c>
    </row>
    <row r="24" spans="1:21" x14ac:dyDescent="0.25">
      <c r="A24" s="578" t="s">
        <v>83</v>
      </c>
      <c r="B24" s="578"/>
      <c r="C24" s="143">
        <v>0</v>
      </c>
      <c r="D24" s="143">
        <v>0</v>
      </c>
      <c r="E24" s="116">
        <f t="shared" si="1"/>
        <v>0</v>
      </c>
      <c r="F24" s="663">
        <f>'1461'!F24:G24</f>
        <v>5.992</v>
      </c>
      <c r="G24" s="663"/>
      <c r="H24" s="80">
        <f t="shared" si="2"/>
        <v>0</v>
      </c>
      <c r="I24" s="101">
        <f t="shared" si="3"/>
        <v>0</v>
      </c>
      <c r="N24" s="601" t="s">
        <v>83</v>
      </c>
      <c r="O24" s="601"/>
      <c r="P24" s="642">
        <f t="shared" si="0"/>
        <v>0</v>
      </c>
      <c r="Q24" s="642"/>
      <c r="R24" s="647">
        <v>1</v>
      </c>
      <c r="S24" s="647"/>
      <c r="T24" s="95">
        <f t="shared" si="4"/>
        <v>0</v>
      </c>
      <c r="U24" s="473">
        <f t="shared" si="5"/>
        <v>0</v>
      </c>
    </row>
    <row r="25" spans="1:21" x14ac:dyDescent="0.25">
      <c r="A25" s="578" t="s">
        <v>84</v>
      </c>
      <c r="B25" s="578"/>
      <c r="C25" s="143">
        <v>0</v>
      </c>
      <c r="D25" s="143">
        <v>0</v>
      </c>
      <c r="E25" s="116">
        <f t="shared" si="1"/>
        <v>0</v>
      </c>
      <c r="F25" s="663">
        <f>'1461'!F25:G25</f>
        <v>5.992</v>
      </c>
      <c r="G25" s="663"/>
      <c r="H25" s="80">
        <f t="shared" si="2"/>
        <v>0</v>
      </c>
      <c r="I25" s="101">
        <f t="shared" si="3"/>
        <v>0</v>
      </c>
      <c r="N25" s="601" t="s">
        <v>84</v>
      </c>
      <c r="O25" s="601"/>
      <c r="P25" s="642">
        <f t="shared" si="0"/>
        <v>0</v>
      </c>
      <c r="Q25" s="642"/>
      <c r="R25" s="647">
        <v>1</v>
      </c>
      <c r="S25" s="647"/>
      <c r="T25" s="95">
        <f t="shared" si="4"/>
        <v>0</v>
      </c>
      <c r="U25" s="473">
        <f t="shared" si="5"/>
        <v>0</v>
      </c>
    </row>
    <row r="26" spans="1:21" x14ac:dyDescent="0.25">
      <c r="A26" s="578" t="s">
        <v>85</v>
      </c>
      <c r="B26" s="578"/>
      <c r="C26" s="143">
        <v>0</v>
      </c>
      <c r="D26" s="143">
        <v>0</v>
      </c>
      <c r="E26" s="116">
        <f t="shared" si="1"/>
        <v>0</v>
      </c>
      <c r="F26" s="663">
        <f>'1461'!F26:G26</f>
        <v>1.1919999999999999</v>
      </c>
      <c r="G26" s="663"/>
      <c r="H26" s="80">
        <f t="shared" si="2"/>
        <v>0</v>
      </c>
      <c r="I26" s="101">
        <f t="shared" si="3"/>
        <v>0</v>
      </c>
      <c r="N26" s="601" t="s">
        <v>85</v>
      </c>
      <c r="O26" s="601"/>
      <c r="P26" s="642">
        <f t="shared" si="0"/>
        <v>0</v>
      </c>
      <c r="Q26" s="642"/>
      <c r="R26" s="647">
        <v>1</v>
      </c>
      <c r="S26" s="647"/>
      <c r="T26" s="95">
        <f t="shared" si="4"/>
        <v>0</v>
      </c>
      <c r="U26" s="473">
        <f t="shared" si="5"/>
        <v>0</v>
      </c>
    </row>
    <row r="27" spans="1:21" x14ac:dyDescent="0.25">
      <c r="A27" s="578" t="s">
        <v>86</v>
      </c>
      <c r="B27" s="578"/>
      <c r="C27" s="143">
        <v>0</v>
      </c>
      <c r="D27" s="143">
        <v>0</v>
      </c>
      <c r="E27" s="116">
        <f t="shared" si="1"/>
        <v>0</v>
      </c>
      <c r="F27" s="663">
        <f>'1461'!F27:G27</f>
        <v>1.1919999999999999</v>
      </c>
      <c r="G27" s="663"/>
      <c r="H27" s="80">
        <f t="shared" si="2"/>
        <v>0</v>
      </c>
      <c r="I27" s="101">
        <f t="shared" si="3"/>
        <v>0</v>
      </c>
      <c r="N27" s="601" t="s">
        <v>86</v>
      </c>
      <c r="O27" s="601"/>
      <c r="P27" s="642">
        <f t="shared" si="0"/>
        <v>0</v>
      </c>
      <c r="Q27" s="642"/>
      <c r="R27" s="647">
        <v>1</v>
      </c>
      <c r="S27" s="647"/>
      <c r="T27" s="95">
        <f t="shared" si="4"/>
        <v>0</v>
      </c>
      <c r="U27" s="473">
        <f t="shared" si="5"/>
        <v>0</v>
      </c>
    </row>
    <row r="28" spans="1:21" x14ac:dyDescent="0.25">
      <c r="A28" s="578" t="s">
        <v>87</v>
      </c>
      <c r="B28" s="578"/>
      <c r="C28" s="143">
        <v>11.4</v>
      </c>
      <c r="D28" s="143">
        <v>11.21</v>
      </c>
      <c r="E28" s="116">
        <f t="shared" si="1"/>
        <v>22.61</v>
      </c>
      <c r="F28" s="663">
        <f>'1461'!F28:G28</f>
        <v>1.1919999999999999</v>
      </c>
      <c r="G28" s="663"/>
      <c r="H28" s="80">
        <f t="shared" si="2"/>
        <v>26.9511</v>
      </c>
      <c r="I28" s="101">
        <f t="shared" si="3"/>
        <v>149537.75</v>
      </c>
      <c r="N28" s="601" t="s">
        <v>87</v>
      </c>
      <c r="O28" s="601"/>
      <c r="P28" s="642">
        <f t="shared" si="0"/>
        <v>0</v>
      </c>
      <c r="Q28" s="642"/>
      <c r="R28" s="647">
        <v>1</v>
      </c>
      <c r="S28" s="647"/>
      <c r="T28" s="95">
        <f t="shared" si="4"/>
        <v>0</v>
      </c>
      <c r="U28" s="473">
        <f t="shared" si="5"/>
        <v>0</v>
      </c>
    </row>
    <row r="29" spans="1:21" x14ac:dyDescent="0.25">
      <c r="A29" s="578" t="s">
        <v>88</v>
      </c>
      <c r="B29" s="578"/>
      <c r="C29" s="110">
        <v>1.2</v>
      </c>
      <c r="D29" s="110">
        <v>1.5</v>
      </c>
      <c r="E29" s="154">
        <f t="shared" si="1"/>
        <v>2.7</v>
      </c>
      <c r="F29" s="663">
        <f>'1461'!F29:G29</f>
        <v>1.079</v>
      </c>
      <c r="G29" s="663"/>
      <c r="H29" s="93">
        <f t="shared" si="2"/>
        <v>2.9133</v>
      </c>
      <c r="I29" s="94">
        <f t="shared" si="3"/>
        <v>16164.4</v>
      </c>
      <c r="N29" s="616" t="s">
        <v>88</v>
      </c>
      <c r="O29" s="616"/>
      <c r="P29" s="642">
        <f t="shared" si="0"/>
        <v>0</v>
      </c>
      <c r="Q29" s="642"/>
      <c r="R29" s="643">
        <v>1</v>
      </c>
      <c r="S29" s="643"/>
      <c r="T29" s="95">
        <f t="shared" si="4"/>
        <v>0</v>
      </c>
      <c r="U29" s="473">
        <f t="shared" si="5"/>
        <v>0</v>
      </c>
    </row>
    <row r="30" spans="1:21" x14ac:dyDescent="0.25">
      <c r="A30" s="590" t="s">
        <v>5</v>
      </c>
      <c r="B30" s="590"/>
      <c r="C30" s="94">
        <f>SUM(C14:C29)</f>
        <v>173.68</v>
      </c>
      <c r="D30" s="94">
        <f>SUM(D14:D29)</f>
        <v>232.73</v>
      </c>
      <c r="E30" s="94">
        <f>SUM(E14:E29)</f>
        <v>406.41</v>
      </c>
      <c r="F30" s="582"/>
      <c r="G30" s="582"/>
      <c r="H30" s="99">
        <f>SUM(H14:H29)</f>
        <v>402.58019999999993</v>
      </c>
      <c r="I30" s="94">
        <f>SUM(I14:I29)</f>
        <v>2233709.7999999998</v>
      </c>
      <c r="N30" s="644" t="s">
        <v>5</v>
      </c>
      <c r="O30" s="644"/>
      <c r="P30" s="645">
        <f>SUM(P14:P29)</f>
        <v>0</v>
      </c>
      <c r="Q30" s="645"/>
      <c r="R30" s="617"/>
      <c r="S30" s="617"/>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0" t="s">
        <v>233</v>
      </c>
      <c r="G34" s="670"/>
      <c r="H34" s="670"/>
      <c r="I34" s="101"/>
      <c r="N34" s="28"/>
      <c r="O34" s="28"/>
      <c r="P34" s="29"/>
      <c r="Q34" s="29"/>
      <c r="R34" s="30"/>
      <c r="S34" s="30"/>
      <c r="T34" s="102"/>
      <c r="U34" s="103"/>
    </row>
    <row r="35" spans="1:21" hidden="1" x14ac:dyDescent="0.25">
      <c r="A35" s="3"/>
      <c r="B35" s="69"/>
      <c r="C35" s="69"/>
      <c r="D35" s="69"/>
      <c r="E35" s="69"/>
      <c r="F35" s="670"/>
      <c r="G35" s="670"/>
      <c r="H35" s="670"/>
      <c r="I35" s="24" t="s">
        <v>61</v>
      </c>
      <c r="N35" s="627" t="s">
        <v>26</v>
      </c>
      <c r="O35" s="627"/>
      <c r="P35" s="627"/>
      <c r="Q35" s="627"/>
      <c r="R35" s="627"/>
      <c r="S35" s="627"/>
      <c r="T35" s="627"/>
      <c r="U35" s="25" t="str">
        <f>I35</f>
        <v>2015-16</v>
      </c>
    </row>
    <row r="36" spans="1:21" hidden="1" x14ac:dyDescent="0.25">
      <c r="A36" s="26"/>
      <c r="B36" s="26"/>
      <c r="C36" s="88" t="s">
        <v>93</v>
      </c>
      <c r="D36" s="88" t="s">
        <v>94</v>
      </c>
      <c r="E36" s="89" t="s">
        <v>8</v>
      </c>
      <c r="F36" s="670"/>
      <c r="G36" s="670"/>
      <c r="H36" s="670"/>
      <c r="I36" s="24" t="s">
        <v>27</v>
      </c>
      <c r="N36" s="28"/>
      <c r="O36" s="28"/>
      <c r="P36" s="29"/>
      <c r="Q36" s="29"/>
      <c r="R36" s="30"/>
      <c r="S36" s="30"/>
      <c r="T36" s="102"/>
      <c r="U36" s="25" t="s">
        <v>27</v>
      </c>
    </row>
    <row r="37" spans="1:21" ht="26.25" hidden="1" x14ac:dyDescent="0.25">
      <c r="A37" s="572" t="s">
        <v>50</v>
      </c>
      <c r="B37" s="572"/>
      <c r="C37" s="90" t="s">
        <v>2</v>
      </c>
      <c r="D37" s="90" t="s">
        <v>2</v>
      </c>
      <c r="E37" s="90" t="s">
        <v>2</v>
      </c>
      <c r="F37" s="671"/>
      <c r="G37" s="671"/>
      <c r="H37" s="671"/>
      <c r="I37" s="31" t="s">
        <v>395</v>
      </c>
      <c r="N37" s="639" t="s">
        <v>50</v>
      </c>
      <c r="O37" s="639"/>
      <c r="P37" s="640" t="s">
        <v>19</v>
      </c>
      <c r="Q37" s="640"/>
      <c r="R37" s="640"/>
      <c r="S37" s="640"/>
      <c r="T37" s="640"/>
      <c r="U37" s="19" t="str">
        <f>I37</f>
        <v>(WFTE x BSA x CWF x SDF)</v>
      </c>
    </row>
    <row r="38" spans="1:21" hidden="1" x14ac:dyDescent="0.25">
      <c r="A38" s="576" t="s">
        <v>45</v>
      </c>
      <c r="B38" s="576"/>
      <c r="C38" s="147">
        <v>0</v>
      </c>
      <c r="D38" s="147">
        <v>0</v>
      </c>
      <c r="E38" s="187">
        <f t="shared" ref="E38:E43" si="6">IF(D$44=0,C38*2,C38+D38)</f>
        <v>0</v>
      </c>
      <c r="F38" s="148"/>
      <c r="G38" s="148"/>
      <c r="H38" s="148"/>
      <c r="I38" s="111">
        <f>ROUND(ROUND(ROUND(E38*$C$8,4)*($H$8),2)*(MAX($H$9,1)),2)</f>
        <v>0</v>
      </c>
      <c r="N38" s="641" t="s">
        <v>45</v>
      </c>
      <c r="O38" s="641"/>
      <c r="P38" s="608">
        <f t="shared" ref="P38:P43" si="7">IF($H$133=1,E38,0)</f>
        <v>0</v>
      </c>
      <c r="Q38" s="608"/>
      <c r="R38" s="608"/>
      <c r="S38" s="608"/>
      <c r="T38" s="608"/>
      <c r="U38" s="98">
        <f>ROUND(ROUND(ROUND(P38*$C$8,4)*($H$8),2)*(MAX($H$9,1)),2)</f>
        <v>0</v>
      </c>
    </row>
    <row r="39" spans="1:21" hidden="1" x14ac:dyDescent="0.25">
      <c r="A39" s="578" t="s">
        <v>46</v>
      </c>
      <c r="B39" s="578"/>
      <c r="C39" s="150">
        <v>0</v>
      </c>
      <c r="D39" s="150">
        <v>0</v>
      </c>
      <c r="E39" s="116">
        <f t="shared" si="6"/>
        <v>0</v>
      </c>
      <c r="F39" s="151"/>
      <c r="G39" s="151"/>
      <c r="H39" s="151"/>
      <c r="I39" s="101">
        <f t="shared" ref="I39:I43" si="8">ROUND(ROUND(ROUND(E39*$C$8,4)*($H$8),2)*(MAX($H$9,1)),2)</f>
        <v>0</v>
      </c>
      <c r="N39" s="601" t="s">
        <v>46</v>
      </c>
      <c r="O39" s="601"/>
      <c r="P39" s="608">
        <f t="shared" si="7"/>
        <v>0</v>
      </c>
      <c r="Q39" s="608"/>
      <c r="R39" s="608"/>
      <c r="S39" s="608"/>
      <c r="T39" s="608"/>
      <c r="U39" s="98">
        <f t="shared" ref="U39:U43" si="9">ROUND(ROUND(ROUND(P39*$C$8,4)*($H$8),2)*(MAX($H$9,1)),2)</f>
        <v>0</v>
      </c>
    </row>
    <row r="40" spans="1:21" hidden="1" x14ac:dyDescent="0.25">
      <c r="A40" s="583" t="s">
        <v>47</v>
      </c>
      <c r="B40" s="583"/>
      <c r="C40" s="150">
        <v>0</v>
      </c>
      <c r="D40" s="150">
        <v>0</v>
      </c>
      <c r="E40" s="116">
        <f t="shared" si="6"/>
        <v>0</v>
      </c>
      <c r="F40" s="151"/>
      <c r="G40" s="151"/>
      <c r="H40" s="151"/>
      <c r="I40" s="101">
        <f t="shared" si="8"/>
        <v>0</v>
      </c>
      <c r="N40" s="646" t="s">
        <v>47</v>
      </c>
      <c r="O40" s="646"/>
      <c r="P40" s="608">
        <f t="shared" si="7"/>
        <v>0</v>
      </c>
      <c r="Q40" s="608"/>
      <c r="R40" s="608"/>
      <c r="S40" s="608"/>
      <c r="T40" s="608"/>
      <c r="U40" s="98">
        <f t="shared" si="9"/>
        <v>0</v>
      </c>
    </row>
    <row r="41" spans="1:21" hidden="1" x14ac:dyDescent="0.25">
      <c r="A41" s="578" t="s">
        <v>48</v>
      </c>
      <c r="B41" s="578"/>
      <c r="C41" s="150">
        <v>0</v>
      </c>
      <c r="D41" s="150">
        <v>0</v>
      </c>
      <c r="E41" s="116">
        <f t="shared" si="6"/>
        <v>0</v>
      </c>
      <c r="F41" s="151"/>
      <c r="G41" s="151"/>
      <c r="H41" s="151"/>
      <c r="I41" s="101">
        <f t="shared" si="8"/>
        <v>0</v>
      </c>
      <c r="N41" s="601" t="s">
        <v>48</v>
      </c>
      <c r="O41" s="601"/>
      <c r="P41" s="608">
        <f t="shared" si="7"/>
        <v>0</v>
      </c>
      <c r="Q41" s="608"/>
      <c r="R41" s="608"/>
      <c r="S41" s="608"/>
      <c r="T41" s="608"/>
      <c r="U41" s="98">
        <f t="shared" si="9"/>
        <v>0</v>
      </c>
    </row>
    <row r="42" spans="1:21" hidden="1" x14ac:dyDescent="0.25">
      <c r="A42" s="578" t="s">
        <v>49</v>
      </c>
      <c r="B42" s="578"/>
      <c r="C42" s="150">
        <v>0</v>
      </c>
      <c r="D42" s="150">
        <v>0</v>
      </c>
      <c r="E42" s="116">
        <f t="shared" si="6"/>
        <v>0</v>
      </c>
      <c r="F42" s="151"/>
      <c r="G42" s="151"/>
      <c r="H42" s="151"/>
      <c r="I42" s="101">
        <f t="shared" si="8"/>
        <v>0</v>
      </c>
      <c r="N42" s="601" t="s">
        <v>49</v>
      </c>
      <c r="O42" s="601"/>
      <c r="P42" s="608">
        <f t="shared" si="7"/>
        <v>0</v>
      </c>
      <c r="Q42" s="608"/>
      <c r="R42" s="608"/>
      <c r="S42" s="608"/>
      <c r="T42" s="608"/>
      <c r="U42" s="98">
        <f t="shared" si="9"/>
        <v>0</v>
      </c>
    </row>
    <row r="43" spans="1:21" hidden="1" x14ac:dyDescent="0.25">
      <c r="A43" s="578" t="s">
        <v>41</v>
      </c>
      <c r="B43" s="578"/>
      <c r="C43" s="149">
        <v>0</v>
      </c>
      <c r="D43" s="149">
        <v>0</v>
      </c>
      <c r="E43" s="154">
        <f t="shared" si="6"/>
        <v>0</v>
      </c>
      <c r="F43" s="151"/>
      <c r="G43" s="151"/>
      <c r="H43" s="151"/>
      <c r="I43" s="94">
        <f t="shared" si="8"/>
        <v>0</v>
      </c>
      <c r="N43" s="616" t="s">
        <v>41</v>
      </c>
      <c r="O43" s="616"/>
      <c r="P43" s="608">
        <f t="shared" si="7"/>
        <v>0</v>
      </c>
      <c r="Q43" s="608"/>
      <c r="R43" s="608"/>
      <c r="S43" s="608"/>
      <c r="T43" s="60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3" t="s">
        <v>43</v>
      </c>
      <c r="O44" s="603"/>
      <c r="P44" s="603"/>
      <c r="Q44" s="603"/>
      <c r="R44" s="33">
        <f>SUM(P38:R43)</f>
        <v>0</v>
      </c>
      <c r="S44" s="617" t="s">
        <v>51</v>
      </c>
      <c r="T44" s="617"/>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402.58019999999993</v>
      </c>
      <c r="F46" s="34"/>
      <c r="G46" s="106"/>
      <c r="H46" s="107" t="s">
        <v>98</v>
      </c>
      <c r="I46" s="94">
        <f>SUM(I44,I30)</f>
        <v>2233709.7999999998</v>
      </c>
      <c r="N46" s="603" t="s">
        <v>44</v>
      </c>
      <c r="O46" s="603"/>
      <c r="P46" s="603"/>
      <c r="Q46" s="603"/>
      <c r="R46" s="35">
        <f>R44+T30</f>
        <v>0</v>
      </c>
      <c r="S46" s="617" t="s">
        <v>42</v>
      </c>
      <c r="T46" s="617"/>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396</v>
      </c>
      <c r="B48" s="26"/>
      <c r="C48" s="26"/>
      <c r="D48" s="26"/>
      <c r="E48" s="26"/>
      <c r="F48" s="34"/>
      <c r="G48" s="27"/>
      <c r="H48" s="27"/>
      <c r="I48" s="101"/>
      <c r="N48" s="383" t="s">
        <v>396</v>
      </c>
      <c r="O48" s="28"/>
      <c r="P48" s="28"/>
      <c r="Q48" s="28"/>
      <c r="R48" s="35"/>
      <c r="S48" s="30"/>
      <c r="T48" s="30"/>
      <c r="U48" s="402"/>
    </row>
    <row r="49" spans="1:22" s="391" customFormat="1" ht="9" customHeight="1" x14ac:dyDescent="0.2">
      <c r="A49" s="481" t="s">
        <v>397</v>
      </c>
      <c r="F49" s="392"/>
      <c r="G49" s="393"/>
      <c r="H49" s="393"/>
      <c r="I49" s="394"/>
      <c r="N49" s="403" t="s">
        <v>397</v>
      </c>
      <c r="O49" s="395"/>
      <c r="P49" s="395"/>
      <c r="Q49" s="395"/>
      <c r="R49" s="396"/>
      <c r="S49" s="397"/>
      <c r="T49" s="397"/>
      <c r="U49" s="404"/>
    </row>
    <row r="50" spans="1:22" s="391" customFormat="1" ht="11.25" customHeight="1" x14ac:dyDescent="0.2">
      <c r="A50" s="483" t="s">
        <v>398</v>
      </c>
      <c r="F50" s="392"/>
      <c r="G50" s="393"/>
      <c r="H50" s="393"/>
      <c r="I50" s="394"/>
      <c r="N50" s="405" t="s">
        <v>398</v>
      </c>
      <c r="O50" s="395"/>
      <c r="P50" s="395"/>
      <c r="Q50" s="395"/>
      <c r="R50" s="396"/>
      <c r="S50" s="397"/>
      <c r="T50" s="397"/>
      <c r="U50" s="404"/>
    </row>
    <row r="51" spans="1:22" x14ac:dyDescent="0.25">
      <c r="A51" s="389"/>
      <c r="B51" s="399" t="s">
        <v>399</v>
      </c>
      <c r="C51" s="26"/>
      <c r="D51" s="26"/>
      <c r="E51" s="43" t="s">
        <v>400</v>
      </c>
      <c r="F51" s="400">
        <f>I46</f>
        <v>2233709.7999999998</v>
      </c>
      <c r="G51" s="109" t="s">
        <v>6</v>
      </c>
      <c r="H51" s="401">
        <v>4.5199999999999997E-2</v>
      </c>
      <c r="I51" s="101">
        <f>ROUND(F51*H51,2)</f>
        <v>100963.68</v>
      </c>
      <c r="N51" s="406"/>
      <c r="O51" s="407" t="s">
        <v>399</v>
      </c>
      <c r="P51" s="28"/>
      <c r="Q51" s="44" t="s">
        <v>400</v>
      </c>
      <c r="R51" s="408">
        <f>U30</f>
        <v>0</v>
      </c>
      <c r="S51" s="409" t="s">
        <v>6</v>
      </c>
      <c r="T51" s="410">
        <v>4.5199999999999997E-2</v>
      </c>
      <c r="U51" s="402">
        <f>ROUND(R51*T51,2)</f>
        <v>0</v>
      </c>
    </row>
    <row r="52" spans="1:22" x14ac:dyDescent="0.25">
      <c r="A52" s="26"/>
      <c r="B52" s="81" t="s">
        <v>401</v>
      </c>
      <c r="C52" s="26"/>
      <c r="D52" s="26"/>
      <c r="E52" s="43" t="s">
        <v>400</v>
      </c>
      <c r="F52" s="400">
        <f>I46</f>
        <v>2233709.7999999998</v>
      </c>
      <c r="G52" s="109" t="s">
        <v>6</v>
      </c>
      <c r="H52" s="401">
        <v>1.41E-2</v>
      </c>
      <c r="I52" s="101">
        <f>ROUND(F52*H52,2)</f>
        <v>31495.31</v>
      </c>
      <c r="N52" s="28"/>
      <c r="O52" s="383" t="s">
        <v>401</v>
      </c>
      <c r="P52" s="28"/>
      <c r="Q52" s="44" t="s">
        <v>400</v>
      </c>
      <c r="R52" s="408">
        <f>U30</f>
        <v>0</v>
      </c>
      <c r="S52" s="409" t="s">
        <v>6</v>
      </c>
      <c r="T52" s="410">
        <v>1.41E-2</v>
      </c>
      <c r="U52" s="411">
        <f>ROUND(R52*T52,2)</f>
        <v>0</v>
      </c>
    </row>
    <row r="53" spans="1:22" x14ac:dyDescent="0.25">
      <c r="A53" s="26"/>
      <c r="B53" s="81" t="s">
        <v>402</v>
      </c>
      <c r="C53" s="26"/>
      <c r="D53" s="26"/>
      <c r="E53" s="43"/>
      <c r="F53" s="400"/>
      <c r="G53" s="109"/>
      <c r="H53" s="401"/>
      <c r="I53" s="97">
        <f>SUM(I51:I52)</f>
        <v>132458.99</v>
      </c>
      <c r="N53" s="28"/>
      <c r="O53" s="383" t="s">
        <v>402</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440</v>
      </c>
      <c r="G55" s="109" t="s">
        <v>441</v>
      </c>
      <c r="H55" s="454" t="s">
        <v>442</v>
      </c>
      <c r="I55" s="101"/>
      <c r="N55" s="448"/>
      <c r="O55" s="448"/>
      <c r="P55" s="464"/>
      <c r="Q55" s="465"/>
      <c r="R55" s="466"/>
      <c r="S55" s="468" t="s">
        <v>441</v>
      </c>
      <c r="T55" s="469" t="s">
        <v>442</v>
      </c>
      <c r="U55" s="467"/>
      <c r="V55" s="424"/>
    </row>
    <row r="56" spans="1:22" x14ac:dyDescent="0.25">
      <c r="A56" s="36" t="s">
        <v>443</v>
      </c>
      <c r="B56" s="36"/>
      <c r="C56" s="324" t="str">
        <f>'1461'!C56</f>
        <v>FTE</v>
      </c>
      <c r="D56" s="324" t="str">
        <f>'1461'!D56</f>
        <v>FTE</v>
      </c>
      <c r="E56" s="90" t="s">
        <v>2</v>
      </c>
      <c r="F56" s="439" t="s">
        <v>444</v>
      </c>
      <c r="G56" s="441" t="s">
        <v>444</v>
      </c>
      <c r="H56" s="455" t="s">
        <v>445</v>
      </c>
      <c r="I56" s="36"/>
      <c r="N56" s="459" t="s">
        <v>443</v>
      </c>
      <c r="O56" s="459"/>
      <c r="P56" s="620" t="s">
        <v>2</v>
      </c>
      <c r="Q56" s="620"/>
      <c r="R56" s="459" t="s">
        <v>449</v>
      </c>
      <c r="S56" s="450" t="s">
        <v>444</v>
      </c>
      <c r="T56" s="470" t="s">
        <v>445</v>
      </c>
      <c r="U56" s="459"/>
      <c r="V56" s="458"/>
    </row>
    <row r="57" spans="1:22" x14ac:dyDescent="0.25">
      <c r="A57" s="588" t="s">
        <v>447</v>
      </c>
      <c r="B57" s="588"/>
      <c r="C57" s="143">
        <v>0</v>
      </c>
      <c r="D57" s="143">
        <v>0</v>
      </c>
      <c r="E57" s="116">
        <f t="shared" ref="E57:E65" si="10">IF(D$66=0,C57*2,C57+D57)</f>
        <v>0</v>
      </c>
      <c r="F57" s="443" t="s">
        <v>439</v>
      </c>
      <c r="G57" s="443">
        <v>251</v>
      </c>
      <c r="H57" s="457">
        <f>'1461'!H57</f>
        <v>1047</v>
      </c>
      <c r="I57" s="101">
        <f>ROUND(E57*H57,2)</f>
        <v>0</v>
      </c>
      <c r="N57" s="618" t="s">
        <v>447</v>
      </c>
      <c r="O57" s="618"/>
      <c r="P57" s="621"/>
      <c r="Q57" s="621"/>
      <c r="R57" s="449" t="s">
        <v>439</v>
      </c>
      <c r="S57" s="449">
        <v>251</v>
      </c>
      <c r="T57" s="460">
        <f>H57</f>
        <v>1047</v>
      </c>
      <c r="U57" s="474">
        <f>ROUND(P57*T57,2)</f>
        <v>0</v>
      </c>
      <c r="V57" s="424"/>
    </row>
    <row r="58" spans="1:22" x14ac:dyDescent="0.25">
      <c r="A58" s="589"/>
      <c r="B58" s="589"/>
      <c r="C58" s="143">
        <v>0</v>
      </c>
      <c r="D58" s="143">
        <v>0</v>
      </c>
      <c r="E58" s="116">
        <f t="shared" si="10"/>
        <v>0</v>
      </c>
      <c r="F58" s="443" t="s">
        <v>439</v>
      </c>
      <c r="G58" s="443">
        <v>252</v>
      </c>
      <c r="H58" s="457">
        <f>'1461'!H58</f>
        <v>3380</v>
      </c>
      <c r="I58" s="101">
        <f t="shared" ref="I58:I65" si="11">ROUND(E58*H58,2)</f>
        <v>0</v>
      </c>
      <c r="N58" s="619"/>
      <c r="O58" s="619"/>
      <c r="P58" s="622"/>
      <c r="Q58" s="622"/>
      <c r="R58" s="449" t="s">
        <v>439</v>
      </c>
      <c r="S58" s="449">
        <v>252</v>
      </c>
      <c r="T58" s="460">
        <f t="shared" ref="T58:T65" si="12">H58</f>
        <v>3380</v>
      </c>
      <c r="U58" s="474">
        <f t="shared" ref="U58:U65" si="13">ROUND(P58*T58,2)</f>
        <v>0</v>
      </c>
      <c r="V58" s="424"/>
    </row>
    <row r="59" spans="1:22" x14ac:dyDescent="0.25">
      <c r="A59" s="589"/>
      <c r="B59" s="589"/>
      <c r="C59" s="143">
        <v>0</v>
      </c>
      <c r="D59" s="143">
        <v>0</v>
      </c>
      <c r="E59" s="116">
        <f t="shared" si="10"/>
        <v>0</v>
      </c>
      <c r="F59" s="443" t="s">
        <v>439</v>
      </c>
      <c r="G59" s="443">
        <v>253</v>
      </c>
      <c r="H59" s="457">
        <f>'1461'!H59</f>
        <v>6896</v>
      </c>
      <c r="I59" s="101">
        <f t="shared" si="11"/>
        <v>0</v>
      </c>
      <c r="N59" s="619"/>
      <c r="O59" s="619"/>
      <c r="P59" s="622"/>
      <c r="Q59" s="622"/>
      <c r="R59" s="449" t="s">
        <v>439</v>
      </c>
      <c r="S59" s="449">
        <v>253</v>
      </c>
      <c r="T59" s="460">
        <f t="shared" si="12"/>
        <v>6896</v>
      </c>
      <c r="U59" s="474">
        <f t="shared" si="13"/>
        <v>0</v>
      </c>
      <c r="V59" s="424"/>
    </row>
    <row r="60" spans="1:22" x14ac:dyDescent="0.25">
      <c r="A60" s="589"/>
      <c r="B60" s="589"/>
      <c r="C60" s="143">
        <v>0</v>
      </c>
      <c r="D60" s="143">
        <v>0</v>
      </c>
      <c r="E60" s="116">
        <f t="shared" si="10"/>
        <v>0</v>
      </c>
      <c r="F60" s="444" t="s">
        <v>13</v>
      </c>
      <c r="G60" s="443">
        <v>251</v>
      </c>
      <c r="H60" s="457">
        <f>'1461'!H60</f>
        <v>1173</v>
      </c>
      <c r="I60" s="101">
        <f t="shared" si="11"/>
        <v>0</v>
      </c>
      <c r="N60" s="619"/>
      <c r="O60" s="619"/>
      <c r="P60" s="622"/>
      <c r="Q60" s="622"/>
      <c r="R60" s="40" t="s">
        <v>13</v>
      </c>
      <c r="S60" s="449">
        <v>251</v>
      </c>
      <c r="T60" s="460">
        <f t="shared" si="12"/>
        <v>1173</v>
      </c>
      <c r="U60" s="474">
        <f t="shared" si="13"/>
        <v>0</v>
      </c>
      <c r="V60" s="424"/>
    </row>
    <row r="61" spans="1:22" x14ac:dyDescent="0.25">
      <c r="A61" s="589"/>
      <c r="B61" s="589"/>
      <c r="C61" s="143">
        <v>0</v>
      </c>
      <c r="D61" s="143">
        <v>0</v>
      </c>
      <c r="E61" s="116">
        <f t="shared" si="10"/>
        <v>0</v>
      </c>
      <c r="F61" s="444" t="s">
        <v>13</v>
      </c>
      <c r="G61" s="443">
        <v>252</v>
      </c>
      <c r="H61" s="457">
        <f>'1461'!H61</f>
        <v>3506</v>
      </c>
      <c r="I61" s="101">
        <f t="shared" si="11"/>
        <v>0</v>
      </c>
      <c r="N61" s="619"/>
      <c r="O61" s="619"/>
      <c r="P61" s="622"/>
      <c r="Q61" s="622"/>
      <c r="R61" s="40" t="s">
        <v>13</v>
      </c>
      <c r="S61" s="449">
        <v>252</v>
      </c>
      <c r="T61" s="460">
        <f t="shared" si="12"/>
        <v>3506</v>
      </c>
      <c r="U61" s="474">
        <f t="shared" si="13"/>
        <v>0</v>
      </c>
      <c r="V61" s="424"/>
    </row>
    <row r="62" spans="1:22" x14ac:dyDescent="0.25">
      <c r="A62" s="589"/>
      <c r="B62" s="589"/>
      <c r="C62" s="143">
        <v>0</v>
      </c>
      <c r="D62" s="143">
        <v>0</v>
      </c>
      <c r="E62" s="116">
        <f t="shared" si="10"/>
        <v>0</v>
      </c>
      <c r="F62" s="444" t="s">
        <v>13</v>
      </c>
      <c r="G62" s="443">
        <v>253</v>
      </c>
      <c r="H62" s="457">
        <f>'1461'!H62</f>
        <v>7023</v>
      </c>
      <c r="I62" s="101">
        <f t="shared" si="11"/>
        <v>0</v>
      </c>
      <c r="N62" s="619"/>
      <c r="O62" s="619"/>
      <c r="P62" s="622"/>
      <c r="Q62" s="622"/>
      <c r="R62" s="40" t="s">
        <v>13</v>
      </c>
      <c r="S62" s="449">
        <v>253</v>
      </c>
      <c r="T62" s="460">
        <f t="shared" si="12"/>
        <v>7023</v>
      </c>
      <c r="U62" s="474">
        <f t="shared" si="13"/>
        <v>0</v>
      </c>
      <c r="V62" s="424"/>
    </row>
    <row r="63" spans="1:22" x14ac:dyDescent="0.25">
      <c r="A63" s="589"/>
      <c r="B63" s="589"/>
      <c r="C63" s="143">
        <v>27.93</v>
      </c>
      <c r="D63" s="143">
        <v>39.869999999999997</v>
      </c>
      <c r="E63" s="116">
        <f t="shared" si="10"/>
        <v>67.8</v>
      </c>
      <c r="F63" s="444" t="s">
        <v>14</v>
      </c>
      <c r="G63" s="443">
        <v>251</v>
      </c>
      <c r="H63" s="457">
        <f>'1461'!H63</f>
        <v>835</v>
      </c>
      <c r="I63" s="101">
        <f t="shared" si="11"/>
        <v>56613</v>
      </c>
      <c r="N63" s="619"/>
      <c r="O63" s="619"/>
      <c r="P63" s="622"/>
      <c r="Q63" s="622"/>
      <c r="R63" s="40" t="s">
        <v>14</v>
      </c>
      <c r="S63" s="449">
        <v>251</v>
      </c>
      <c r="T63" s="460">
        <f t="shared" si="12"/>
        <v>835</v>
      </c>
      <c r="U63" s="474">
        <f t="shared" si="13"/>
        <v>0</v>
      </c>
      <c r="V63" s="424"/>
    </row>
    <row r="64" spans="1:22" x14ac:dyDescent="0.25">
      <c r="A64" s="589"/>
      <c r="B64" s="589"/>
      <c r="C64" s="143">
        <v>0.5</v>
      </c>
      <c r="D64" s="143">
        <v>2.31</v>
      </c>
      <c r="E64" s="116">
        <f t="shared" si="10"/>
        <v>2.81</v>
      </c>
      <c r="F64" s="444" t="s">
        <v>14</v>
      </c>
      <c r="G64" s="443">
        <v>252</v>
      </c>
      <c r="H64" s="457">
        <f>'1461'!H64</f>
        <v>3168</v>
      </c>
      <c r="I64" s="101">
        <f t="shared" si="11"/>
        <v>8902.08</v>
      </c>
      <c r="N64" s="619"/>
      <c r="O64" s="619"/>
      <c r="P64" s="622"/>
      <c r="Q64" s="622"/>
      <c r="R64" s="40" t="s">
        <v>14</v>
      </c>
      <c r="S64" s="449">
        <v>252</v>
      </c>
      <c r="T64" s="460">
        <f t="shared" si="12"/>
        <v>3168</v>
      </c>
      <c r="U64" s="474">
        <f t="shared" si="13"/>
        <v>0</v>
      </c>
      <c r="V64" s="424"/>
    </row>
    <row r="65" spans="1:22" ht="16.5" thickBot="1" x14ac:dyDescent="0.3">
      <c r="A65" s="589"/>
      <c r="B65" s="589"/>
      <c r="C65" s="143">
        <v>0</v>
      </c>
      <c r="D65" s="143">
        <v>0.4</v>
      </c>
      <c r="E65" s="116">
        <f t="shared" si="10"/>
        <v>0.4</v>
      </c>
      <c r="F65" s="444" t="s">
        <v>14</v>
      </c>
      <c r="G65" s="443">
        <v>253</v>
      </c>
      <c r="H65" s="457">
        <f>'1461'!H65</f>
        <v>6685</v>
      </c>
      <c r="I65" s="101">
        <f t="shared" si="11"/>
        <v>2674</v>
      </c>
      <c r="N65" s="619"/>
      <c r="O65" s="619"/>
      <c r="P65" s="623"/>
      <c r="Q65" s="623"/>
      <c r="R65" s="40" t="s">
        <v>14</v>
      </c>
      <c r="S65" s="449">
        <v>253</v>
      </c>
      <c r="T65" s="460">
        <f t="shared" si="12"/>
        <v>6685</v>
      </c>
      <c r="U65" s="475">
        <f t="shared" si="13"/>
        <v>0</v>
      </c>
      <c r="V65" s="424"/>
    </row>
    <row r="66" spans="1:22" ht="16.5" thickBot="1" x14ac:dyDescent="0.3">
      <c r="A66" s="440"/>
      <c r="C66" s="97">
        <f>SUM(C57:C65)</f>
        <v>28.43</v>
      </c>
      <c r="D66" s="97">
        <f>SUM(D57:D65)</f>
        <v>42.58</v>
      </c>
      <c r="E66" s="97">
        <f>SUM(E57:E65)</f>
        <v>71.010000000000005</v>
      </c>
      <c r="F66" s="590" t="s">
        <v>448</v>
      </c>
      <c r="G66" s="590"/>
      <c r="H66" s="590"/>
      <c r="I66" s="97">
        <f>SUM(I57:I65)</f>
        <v>68189.08</v>
      </c>
      <c r="N66" s="446"/>
      <c r="O66" s="51"/>
      <c r="P66" s="602">
        <f>SUM(P57:P65)</f>
        <v>0</v>
      </c>
      <c r="Q66" s="602"/>
      <c r="R66" s="603" t="s">
        <v>448</v>
      </c>
      <c r="S66" s="603"/>
      <c r="T66" s="603"/>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450</v>
      </c>
      <c r="N68" s="453" t="s">
        <v>458</v>
      </c>
      <c r="O68" s="51"/>
      <c r="P68" s="51"/>
      <c r="Q68" s="51"/>
      <c r="R68" s="51"/>
      <c r="S68" s="51"/>
      <c r="T68" s="51"/>
      <c r="U68" s="51"/>
    </row>
    <row r="69" spans="1:22" x14ac:dyDescent="0.25">
      <c r="A69" s="584" t="s">
        <v>403</v>
      </c>
      <c r="B69" s="578"/>
      <c r="C69" s="112">
        <f>E30</f>
        <v>406.41</v>
      </c>
      <c r="D69" s="565" t="s">
        <v>414</v>
      </c>
      <c r="E69" s="565"/>
      <c r="F69" s="565"/>
      <c r="G69" s="565"/>
      <c r="H69" s="300">
        <f>'1461'!H69</f>
        <v>210228.91</v>
      </c>
      <c r="I69" s="113"/>
      <c r="N69" s="600" t="s">
        <v>407</v>
      </c>
      <c r="O69" s="601"/>
      <c r="P69" s="41">
        <f>P30</f>
        <v>0</v>
      </c>
      <c r="Q69" s="606" t="s">
        <v>409</v>
      </c>
      <c r="R69" s="607"/>
      <c r="S69" s="607"/>
      <c r="T69" s="604">
        <f>H69</f>
        <v>210228.91</v>
      </c>
      <c r="U69" s="604"/>
    </row>
    <row r="70" spans="1:22" x14ac:dyDescent="0.25">
      <c r="B70" s="69"/>
      <c r="G70" s="42" t="s">
        <v>12</v>
      </c>
      <c r="H70" s="114">
        <f>ROUND(C69/H69,6)</f>
        <v>1.933E-3</v>
      </c>
      <c r="I70" s="115"/>
      <c r="N70" s="601"/>
      <c r="O70" s="601"/>
      <c r="P70" s="601"/>
      <c r="Q70" s="601"/>
      <c r="R70" s="601"/>
      <c r="S70" s="601"/>
      <c r="T70" s="605">
        <f>ROUND(P69/T69,6)</f>
        <v>0</v>
      </c>
      <c r="U70" s="605"/>
    </row>
    <row r="71" spans="1:22" x14ac:dyDescent="0.25">
      <c r="A71" s="442" t="s">
        <v>451</v>
      </c>
      <c r="N71" s="453" t="s">
        <v>459</v>
      </c>
      <c r="O71" s="51"/>
      <c r="P71" s="51"/>
      <c r="Q71" s="51"/>
      <c r="R71" s="51"/>
      <c r="S71" s="51"/>
      <c r="T71" s="51"/>
      <c r="U71" s="51"/>
    </row>
    <row r="72" spans="1:22" x14ac:dyDescent="0.25">
      <c r="A72" s="584" t="s">
        <v>404</v>
      </c>
      <c r="B72" s="578"/>
      <c r="C72" s="112">
        <f>H30</f>
        <v>402.58019999999993</v>
      </c>
      <c r="D72" s="565" t="s">
        <v>415</v>
      </c>
      <c r="E72" s="565"/>
      <c r="F72" s="565"/>
      <c r="G72" s="565"/>
      <c r="H72" s="301">
        <f>'1461'!H72</f>
        <v>234891.44</v>
      </c>
      <c r="I72" s="116"/>
      <c r="N72" s="600" t="s">
        <v>408</v>
      </c>
      <c r="O72" s="601"/>
      <c r="P72" s="41">
        <f>T30</f>
        <v>0</v>
      </c>
      <c r="Q72" s="606" t="s">
        <v>410</v>
      </c>
      <c r="R72" s="607"/>
      <c r="S72" s="607"/>
      <c r="T72" s="604">
        <f>H72</f>
        <v>234891.44</v>
      </c>
      <c r="U72" s="604"/>
    </row>
    <row r="73" spans="1:22" x14ac:dyDescent="0.25">
      <c r="G73" s="42" t="s">
        <v>12</v>
      </c>
      <c r="H73" s="114">
        <f>ROUND(C72/H72,6)</f>
        <v>1.714E-3</v>
      </c>
      <c r="I73" s="114"/>
      <c r="N73" s="601"/>
      <c r="O73" s="601"/>
      <c r="P73" s="601"/>
      <c r="Q73" s="601"/>
      <c r="R73" s="601"/>
      <c r="S73" s="601"/>
      <c r="T73" s="605">
        <f>ROUND(P72/T72,6)</f>
        <v>0</v>
      </c>
      <c r="U73" s="605"/>
    </row>
    <row r="74" spans="1:22" x14ac:dyDescent="0.25">
      <c r="A74" s="417" t="s">
        <v>452</v>
      </c>
      <c r="B74" s="414"/>
      <c r="C74" s="414"/>
      <c r="D74" s="414"/>
      <c r="E74" s="414"/>
      <c r="F74" s="414"/>
      <c r="G74" s="414"/>
      <c r="H74" s="414"/>
      <c r="I74" s="414"/>
      <c r="N74" s="416" t="s">
        <v>460</v>
      </c>
      <c r="O74" s="415"/>
      <c r="P74" s="415"/>
      <c r="Q74" s="415"/>
      <c r="R74" s="415"/>
      <c r="S74" s="415"/>
      <c r="T74" s="415"/>
      <c r="U74" s="415"/>
      <c r="V74" s="414"/>
    </row>
    <row r="75" spans="1:22" x14ac:dyDescent="0.25">
      <c r="A75" s="584" t="s">
        <v>405</v>
      </c>
      <c r="B75" s="578"/>
      <c r="C75" s="112">
        <f>E30</f>
        <v>406.41</v>
      </c>
      <c r="D75" s="557" t="s">
        <v>416</v>
      </c>
      <c r="E75" s="557"/>
      <c r="F75" s="557"/>
      <c r="G75" s="557"/>
      <c r="H75" s="300">
        <f>'1461'!H75</f>
        <v>187665.41</v>
      </c>
      <c r="I75" s="113"/>
      <c r="N75" s="600" t="s">
        <v>406</v>
      </c>
      <c r="O75" s="601"/>
      <c r="P75" s="41">
        <f>P30</f>
        <v>0</v>
      </c>
      <c r="Q75" s="636" t="s">
        <v>411</v>
      </c>
      <c r="R75" s="637"/>
      <c r="S75" s="637"/>
      <c r="T75" s="604">
        <f>H75</f>
        <v>187665.41</v>
      </c>
      <c r="U75" s="604"/>
    </row>
    <row r="76" spans="1:22" x14ac:dyDescent="0.25">
      <c r="B76" s="69"/>
      <c r="G76" s="42" t="s">
        <v>12</v>
      </c>
      <c r="H76" s="114">
        <f>ROUND(C75/H75,6)</f>
        <v>2.166E-3</v>
      </c>
      <c r="I76" s="115"/>
      <c r="N76" s="601"/>
      <c r="O76" s="601"/>
      <c r="P76" s="601"/>
      <c r="Q76" s="601"/>
      <c r="R76" s="601"/>
      <c r="S76" s="601"/>
      <c r="T76" s="605">
        <f>ROUND(P75/T75,6)</f>
        <v>0</v>
      </c>
      <c r="U76" s="605"/>
    </row>
    <row r="77" spans="1:22" x14ac:dyDescent="0.25">
      <c r="A77" s="417" t="s">
        <v>453</v>
      </c>
      <c r="B77" s="414"/>
      <c r="C77" s="414"/>
      <c r="D77" s="414"/>
      <c r="E77" s="414"/>
      <c r="F77" s="414"/>
      <c r="G77" s="414"/>
      <c r="H77" s="414"/>
      <c r="I77" s="414"/>
      <c r="N77" s="416" t="s">
        <v>461</v>
      </c>
      <c r="O77" s="415"/>
      <c r="P77" s="415"/>
      <c r="Q77" s="415"/>
      <c r="R77" s="415"/>
      <c r="S77" s="415"/>
      <c r="T77" s="415"/>
      <c r="U77" s="415"/>
      <c r="V77" s="414"/>
    </row>
    <row r="78" spans="1:22" x14ac:dyDescent="0.25">
      <c r="A78" s="584" t="s">
        <v>405</v>
      </c>
      <c r="B78" s="578"/>
      <c r="C78" s="112">
        <f>E30</f>
        <v>406.41</v>
      </c>
      <c r="D78" s="585" t="s">
        <v>417</v>
      </c>
      <c r="E78" s="585"/>
      <c r="F78" s="585"/>
      <c r="G78" s="585"/>
      <c r="H78" s="300">
        <f>'1461'!H78</f>
        <v>209892.26</v>
      </c>
      <c r="I78" s="113"/>
      <c r="N78" s="600" t="s">
        <v>406</v>
      </c>
      <c r="O78" s="601"/>
      <c r="P78" s="41">
        <f>P30</f>
        <v>0</v>
      </c>
      <c r="Q78" s="634" t="s">
        <v>412</v>
      </c>
      <c r="R78" s="635"/>
      <c r="S78" s="635"/>
      <c r="T78" s="604">
        <f>H78</f>
        <v>209892.26</v>
      </c>
      <c r="U78" s="604"/>
    </row>
    <row r="79" spans="1:22" x14ac:dyDescent="0.25">
      <c r="B79" s="69"/>
      <c r="G79" s="42" t="s">
        <v>12</v>
      </c>
      <c r="H79" s="114">
        <f>ROUND(C78/H78,6)</f>
        <v>1.936E-3</v>
      </c>
      <c r="I79" s="115"/>
      <c r="N79" s="601"/>
      <c r="O79" s="601"/>
      <c r="P79" s="601"/>
      <c r="Q79" s="601"/>
      <c r="R79" s="601"/>
      <c r="S79" s="601"/>
      <c r="T79" s="605">
        <f>ROUND(P78/T78,6)</f>
        <v>0</v>
      </c>
      <c r="U79" s="605"/>
    </row>
    <row r="80" spans="1:22" x14ac:dyDescent="0.25">
      <c r="A80" s="417" t="s">
        <v>454</v>
      </c>
      <c r="B80" s="414"/>
      <c r="C80" s="414"/>
      <c r="D80" s="414"/>
      <c r="E80" s="414"/>
      <c r="F80" s="414"/>
      <c r="G80" s="414"/>
      <c r="H80" s="414"/>
      <c r="I80" s="414"/>
      <c r="N80" s="416" t="s">
        <v>462</v>
      </c>
      <c r="O80" s="415"/>
      <c r="P80" s="415"/>
      <c r="Q80" s="415"/>
      <c r="R80" s="415"/>
      <c r="S80" s="415"/>
      <c r="T80" s="415"/>
      <c r="U80" s="415"/>
      <c r="V80" s="414"/>
    </row>
    <row r="81" spans="1:21" x14ac:dyDescent="0.25">
      <c r="A81" s="584" t="s">
        <v>413</v>
      </c>
      <c r="B81" s="578"/>
      <c r="C81" s="112">
        <f>E30</f>
        <v>406.41</v>
      </c>
      <c r="D81" s="557" t="s">
        <v>418</v>
      </c>
      <c r="E81" s="557"/>
      <c r="F81" s="557"/>
      <c r="G81" s="557"/>
      <c r="H81" s="300">
        <f>'1461'!H81</f>
        <v>187328.76</v>
      </c>
      <c r="I81" s="113"/>
      <c r="N81" s="600" t="s">
        <v>419</v>
      </c>
      <c r="O81" s="601"/>
      <c r="P81" s="41">
        <f>P30</f>
        <v>0</v>
      </c>
      <c r="Q81" s="636" t="s">
        <v>420</v>
      </c>
      <c r="R81" s="637"/>
      <c r="S81" s="637"/>
      <c r="T81" s="604">
        <f>H81</f>
        <v>187328.76</v>
      </c>
      <c r="U81" s="604"/>
    </row>
    <row r="82" spans="1:21" x14ac:dyDescent="0.25">
      <c r="B82" s="69"/>
      <c r="G82" s="42" t="s">
        <v>12</v>
      </c>
      <c r="H82" s="114">
        <f>ROUND(C81/H81,6)</f>
        <v>2.1700000000000001E-3</v>
      </c>
      <c r="I82" s="115"/>
      <c r="N82" s="601"/>
      <c r="O82" s="601"/>
      <c r="P82" s="601"/>
      <c r="Q82" s="601"/>
      <c r="R82" s="601"/>
      <c r="S82" s="601"/>
      <c r="T82" s="605">
        <f>ROUND(P81/T81,6)</f>
        <v>0</v>
      </c>
      <c r="U82" s="605"/>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455</v>
      </c>
      <c r="D85" s="69"/>
      <c r="E85" s="43" t="s">
        <v>299</v>
      </c>
      <c r="F85" s="302">
        <f>'1461'!F85</f>
        <v>46163704</v>
      </c>
      <c r="G85" s="37" t="s">
        <v>6</v>
      </c>
      <c r="H85" s="422">
        <f>H79</f>
        <v>1.936E-3</v>
      </c>
      <c r="I85" s="101">
        <f>ROUND(F85*H85,2)</f>
        <v>89372.93</v>
      </c>
      <c r="N85" s="453" t="s">
        <v>455</v>
      </c>
      <c r="O85" s="51"/>
      <c r="P85" s="51"/>
      <c r="Q85" s="44"/>
      <c r="R85" s="419">
        <f>F85</f>
        <v>46163704</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87" t="s">
        <v>71</v>
      </c>
      <c r="B87" s="578"/>
      <c r="C87" s="578"/>
      <c r="D87" s="69"/>
      <c r="E87" s="43"/>
      <c r="F87" s="117"/>
      <c r="G87" s="37"/>
      <c r="H87" s="422"/>
      <c r="I87" s="101"/>
      <c r="N87" s="600" t="s">
        <v>463</v>
      </c>
      <c r="O87" s="601"/>
      <c r="P87" s="601"/>
      <c r="Q87" s="51"/>
      <c r="R87" s="420"/>
      <c r="S87" s="51"/>
      <c r="T87" s="38"/>
      <c r="U87" s="478"/>
    </row>
    <row r="88" spans="1:21" x14ac:dyDescent="0.25">
      <c r="A88" s="587" t="s">
        <v>99</v>
      </c>
      <c r="B88" s="578"/>
      <c r="C88" s="578"/>
      <c r="D88" s="69"/>
      <c r="E88" s="43" t="s">
        <v>3</v>
      </c>
      <c r="F88" s="302">
        <f>'1461'!F88</f>
        <v>0</v>
      </c>
      <c r="G88" s="37" t="s">
        <v>6</v>
      </c>
      <c r="H88" s="422">
        <f>H70</f>
        <v>1.933E-3</v>
      </c>
      <c r="I88" s="101">
        <f>ROUND(F88*H88,2)</f>
        <v>0</v>
      </c>
      <c r="N88" s="638" t="s">
        <v>99</v>
      </c>
      <c r="O88" s="601"/>
      <c r="P88" s="601"/>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456</v>
      </c>
      <c r="D90" s="69"/>
      <c r="E90" s="43" t="s">
        <v>421</v>
      </c>
      <c r="F90" s="302">
        <f>'1461'!F90</f>
        <v>19042026</v>
      </c>
      <c r="G90" s="37" t="s">
        <v>6</v>
      </c>
      <c r="H90" s="422">
        <f>H82</f>
        <v>2.1700000000000001E-3</v>
      </c>
      <c r="I90" s="101">
        <f>ROUND(F90*H90,2)</f>
        <v>41321.199999999997</v>
      </c>
      <c r="N90" s="453" t="s">
        <v>456</v>
      </c>
      <c r="O90" s="51"/>
      <c r="P90" s="51"/>
      <c r="Q90" s="44"/>
      <c r="R90" s="419">
        <f>F90</f>
        <v>19042026</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457</v>
      </c>
      <c r="D92" s="69"/>
      <c r="E92" s="43" t="s">
        <v>3</v>
      </c>
      <c r="F92" s="302">
        <f>'1461'!F92</f>
        <v>11441151</v>
      </c>
      <c r="G92" s="37" t="s">
        <v>6</v>
      </c>
      <c r="H92" s="422">
        <f>H76</f>
        <v>2.166E-3</v>
      </c>
      <c r="I92" s="101">
        <f t="shared" ref="I92:I96" si="14">ROUND(F92*H92,2)</f>
        <v>24781.53</v>
      </c>
      <c r="N92" s="453" t="s">
        <v>457</v>
      </c>
      <c r="O92" s="51"/>
      <c r="P92" s="51"/>
      <c r="Q92" s="44"/>
      <c r="R92" s="419">
        <f t="shared" ref="R92:R96" si="15">F92</f>
        <v>11441151</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84" t="s">
        <v>422</v>
      </c>
      <c r="B94" s="578"/>
      <c r="C94" s="578"/>
      <c r="D94" s="69"/>
      <c r="E94" s="43" t="s">
        <v>4</v>
      </c>
      <c r="F94" s="302">
        <f>'1461'!F94</f>
        <v>247265670</v>
      </c>
      <c r="G94" s="37" t="s">
        <v>6</v>
      </c>
      <c r="H94" s="422">
        <f>H73</f>
        <v>1.714E-3</v>
      </c>
      <c r="I94" s="101">
        <f t="shared" si="14"/>
        <v>423813.36</v>
      </c>
      <c r="N94" s="601" t="s">
        <v>422</v>
      </c>
      <c r="O94" s="601"/>
      <c r="P94" s="601"/>
      <c r="Q94" s="44"/>
      <c r="R94" s="419">
        <f t="shared" si="15"/>
        <v>247265670</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4" t="s">
        <v>423</v>
      </c>
      <c r="B96" s="578"/>
      <c r="C96" s="578"/>
      <c r="D96" s="69"/>
      <c r="E96" s="43" t="s">
        <v>4</v>
      </c>
      <c r="F96" s="302">
        <f>'1461'!F96</f>
        <v>0</v>
      </c>
      <c r="G96" s="37" t="s">
        <v>6</v>
      </c>
      <c r="H96" s="422">
        <f>H73</f>
        <v>1.714E-3</v>
      </c>
      <c r="I96" s="101">
        <f t="shared" si="14"/>
        <v>0</v>
      </c>
      <c r="N96" s="600" t="s">
        <v>423</v>
      </c>
      <c r="O96" s="601"/>
      <c r="P96" s="601"/>
      <c r="Q96" s="44"/>
      <c r="R96" s="419">
        <f t="shared" si="15"/>
        <v>0</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530" t="s">
        <v>497</v>
      </c>
      <c r="B98" s="529"/>
      <c r="C98" s="529"/>
      <c r="D98" s="529"/>
      <c r="E98" s="527" t="s">
        <v>3</v>
      </c>
      <c r="F98" s="290">
        <v>0</v>
      </c>
      <c r="G98" s="528" t="s">
        <v>6</v>
      </c>
      <c r="H98" s="422">
        <f>H70</f>
        <v>1.933E-3</v>
      </c>
      <c r="I98" s="101">
        <f t="shared" ref="I98" si="16">ROUND(F98*H98,2)</f>
        <v>0</v>
      </c>
      <c r="N98" s="533" t="s">
        <v>497</v>
      </c>
      <c r="O98" s="533"/>
      <c r="P98" s="533"/>
      <c r="Q98" s="44"/>
      <c r="R98" s="536">
        <f>F98</f>
        <v>0</v>
      </c>
      <c r="S98" s="534" t="s">
        <v>6</v>
      </c>
      <c r="T98" s="421">
        <f>T70</f>
        <v>0</v>
      </c>
      <c r="U98" s="473">
        <f>ROUND(R98*T98,2)</f>
        <v>0</v>
      </c>
    </row>
    <row r="99" spans="1:21" x14ac:dyDescent="0.25">
      <c r="A99" s="530"/>
      <c r="B99" s="529"/>
      <c r="C99" s="529"/>
      <c r="D99" s="529"/>
      <c r="E99" s="527"/>
      <c r="F99" s="276"/>
      <c r="G99" s="528"/>
      <c r="H99" s="422"/>
      <c r="I99" s="101"/>
      <c r="N99" s="533"/>
      <c r="O99" s="533"/>
      <c r="P99" s="533"/>
      <c r="Q99" s="44"/>
      <c r="R99" s="535"/>
      <c r="S99" s="534"/>
      <c r="T99" s="421"/>
      <c r="U99" s="477"/>
    </row>
    <row r="100" spans="1:21" x14ac:dyDescent="0.25">
      <c r="A100" s="530"/>
      <c r="B100" s="529"/>
      <c r="C100" s="529"/>
      <c r="D100" s="529"/>
      <c r="E100" s="527"/>
      <c r="F100" s="276"/>
      <c r="G100" s="528"/>
      <c r="H100" s="422"/>
      <c r="I100" s="101"/>
      <c r="N100" s="533"/>
      <c r="O100" s="533"/>
      <c r="P100" s="533"/>
      <c r="Q100" s="44"/>
      <c r="R100" s="420"/>
      <c r="S100" s="534"/>
      <c r="T100" s="421"/>
      <c r="U100" s="103"/>
    </row>
    <row r="101" spans="1:21" x14ac:dyDescent="0.25">
      <c r="A101" s="399" t="s">
        <v>498</v>
      </c>
      <c r="N101" s="407" t="s">
        <v>498</v>
      </c>
      <c r="O101" s="51"/>
      <c r="P101" s="51"/>
      <c r="Q101" s="51"/>
      <c r="R101" s="51"/>
      <c r="S101" s="51"/>
      <c r="T101" s="51"/>
      <c r="U101" s="51"/>
    </row>
    <row r="102" spans="1:21" x14ac:dyDescent="0.25">
      <c r="B102" s="69"/>
      <c r="C102" s="563" t="s">
        <v>60</v>
      </c>
      <c r="D102" s="563"/>
      <c r="E102" s="69"/>
      <c r="F102" s="39" t="s">
        <v>28</v>
      </c>
      <c r="G102" s="69"/>
      <c r="H102" s="69"/>
      <c r="I102" s="69"/>
      <c r="N102" s="45"/>
      <c r="O102" s="45"/>
      <c r="P102" s="45"/>
      <c r="Q102" s="45"/>
      <c r="R102" s="45"/>
      <c r="S102" s="45"/>
      <c r="T102" s="45"/>
      <c r="U102" s="45"/>
    </row>
    <row r="103" spans="1:21" x14ac:dyDescent="0.25">
      <c r="A103" s="3"/>
      <c r="B103" s="118"/>
      <c r="C103" s="564" t="s">
        <v>101</v>
      </c>
      <c r="D103" s="564"/>
      <c r="E103" s="423" t="s">
        <v>426</v>
      </c>
      <c r="F103" s="120" t="s">
        <v>106</v>
      </c>
      <c r="G103" s="121"/>
      <c r="H103" s="121"/>
      <c r="I103" s="121"/>
      <c r="N103" s="631" t="s">
        <v>35</v>
      </c>
      <c r="O103" s="631"/>
      <c r="P103" s="672" t="s">
        <v>428</v>
      </c>
      <c r="Q103" s="633"/>
      <c r="R103" s="604" t="s">
        <v>31</v>
      </c>
      <c r="S103" s="604"/>
      <c r="T103" s="604"/>
      <c r="U103" s="604"/>
    </row>
    <row r="104" spans="1:21" x14ac:dyDescent="0.25">
      <c r="A104" s="26"/>
      <c r="B104" s="52" t="s">
        <v>105</v>
      </c>
      <c r="C104" s="596">
        <f>H14+H15+H20+H23+H26</f>
        <v>0</v>
      </c>
      <c r="D104" s="596"/>
      <c r="E104" s="46">
        <f>H8</f>
        <v>1.0407999999999999</v>
      </c>
      <c r="F104" s="303">
        <f>'1461'!F104</f>
        <v>950.92</v>
      </c>
      <c r="G104" s="39" t="s">
        <v>12</v>
      </c>
      <c r="H104" s="101">
        <f>ROUND(C104*E104*F104,2)</f>
        <v>0</v>
      </c>
      <c r="I104" s="104"/>
      <c r="N104" s="28" t="s">
        <v>17</v>
      </c>
      <c r="O104" s="47">
        <f>T14+T15+T20+T23+T26</f>
        <v>0</v>
      </c>
      <c r="P104" s="611">
        <f>T8</f>
        <v>1.0407999999999999</v>
      </c>
      <c r="Q104" s="611"/>
      <c r="R104" s="48">
        <f>F104</f>
        <v>950.92</v>
      </c>
      <c r="S104" s="40" t="s">
        <v>12</v>
      </c>
      <c r="T104" s="479">
        <f>ROUND(O104*P104*R104,2)</f>
        <v>0</v>
      </c>
      <c r="U104" s="102"/>
    </row>
    <row r="105" spans="1:21" x14ac:dyDescent="0.25">
      <c r="A105" s="49"/>
      <c r="B105" s="49" t="s">
        <v>104</v>
      </c>
      <c r="C105" s="596">
        <f>H16+H17+H21+H24+H27</f>
        <v>0</v>
      </c>
      <c r="D105" s="596"/>
      <c r="E105" s="46">
        <f>H8</f>
        <v>1.0407999999999999</v>
      </c>
      <c r="F105" s="303">
        <f>'1461'!F105</f>
        <v>907.92</v>
      </c>
      <c r="G105" s="39" t="s">
        <v>12</v>
      </c>
      <c r="H105" s="101">
        <f>ROUND(C105*E105*F105,2)</f>
        <v>0</v>
      </c>
      <c r="N105" s="50" t="s">
        <v>13</v>
      </c>
      <c r="O105" s="47">
        <f>T16+T17+T21+T24+T27</f>
        <v>0</v>
      </c>
      <c r="P105" s="611">
        <f>T8</f>
        <v>1.0407999999999999</v>
      </c>
      <c r="Q105" s="611"/>
      <c r="R105" s="48">
        <f>F105</f>
        <v>907.92</v>
      </c>
      <c r="S105" s="40" t="s">
        <v>12</v>
      </c>
      <c r="T105" s="479">
        <f>ROUND(O105*P105*R105,2)</f>
        <v>0</v>
      </c>
      <c r="U105" s="51"/>
    </row>
    <row r="106" spans="1:21" ht="16.5" thickBot="1" x14ac:dyDescent="0.3">
      <c r="A106" s="52"/>
      <c r="B106" s="52" t="s">
        <v>103</v>
      </c>
      <c r="C106" s="596">
        <f>H18+H19+H22+H25+H28+H29</f>
        <v>402.58019999999993</v>
      </c>
      <c r="D106" s="596"/>
      <c r="E106" s="46">
        <f>H8</f>
        <v>1.0407999999999999</v>
      </c>
      <c r="F106" s="303">
        <f>'1461'!F106</f>
        <v>910.12</v>
      </c>
      <c r="G106" s="39" t="s">
        <v>12</v>
      </c>
      <c r="H106" s="94">
        <f>ROUND(C106*E106*F106,2)</f>
        <v>381345.26</v>
      </c>
      <c r="N106" s="53" t="s">
        <v>14</v>
      </c>
      <c r="O106" s="54">
        <f>T18+T19+T22+T25+T28+T29</f>
        <v>0</v>
      </c>
      <c r="P106" s="611">
        <f>T8</f>
        <v>1.0407999999999999</v>
      </c>
      <c r="Q106" s="611"/>
      <c r="R106" s="48">
        <f>F106</f>
        <v>910.12</v>
      </c>
      <c r="S106" s="40" t="s">
        <v>12</v>
      </c>
      <c r="T106" s="479">
        <f>ROUND(O106*P106*R106,2)</f>
        <v>0</v>
      </c>
      <c r="U106" s="51"/>
    </row>
    <row r="107" spans="1:21" ht="16.5" thickBot="1" x14ac:dyDescent="0.3">
      <c r="A107" s="55"/>
      <c r="B107" s="122" t="s">
        <v>102</v>
      </c>
      <c r="C107" s="586">
        <f>SUM(C104:C106)</f>
        <v>402.58019999999993</v>
      </c>
      <c r="D107" s="586"/>
      <c r="E107" s="123"/>
      <c r="F107" s="123"/>
      <c r="G107" s="123"/>
      <c r="H107" s="124" t="s">
        <v>100</v>
      </c>
      <c r="I107" s="101">
        <f>IF(A1=75,0,H106+H105+H104)</f>
        <v>381345.26</v>
      </c>
      <c r="N107" s="56" t="s">
        <v>89</v>
      </c>
      <c r="O107" s="57">
        <f>SUM(O104:O106)</f>
        <v>0</v>
      </c>
      <c r="P107" s="612" t="s">
        <v>16</v>
      </c>
      <c r="Q107" s="613"/>
      <c r="R107" s="613"/>
      <c r="S107" s="613"/>
      <c r="T107" s="613"/>
      <c r="U107" s="473">
        <f>IF(N1=75,0,T106+T105+T104)</f>
        <v>0</v>
      </c>
    </row>
    <row r="108" spans="1:21" ht="16.5" thickTop="1" x14ac:dyDescent="0.25">
      <c r="A108" s="555" t="s">
        <v>65</v>
      </c>
      <c r="B108" s="555"/>
      <c r="C108" s="555"/>
      <c r="D108" s="555"/>
      <c r="E108" s="555"/>
      <c r="F108" s="555"/>
      <c r="G108" s="555"/>
      <c r="H108" s="555"/>
      <c r="I108" s="555"/>
      <c r="N108" s="614" t="s">
        <v>65</v>
      </c>
      <c r="O108" s="614"/>
      <c r="P108" s="614"/>
      <c r="Q108" s="614"/>
      <c r="R108" s="614"/>
      <c r="S108" s="614"/>
      <c r="T108" s="614"/>
      <c r="U108" s="614"/>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0" t="s">
        <v>499</v>
      </c>
      <c r="C110" s="43"/>
      <c r="D110" s="69"/>
      <c r="E110" s="43" t="s">
        <v>32</v>
      </c>
      <c r="F110" s="556"/>
      <c r="G110" s="556"/>
      <c r="H110" s="556"/>
      <c r="I110" s="556"/>
      <c r="N110" s="600" t="s">
        <v>499</v>
      </c>
      <c r="O110" s="601"/>
      <c r="P110" s="601"/>
      <c r="Q110" s="615"/>
      <c r="R110" s="615"/>
      <c r="S110" s="615"/>
      <c r="T110" s="615"/>
      <c r="U110" s="103"/>
    </row>
    <row r="111" spans="1:21" x14ac:dyDescent="0.25">
      <c r="B111" s="69"/>
      <c r="C111" s="88" t="s">
        <v>494</v>
      </c>
      <c r="D111" s="333" t="s">
        <v>495</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57" t="s">
        <v>381</v>
      </c>
      <c r="B113" s="558"/>
      <c r="C113" s="143">
        <v>102</v>
      </c>
      <c r="D113" s="143">
        <v>141</v>
      </c>
      <c r="E113" s="116">
        <f>(C113+D113)/2</f>
        <v>121.5</v>
      </c>
      <c r="F113" s="126" t="s">
        <v>30</v>
      </c>
      <c r="G113" s="304">
        <f>'1461'!G113</f>
        <v>576</v>
      </c>
      <c r="I113" s="101">
        <f>ROUND(G113*E113,2)</f>
        <v>69984</v>
      </c>
      <c r="N113" s="630" t="s">
        <v>52</v>
      </c>
      <c r="O113" s="630"/>
      <c r="P113" s="610">
        <f>IF(H133=1,E113,0)</f>
        <v>0</v>
      </c>
      <c r="Q113" s="610"/>
      <c r="R113" s="610"/>
      <c r="S113" s="83" t="s">
        <v>30</v>
      </c>
      <c r="T113" s="58">
        <f>G113</f>
        <v>576</v>
      </c>
      <c r="U113" s="473">
        <f>ROUND(T113*P113,2)</f>
        <v>0</v>
      </c>
    </row>
    <row r="114" spans="1:21" x14ac:dyDescent="0.25">
      <c r="A114" s="557" t="s">
        <v>382</v>
      </c>
      <c r="B114" s="558"/>
      <c r="C114" s="143">
        <v>0</v>
      </c>
      <c r="D114" s="143">
        <v>0</v>
      </c>
      <c r="E114" s="116">
        <f>(C114+D114)/2</f>
        <v>0</v>
      </c>
      <c r="F114" s="126" t="s">
        <v>30</v>
      </c>
      <c r="G114" s="304">
        <f>'1461'!G114</f>
        <v>1823</v>
      </c>
      <c r="I114" s="101">
        <f>ROUND(G114*E114,2)</f>
        <v>0</v>
      </c>
      <c r="N114" s="630" t="s">
        <v>64</v>
      </c>
      <c r="O114" s="630"/>
      <c r="P114" s="608"/>
      <c r="Q114" s="608"/>
      <c r="R114" s="608"/>
      <c r="S114" s="83" t="s">
        <v>30</v>
      </c>
      <c r="T114" s="58">
        <f>G114</f>
        <v>1823</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4" t="s">
        <v>430</v>
      </c>
      <c r="B117" s="578"/>
      <c r="C117" s="578"/>
      <c r="D117" s="69"/>
      <c r="E117" s="39" t="s">
        <v>300</v>
      </c>
      <c r="F117" s="563"/>
      <c r="G117" s="563"/>
      <c r="H117" s="563"/>
      <c r="I117" s="563"/>
      <c r="N117" s="600" t="s">
        <v>431</v>
      </c>
      <c r="O117" s="601"/>
      <c r="P117" s="601"/>
      <c r="Q117" s="601"/>
      <c r="R117" s="601"/>
      <c r="S117" s="601"/>
      <c r="T117" s="601"/>
      <c r="U117" s="601"/>
    </row>
    <row r="118" spans="1:21" hidden="1" x14ac:dyDescent="0.25">
      <c r="B118" s="69"/>
      <c r="C118" s="564" t="s">
        <v>66</v>
      </c>
      <c r="D118" s="564"/>
      <c r="E118" s="564"/>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5" t="s">
        <v>109</v>
      </c>
      <c r="G119" s="563"/>
      <c r="H119" s="37" t="s">
        <v>29</v>
      </c>
      <c r="I119" s="37"/>
      <c r="N119" s="45"/>
      <c r="O119" s="45"/>
      <c r="P119" s="45"/>
      <c r="Q119" s="45"/>
      <c r="R119" s="45"/>
      <c r="S119" s="45"/>
      <c r="T119" s="45"/>
      <c r="U119" s="45"/>
    </row>
    <row r="120" spans="1:21" hidden="1" x14ac:dyDescent="0.25">
      <c r="A120" s="564" t="s">
        <v>69</v>
      </c>
      <c r="B120" s="564"/>
      <c r="C120" s="90" t="s">
        <v>2</v>
      </c>
      <c r="D120" s="90" t="s">
        <v>2</v>
      </c>
      <c r="E120" s="59" t="s">
        <v>2</v>
      </c>
      <c r="F120" s="564" t="s">
        <v>28</v>
      </c>
      <c r="G120" s="564"/>
      <c r="H120" s="59" t="s">
        <v>28</v>
      </c>
      <c r="I120" s="59" t="s">
        <v>8</v>
      </c>
      <c r="N120" s="609" t="s">
        <v>53</v>
      </c>
      <c r="O120" s="609"/>
      <c r="P120" s="610" t="s">
        <v>66</v>
      </c>
      <c r="Q120" s="610"/>
      <c r="R120" s="609" t="s">
        <v>54</v>
      </c>
      <c r="S120" s="609"/>
      <c r="T120" s="60" t="s">
        <v>55</v>
      </c>
      <c r="U120" s="60" t="s">
        <v>8</v>
      </c>
    </row>
    <row r="121" spans="1:21" hidden="1" x14ac:dyDescent="0.25">
      <c r="A121" s="561" t="s">
        <v>56</v>
      </c>
      <c r="B121" s="561"/>
      <c r="C121" s="141">
        <v>0</v>
      </c>
      <c r="D121" s="141">
        <v>0</v>
      </c>
      <c r="E121" s="187">
        <f>IF(D30=0,C121*2,C121+D121)</f>
        <v>0</v>
      </c>
      <c r="F121" s="562">
        <v>0</v>
      </c>
      <c r="G121" s="562"/>
      <c r="H121" s="224">
        <f>IF(C121=0,0,125)</f>
        <v>0</v>
      </c>
      <c r="I121" s="101">
        <f>ROUND((H121+F121)*E121,2)</f>
        <v>0</v>
      </c>
      <c r="N121" s="601" t="s">
        <v>56</v>
      </c>
      <c r="O121" s="601"/>
      <c r="P121" s="608">
        <f>IF(H$133=1,C121,0)</f>
        <v>0</v>
      </c>
      <c r="Q121" s="608"/>
      <c r="R121" s="628">
        <f>F121</f>
        <v>0</v>
      </c>
      <c r="S121" s="628"/>
      <c r="T121" s="62">
        <f>H121</f>
        <v>0</v>
      </c>
      <c r="U121" s="96">
        <f>ROUND((T121+R121)*P121,0)</f>
        <v>0</v>
      </c>
    </row>
    <row r="122" spans="1:21" hidden="1" x14ac:dyDescent="0.25">
      <c r="A122" s="581" t="s">
        <v>57</v>
      </c>
      <c r="B122" s="581"/>
      <c r="C122" s="143">
        <v>0</v>
      </c>
      <c r="D122" s="143">
        <v>0</v>
      </c>
      <c r="E122" s="116">
        <f>IF(D31=0,C122*2,C122+D122)</f>
        <v>0</v>
      </c>
      <c r="F122" s="598">
        <f>ROUND(F121/2,2)</f>
        <v>0</v>
      </c>
      <c r="G122" s="598"/>
      <c r="H122" s="224">
        <f>IF(C122=0,0,62.5)</f>
        <v>0</v>
      </c>
      <c r="I122" s="101">
        <f>ROUND((H122+F122)*E122,2)</f>
        <v>0</v>
      </c>
      <c r="N122" s="601" t="s">
        <v>57</v>
      </c>
      <c r="O122" s="601"/>
      <c r="P122" s="608">
        <f>IF(H$133=1,C122,0)</f>
        <v>0</v>
      </c>
      <c r="Q122" s="608"/>
      <c r="R122" s="629">
        <f>ROUND(R121/2,2)</f>
        <v>0</v>
      </c>
      <c r="S122" s="629"/>
      <c r="T122" s="62">
        <f>H122</f>
        <v>0</v>
      </c>
      <c r="U122" s="96">
        <f>ROUND((T122+R122)*P122,0)</f>
        <v>0</v>
      </c>
    </row>
    <row r="123" spans="1:21" ht="16.5" hidden="1" thickBot="1" x14ac:dyDescent="0.3">
      <c r="A123" s="581" t="s">
        <v>58</v>
      </c>
      <c r="B123" s="581"/>
      <c r="C123" s="143">
        <v>0</v>
      </c>
      <c r="D123" s="143">
        <v>0</v>
      </c>
      <c r="E123" s="116">
        <f>IF(D32=0,C123*2,C123+D123)</f>
        <v>0</v>
      </c>
      <c r="F123" s="599"/>
      <c r="G123" s="599"/>
      <c r="H123" s="225">
        <f>IF(H121&gt;0,436,0)</f>
        <v>0</v>
      </c>
      <c r="I123" s="101">
        <f>ROUND(H123*E123,2)</f>
        <v>0</v>
      </c>
      <c r="N123" s="616" t="s">
        <v>58</v>
      </c>
      <c r="O123" s="616"/>
      <c r="P123" s="608">
        <f>IF(H$133=1,C123,0)</f>
        <v>0</v>
      </c>
      <c r="Q123" s="608"/>
      <c r="R123" s="609"/>
      <c r="S123" s="609"/>
      <c r="T123" s="64">
        <f>H123</f>
        <v>0</v>
      </c>
      <c r="U123" s="103">
        <f>ROUND(T123*P123,0)</f>
        <v>0</v>
      </c>
    </row>
    <row r="124" spans="1:21" ht="16.5" hidden="1" thickBot="1" x14ac:dyDescent="0.3">
      <c r="A124" s="563" t="s">
        <v>8</v>
      </c>
      <c r="B124" s="563"/>
      <c r="C124" s="65"/>
      <c r="D124" s="65"/>
      <c r="E124" s="65"/>
      <c r="F124" s="65"/>
      <c r="G124" s="65"/>
      <c r="H124" s="65"/>
      <c r="I124" s="97">
        <f>SUM(I121:I123)</f>
        <v>0</v>
      </c>
      <c r="N124" s="627" t="s">
        <v>8</v>
      </c>
      <c r="O124" s="627"/>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4" t="s">
        <v>432</v>
      </c>
      <c r="B126" s="578"/>
      <c r="C126" s="578"/>
      <c r="D126" s="69"/>
      <c r="E126" s="68" t="s">
        <v>34</v>
      </c>
      <c r="F126" s="597"/>
      <c r="G126" s="597"/>
      <c r="H126" s="597"/>
      <c r="I126" s="154">
        <v>0</v>
      </c>
      <c r="N126" s="600" t="s">
        <v>432</v>
      </c>
      <c r="O126" s="601"/>
      <c r="P126" s="601"/>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90" t="s">
        <v>8</v>
      </c>
      <c r="B128" s="590"/>
      <c r="C128" s="590"/>
      <c r="D128" s="590"/>
      <c r="E128" s="590"/>
      <c r="F128" s="590"/>
      <c r="G128" s="590"/>
      <c r="H128" s="590"/>
      <c r="I128" s="94">
        <f>SUM(I46,I66,I85,I88,I90,I92,I94,I96,I107,I113,I114,I124,I126)</f>
        <v>3332517.16</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434</v>
      </c>
      <c r="B130" s="26"/>
      <c r="C130" s="26"/>
      <c r="D130" s="26"/>
      <c r="E130" s="26"/>
      <c r="F130" s="26"/>
      <c r="G130" s="26"/>
      <c r="H130" s="26"/>
      <c r="I130" s="101">
        <f>I128-I53</f>
        <v>3200058.17</v>
      </c>
      <c r="N130" s="601" t="s">
        <v>434</v>
      </c>
      <c r="O130" s="601"/>
      <c r="P130" s="601"/>
      <c r="Q130" s="601"/>
      <c r="R130" s="601"/>
      <c r="S130" s="601"/>
      <c r="T130" s="601"/>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4" t="s">
        <v>502</v>
      </c>
      <c r="B132" s="578"/>
      <c r="C132" s="578"/>
      <c r="D132" s="578"/>
      <c r="E132" s="578"/>
      <c r="F132" s="578"/>
      <c r="G132" s="578"/>
      <c r="H132" s="81" t="s">
        <v>333</v>
      </c>
      <c r="I132" s="134"/>
      <c r="N132" s="600" t="s">
        <v>502</v>
      </c>
      <c r="O132" s="601"/>
      <c r="P132" s="601"/>
      <c r="Q132" s="601"/>
      <c r="R132" s="601"/>
      <c r="S132" s="601"/>
      <c r="T132" s="601"/>
      <c r="U132" s="138"/>
    </row>
    <row r="133" spans="1:21" x14ac:dyDescent="0.25">
      <c r="A133" s="578" t="s">
        <v>70</v>
      </c>
      <c r="B133" s="578"/>
      <c r="C133" s="578"/>
      <c r="D133" s="578"/>
      <c r="E133" s="578"/>
      <c r="F133" s="578"/>
      <c r="G133" s="578"/>
      <c r="H133" s="70" t="str">
        <f>IF(E30=0,"",IF((E15+E17+SUM(E19:E25))/E30&gt;0.75,1,""))</f>
        <v/>
      </c>
      <c r="I133" s="116">
        <f>U130</f>
        <v>0</v>
      </c>
      <c r="N133" s="601" t="s">
        <v>70</v>
      </c>
      <c r="O133" s="601"/>
      <c r="P133" s="601"/>
      <c r="Q133" s="601"/>
      <c r="R133" s="601"/>
      <c r="S133" s="601"/>
      <c r="T133" s="601"/>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3200058.17</v>
      </c>
      <c r="I135" s="94">
        <f>ROUND(IF(E30=0,0,IF(E30&gt;250,-(((250/E30)*H135)*IF(G135="H",0.02,0.05)),IF(G135="H",-0.02*H135,-0.05*H135))),2)</f>
        <v>-98424.56</v>
      </c>
      <c r="N135" s="626"/>
      <c r="O135" s="626"/>
      <c r="P135" s="626"/>
      <c r="Q135" s="626"/>
      <c r="R135" s="626"/>
      <c r="S135" s="626"/>
      <c r="T135" s="626"/>
      <c r="U135" s="626"/>
    </row>
    <row r="136" spans="1:21" x14ac:dyDescent="0.25">
      <c r="B136" s="69"/>
      <c r="C136" s="69"/>
      <c r="D136" s="69"/>
      <c r="E136" s="69"/>
      <c r="F136" s="69"/>
      <c r="G136" s="69"/>
      <c r="H136" s="65"/>
      <c r="I136" s="101"/>
      <c r="N136" s="624" t="s">
        <v>7</v>
      </c>
      <c r="O136" s="624"/>
      <c r="P136" s="624"/>
      <c r="Q136" s="624"/>
      <c r="R136" s="624"/>
      <c r="S136" s="624"/>
      <c r="T136" s="624"/>
      <c r="U136" s="624"/>
    </row>
    <row r="137" spans="1:21" x14ac:dyDescent="0.25">
      <c r="A137" s="309" t="s">
        <v>74</v>
      </c>
      <c r="B137" s="310"/>
      <c r="C137" s="310"/>
      <c r="D137" s="310"/>
      <c r="E137" s="310"/>
      <c r="F137" s="310"/>
      <c r="G137" s="310"/>
      <c r="H137" s="311"/>
      <c r="I137" s="312">
        <f>I128+I135</f>
        <v>3234092.6</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Payments'!Q88</f>
        <v>0</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3234092.6</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269507.71999999997</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61578.35</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372</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373</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374</v>
      </c>
      <c r="B155" s="252"/>
      <c r="C155" s="252"/>
      <c r="D155" s="252"/>
      <c r="E155" s="252"/>
      <c r="F155" s="252"/>
      <c r="G155" s="252"/>
      <c r="H155" s="252"/>
      <c r="I155" s="252"/>
      <c r="N155" s="625"/>
      <c r="O155" s="625"/>
      <c r="P155" s="625"/>
      <c r="Q155" s="625"/>
      <c r="R155" s="625"/>
      <c r="S155" s="625"/>
      <c r="T155" s="625"/>
      <c r="U155" s="625"/>
    </row>
    <row r="156" spans="1:21" s="76" customFormat="1" x14ac:dyDescent="0.2">
      <c r="A156" s="320" t="s">
        <v>375</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376</v>
      </c>
      <c r="B157" s="252"/>
      <c r="C157" s="252"/>
      <c r="D157" s="252"/>
      <c r="E157" s="252"/>
      <c r="F157" s="252"/>
      <c r="G157" s="252"/>
      <c r="H157" s="252"/>
      <c r="I157" s="252"/>
      <c r="N157" s="78"/>
      <c r="O157" s="79"/>
      <c r="P157" s="79"/>
      <c r="Q157" s="79"/>
      <c r="R157" s="79"/>
      <c r="S157" s="79"/>
      <c r="T157" s="79"/>
      <c r="U157" s="79"/>
    </row>
    <row r="158" spans="1:21" s="76" customFormat="1" x14ac:dyDescent="0.2">
      <c r="A158" s="320" t="s">
        <v>377</v>
      </c>
      <c r="B158" s="252"/>
      <c r="C158" s="252"/>
      <c r="D158" s="252"/>
      <c r="E158" s="252"/>
      <c r="F158" s="252"/>
      <c r="G158" s="252"/>
      <c r="H158" s="252"/>
      <c r="I158" s="252"/>
      <c r="N158" s="78"/>
    </row>
    <row r="159" spans="1:21" s="76" customFormat="1" x14ac:dyDescent="0.2">
      <c r="A159" s="320" t="s">
        <v>379</v>
      </c>
      <c r="B159" s="252"/>
      <c r="C159" s="252"/>
      <c r="D159" s="252"/>
      <c r="E159" s="252"/>
      <c r="F159" s="252"/>
      <c r="G159" s="252"/>
      <c r="H159" s="252"/>
      <c r="I159" s="252"/>
      <c r="N159" s="78"/>
    </row>
    <row r="160" spans="1:21" s="76" customFormat="1" x14ac:dyDescent="0.2">
      <c r="A160" s="385" t="s">
        <v>378</v>
      </c>
      <c r="B160" s="252"/>
      <c r="C160" s="252"/>
      <c r="D160" s="252"/>
      <c r="E160" s="252"/>
      <c r="F160" s="252"/>
      <c r="G160" s="252"/>
      <c r="H160" s="252"/>
      <c r="I160" s="252"/>
      <c r="N160" s="78"/>
    </row>
    <row r="161" spans="1:14" s="76" customFormat="1" x14ac:dyDescent="0.2">
      <c r="A161" s="320" t="s">
        <v>380</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383</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385</v>
      </c>
      <c r="B165" s="293"/>
      <c r="C165" s="293"/>
      <c r="D165" s="293"/>
      <c r="E165" s="293"/>
      <c r="F165" s="293"/>
      <c r="G165" s="293"/>
      <c r="H165" s="293"/>
      <c r="I165" s="293"/>
      <c r="N165" s="78"/>
    </row>
    <row r="166" spans="1:14" s="76" customFormat="1" ht="15.75" customHeight="1" x14ac:dyDescent="0.2">
      <c r="A166" s="351" t="s">
        <v>384</v>
      </c>
      <c r="B166" s="293"/>
      <c r="C166" s="293"/>
      <c r="D166" s="293"/>
      <c r="E166" s="293"/>
      <c r="F166" s="293"/>
      <c r="G166" s="293"/>
      <c r="H166" s="293"/>
      <c r="I166" s="293"/>
      <c r="N166" s="78"/>
    </row>
    <row r="167" spans="1:14" s="76" customFormat="1" ht="15.75" customHeight="1" x14ac:dyDescent="0.2">
      <c r="A167" s="320" t="s">
        <v>386</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388</v>
      </c>
      <c r="B169" s="343"/>
      <c r="C169" s="343"/>
      <c r="D169" s="343"/>
      <c r="E169" s="343"/>
      <c r="F169" s="343"/>
      <c r="G169" s="343"/>
      <c r="H169" s="343"/>
      <c r="I169" s="343"/>
      <c r="N169" s="78"/>
    </row>
    <row r="170" spans="1:14" s="76" customFormat="1" ht="15.75" customHeight="1" x14ac:dyDescent="0.2">
      <c r="A170" s="351" t="s">
        <v>387</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389</v>
      </c>
      <c r="B175" s="293"/>
      <c r="C175" s="293"/>
      <c r="D175" s="293"/>
      <c r="E175" s="293"/>
      <c r="F175" s="293"/>
      <c r="G175" s="293"/>
      <c r="H175" s="293"/>
      <c r="I175" s="293"/>
      <c r="J175" s="3"/>
      <c r="K175" s="3"/>
      <c r="L175" s="3"/>
      <c r="M175" s="3"/>
      <c r="N175" s="78"/>
    </row>
    <row r="176" spans="1:14" s="76" customFormat="1" ht="15.75" customHeight="1" x14ac:dyDescent="0.2">
      <c r="A176" s="361" t="s">
        <v>390</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1">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6" t="s">
        <v>15</v>
      </c>
      <c r="C1" s="567"/>
      <c r="D1" s="567"/>
      <c r="E1" s="567"/>
      <c r="F1" s="567"/>
      <c r="G1" s="567"/>
      <c r="H1" s="567"/>
      <c r="I1" s="567"/>
      <c r="J1" s="135"/>
      <c r="K1" s="135"/>
      <c r="L1" s="135"/>
      <c r="N1" s="82">
        <f>A1</f>
        <v>0</v>
      </c>
      <c r="O1" s="658" t="s">
        <v>15</v>
      </c>
      <c r="P1" s="659"/>
      <c r="Q1" s="659"/>
      <c r="R1" s="659"/>
      <c r="S1" s="659"/>
      <c r="T1" s="659"/>
      <c r="U1" s="659"/>
    </row>
    <row r="2" spans="1:21" ht="21" x14ac:dyDescent="0.35">
      <c r="A2" s="1" t="s">
        <v>125</v>
      </c>
      <c r="B2" s="2"/>
      <c r="C2" s="2"/>
      <c r="D2" s="2"/>
      <c r="E2" s="2"/>
      <c r="F2" s="2"/>
      <c r="G2" s="2"/>
      <c r="H2" s="2"/>
      <c r="I2" s="2"/>
      <c r="N2" s="660" t="s">
        <v>18</v>
      </c>
      <c r="O2" s="660"/>
      <c r="P2" s="660"/>
      <c r="Q2" s="660"/>
      <c r="R2" s="660"/>
      <c r="S2" s="660"/>
      <c r="T2" s="660"/>
      <c r="U2" s="660"/>
    </row>
    <row r="3" spans="1:21" x14ac:dyDescent="0.25">
      <c r="A3" s="81" t="str">
        <f>'1461'!A3</f>
        <v>Based on the FLDOE 2024-25 Conference Calculation</v>
      </c>
      <c r="N3" s="627" t="str">
        <f>A3</f>
        <v>Based on the FLDOE 2024-25 Conference Calculation</v>
      </c>
      <c r="O3" s="627"/>
      <c r="P3" s="627"/>
      <c r="Q3" s="627"/>
      <c r="R3" s="627"/>
      <c r="S3" s="627"/>
      <c r="T3" s="627"/>
      <c r="U3" s="627"/>
    </row>
    <row r="4" spans="1:21" x14ac:dyDescent="0.25">
      <c r="A4" s="568" t="s">
        <v>0</v>
      </c>
      <c r="B4" s="568"/>
      <c r="C4" s="569" t="s">
        <v>9</v>
      </c>
      <c r="D4" s="569"/>
      <c r="E4" s="569"/>
      <c r="F4" s="4" t="str">
        <f>'1461'!F4</f>
        <v>July 2024</v>
      </c>
      <c r="G4" s="4"/>
      <c r="H4" s="4"/>
      <c r="I4" s="4"/>
      <c r="N4" s="661" t="s">
        <v>0</v>
      </c>
      <c r="O4" s="661"/>
      <c r="P4" s="662" t="str">
        <f>C4</f>
        <v>Palm Beach</v>
      </c>
      <c r="Q4" s="662"/>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70" t="s">
        <v>433</v>
      </c>
      <c r="B7" s="664"/>
      <c r="C7" s="664"/>
      <c r="D7" s="664"/>
      <c r="E7" s="664"/>
      <c r="F7" s="664"/>
      <c r="G7" s="664"/>
      <c r="H7" s="664"/>
      <c r="I7" s="664"/>
      <c r="N7" s="661" t="str">
        <f>A7</f>
        <v>1A.   2023-24 FEFP State and Local Funding</v>
      </c>
      <c r="O7" s="661"/>
      <c r="P7" s="661"/>
      <c r="Q7" s="661"/>
      <c r="R7" s="661"/>
      <c r="S7" s="661"/>
      <c r="T7" s="661"/>
      <c r="U7" s="661"/>
    </row>
    <row r="8" spans="1:21" x14ac:dyDescent="0.25">
      <c r="A8" s="84"/>
      <c r="B8" s="85" t="s">
        <v>92</v>
      </c>
      <c r="C8" s="299">
        <f>'1461'!C8</f>
        <v>5330.98</v>
      </c>
      <c r="D8" s="86"/>
      <c r="E8" s="87"/>
      <c r="F8" s="84"/>
      <c r="G8" s="85" t="s">
        <v>393</v>
      </c>
      <c r="H8" s="287">
        <f>'1461'!H8</f>
        <v>1.0407999999999999</v>
      </c>
      <c r="I8" s="75"/>
      <c r="N8" s="665" t="s">
        <v>10</v>
      </c>
      <c r="O8" s="665"/>
      <c r="P8" s="666">
        <f>C8</f>
        <v>5330.98</v>
      </c>
      <c r="Q8" s="666"/>
      <c r="R8" s="648" t="s">
        <v>394</v>
      </c>
      <c r="S8" s="649"/>
      <c r="T8" s="650">
        <f>H8</f>
        <v>1.0407999999999999</v>
      </c>
      <c r="U8" s="650"/>
    </row>
    <row r="9" spans="1:21" x14ac:dyDescent="0.25">
      <c r="A9" s="84"/>
      <c r="B9" s="85"/>
      <c r="C9" s="222"/>
      <c r="D9" s="86"/>
      <c r="E9" s="87"/>
      <c r="F9" s="84"/>
      <c r="G9" s="85" t="s">
        <v>391</v>
      </c>
      <c r="H9" s="287">
        <f>'1461'!H9</f>
        <v>1</v>
      </c>
      <c r="I9" s="75"/>
      <c r="N9" s="12"/>
      <c r="O9" s="12"/>
      <c r="P9" s="13"/>
      <c r="Q9" s="13"/>
      <c r="R9" s="387" t="s">
        <v>392</v>
      </c>
      <c r="S9" s="384"/>
      <c r="T9" s="650">
        <f>H9</f>
        <v>1</v>
      </c>
      <c r="U9" s="650"/>
    </row>
    <row r="10" spans="1:21" x14ac:dyDescent="0.25">
      <c r="A10" s="7"/>
      <c r="B10" s="42" t="s">
        <v>310</v>
      </c>
      <c r="C10" s="456" t="str">
        <f>'1461'!C10</f>
        <v xml:space="preserve"> </v>
      </c>
      <c r="D10" s="88" t="str">
        <f>'1461'!D10</f>
        <v xml:space="preserve"> </v>
      </c>
      <c r="E10" s="8"/>
      <c r="F10" s="9"/>
      <c r="G10" s="9"/>
      <c r="H10" s="10"/>
      <c r="I10" s="305" t="str">
        <f>'1461'!I10</f>
        <v>2024-25</v>
      </c>
      <c r="N10" s="12"/>
      <c r="O10" s="12"/>
      <c r="P10" s="13"/>
      <c r="Q10" s="13"/>
      <c r="R10" s="14"/>
      <c r="S10" s="14"/>
      <c r="T10" s="15"/>
      <c r="U10" s="366" t="str">
        <f>I10</f>
        <v>2024-25</v>
      </c>
    </row>
    <row r="11" spans="1:21" x14ac:dyDescent="0.25">
      <c r="A11" s="7"/>
      <c r="B11" s="7"/>
      <c r="C11" s="88" t="str">
        <f>'1461'!C11</f>
        <v>Oct 2023</v>
      </c>
      <c r="D11" s="333" t="str">
        <f>'1461'!D11</f>
        <v>Feb 2024</v>
      </c>
      <c r="E11" s="89" t="s">
        <v>8</v>
      </c>
      <c r="F11" s="571" t="s">
        <v>1</v>
      </c>
      <c r="G11" s="571"/>
      <c r="H11" s="10" t="s">
        <v>60</v>
      </c>
      <c r="I11" s="11" t="s">
        <v>27</v>
      </c>
      <c r="N11" s="12"/>
      <c r="O11" s="12"/>
      <c r="P11" s="13"/>
      <c r="Q11" s="13"/>
      <c r="R11" s="651" t="s">
        <v>1</v>
      </c>
      <c r="S11" s="651"/>
      <c r="T11" s="15" t="s">
        <v>60</v>
      </c>
      <c r="U11" s="16" t="s">
        <v>27</v>
      </c>
    </row>
    <row r="12" spans="1:21" ht="15.75" customHeight="1" x14ac:dyDescent="0.25">
      <c r="A12" s="572" t="s">
        <v>1</v>
      </c>
      <c r="B12" s="572"/>
      <c r="C12" s="324" t="str">
        <f>'1461'!C12</f>
        <v>FTE</v>
      </c>
      <c r="D12" s="324" t="str">
        <f>'1461'!D12</f>
        <v>FTE</v>
      </c>
      <c r="E12" s="324" t="s">
        <v>2</v>
      </c>
      <c r="F12" s="573" t="s">
        <v>63</v>
      </c>
      <c r="G12" s="573"/>
      <c r="H12" s="17" t="s">
        <v>59</v>
      </c>
      <c r="I12" s="388" t="s">
        <v>395</v>
      </c>
      <c r="N12" s="639" t="s">
        <v>1</v>
      </c>
      <c r="O12" s="639"/>
      <c r="P12" s="652" t="s">
        <v>19</v>
      </c>
      <c r="Q12" s="652"/>
      <c r="R12" s="653" t="s">
        <v>63</v>
      </c>
      <c r="S12" s="653"/>
      <c r="T12" s="18" t="s">
        <v>59</v>
      </c>
      <c r="U12" s="19" t="str">
        <f>I12</f>
        <v>(WFTE x BSA x CWF x SDF)</v>
      </c>
    </row>
    <row r="13" spans="1:21" x14ac:dyDescent="0.25">
      <c r="A13" s="574" t="s">
        <v>36</v>
      </c>
      <c r="B13" s="574"/>
      <c r="C13" s="91"/>
      <c r="D13" s="91"/>
      <c r="E13" s="92" t="s">
        <v>37</v>
      </c>
      <c r="F13" s="575" t="s">
        <v>38</v>
      </c>
      <c r="G13" s="575"/>
      <c r="H13" s="20" t="s">
        <v>39</v>
      </c>
      <c r="I13" s="21" t="s">
        <v>40</v>
      </c>
      <c r="N13" s="654" t="s">
        <v>36</v>
      </c>
      <c r="O13" s="654"/>
      <c r="P13" s="655" t="s">
        <v>37</v>
      </c>
      <c r="Q13" s="655"/>
      <c r="R13" s="656" t="s">
        <v>38</v>
      </c>
      <c r="S13" s="656"/>
      <c r="T13" s="22" t="s">
        <v>39</v>
      </c>
      <c r="U13" s="23" t="s">
        <v>40</v>
      </c>
    </row>
    <row r="14" spans="1:21" x14ac:dyDescent="0.25">
      <c r="A14" s="576" t="s">
        <v>20</v>
      </c>
      <c r="B14" s="576"/>
      <c r="C14" s="143">
        <v>192.02</v>
      </c>
      <c r="D14" s="141">
        <v>185.29</v>
      </c>
      <c r="E14" s="187">
        <f>IF(D$30=0,C14*2,C14+D14)</f>
        <v>377.31</v>
      </c>
      <c r="F14" s="667">
        <f>'1461'!F14:G14</f>
        <v>1.1180000000000001</v>
      </c>
      <c r="G14" s="667"/>
      <c r="H14" s="145">
        <f>ROUND(E14*F14,4)</f>
        <v>421.83260000000001</v>
      </c>
      <c r="I14" s="111">
        <f>ROUND(ROUND(ROUND(H14*$C$8,4)*($H$8),2)*(MAX($H$9,1)),2)</f>
        <v>2340531.42</v>
      </c>
      <c r="N14" s="641" t="s">
        <v>20</v>
      </c>
      <c r="O14" s="641"/>
      <c r="P14" s="642">
        <f t="shared" ref="P14:P29" si="0">IF($H$133=1,E14,0)</f>
        <v>0</v>
      </c>
      <c r="Q14" s="642"/>
      <c r="R14" s="657">
        <v>1</v>
      </c>
      <c r="S14" s="657"/>
      <c r="T14" s="95">
        <f>ROUND(P14*R14,4)</f>
        <v>0</v>
      </c>
      <c r="U14" s="473">
        <f>ROUND(ROUND(ROUND(T14*$C$8,4)*($H$8),2)*(MAX($H$9,1)),2)</f>
        <v>0</v>
      </c>
    </row>
    <row r="15" spans="1:21" x14ac:dyDescent="0.25">
      <c r="A15" s="578" t="s">
        <v>21</v>
      </c>
      <c r="B15" s="578"/>
      <c r="C15" s="143">
        <v>29.5</v>
      </c>
      <c r="D15" s="143">
        <v>32.9</v>
      </c>
      <c r="E15" s="116">
        <f t="shared" ref="E15:E29" si="1">IF(D$30=0,C15*2,C15+D15)</f>
        <v>62.4</v>
      </c>
      <c r="F15" s="663">
        <f>'1461'!F15:G15</f>
        <v>1.1180000000000001</v>
      </c>
      <c r="G15" s="663"/>
      <c r="H15" s="80">
        <f t="shared" ref="H15:H29" si="2">ROUND(E15*F15,4)</f>
        <v>69.763199999999998</v>
      </c>
      <c r="I15" s="101">
        <f t="shared" ref="I15:I29" si="3">ROUND(ROUND(ROUND(H15*$C$8,4)*($H$8),2)*(MAX($H$9,1)),2)</f>
        <v>387080</v>
      </c>
      <c r="J15" s="65" t="str">
        <f>IF(ROUND(E15,2)=ROUND(SUM(E57:E59),2)," ","CHECK PK-3 LINES BELOW")</f>
        <v xml:space="preserve"> </v>
      </c>
      <c r="N15" s="601" t="s">
        <v>21</v>
      </c>
      <c r="O15" s="601"/>
      <c r="P15" s="642">
        <f t="shared" si="0"/>
        <v>0</v>
      </c>
      <c r="Q15" s="642"/>
      <c r="R15" s="647">
        <v>1</v>
      </c>
      <c r="S15" s="647"/>
      <c r="T15" s="95">
        <f t="shared" ref="T15:T29" si="4">ROUND(P15*R15,4)</f>
        <v>0</v>
      </c>
      <c r="U15" s="473">
        <f t="shared" ref="U15:U29" si="5">ROUND(ROUND(ROUND(T15*$C$8,4)*($H$8),2)*(MAX($H$9,1)),2)</f>
        <v>0</v>
      </c>
    </row>
    <row r="16" spans="1:21" x14ac:dyDescent="0.25">
      <c r="A16" s="578" t="s">
        <v>22</v>
      </c>
      <c r="B16" s="578"/>
      <c r="C16" s="143">
        <v>220.73</v>
      </c>
      <c r="D16" s="143">
        <v>215.58</v>
      </c>
      <c r="E16" s="116">
        <f t="shared" si="1"/>
        <v>436.31</v>
      </c>
      <c r="F16" s="663">
        <f>'1461'!F16:G16</f>
        <v>1</v>
      </c>
      <c r="G16" s="663"/>
      <c r="H16" s="80">
        <f t="shared" si="2"/>
        <v>436.31</v>
      </c>
      <c r="I16" s="101">
        <f t="shared" si="3"/>
        <v>2420859.0499999998</v>
      </c>
      <c r="N16" s="601" t="s">
        <v>22</v>
      </c>
      <c r="O16" s="601"/>
      <c r="P16" s="642">
        <f t="shared" si="0"/>
        <v>0</v>
      </c>
      <c r="Q16" s="642"/>
      <c r="R16" s="647">
        <v>1</v>
      </c>
      <c r="S16" s="647"/>
      <c r="T16" s="95">
        <f t="shared" si="4"/>
        <v>0</v>
      </c>
      <c r="U16" s="473">
        <f t="shared" si="5"/>
        <v>0</v>
      </c>
    </row>
    <row r="17" spans="1:21" x14ac:dyDescent="0.25">
      <c r="A17" s="578" t="s">
        <v>23</v>
      </c>
      <c r="B17" s="578"/>
      <c r="C17" s="143">
        <v>32</v>
      </c>
      <c r="D17" s="143">
        <v>28.48</v>
      </c>
      <c r="E17" s="116">
        <f t="shared" si="1"/>
        <v>60.480000000000004</v>
      </c>
      <c r="F17" s="663">
        <f>'1461'!F17:G17</f>
        <v>1</v>
      </c>
      <c r="G17" s="663"/>
      <c r="H17" s="80">
        <f t="shared" si="2"/>
        <v>60.48</v>
      </c>
      <c r="I17" s="101">
        <f t="shared" si="3"/>
        <v>335572.31</v>
      </c>
      <c r="J17" s="65" t="str">
        <f>IF(ROUND(E17,2)=ROUND(SUM(E60:E62),2)," ","CHECK 4-8 LINES BELOW")</f>
        <v xml:space="preserve"> </v>
      </c>
      <c r="N17" s="601" t="s">
        <v>23</v>
      </c>
      <c r="O17" s="601"/>
      <c r="P17" s="642">
        <f t="shared" si="0"/>
        <v>0</v>
      </c>
      <c r="Q17" s="642"/>
      <c r="R17" s="647">
        <v>1</v>
      </c>
      <c r="S17" s="647"/>
      <c r="T17" s="95">
        <f t="shared" si="4"/>
        <v>0</v>
      </c>
      <c r="U17" s="473">
        <f t="shared" si="5"/>
        <v>0</v>
      </c>
    </row>
    <row r="18" spans="1:21" x14ac:dyDescent="0.25">
      <c r="A18" s="578" t="s">
        <v>24</v>
      </c>
      <c r="B18" s="578"/>
      <c r="C18" s="143">
        <v>0</v>
      </c>
      <c r="D18" s="143">
        <v>0</v>
      </c>
      <c r="E18" s="116">
        <f t="shared" si="1"/>
        <v>0</v>
      </c>
      <c r="F18" s="663">
        <f>'1461'!F18:G18</f>
        <v>0.97799999999999998</v>
      </c>
      <c r="G18" s="663"/>
      <c r="H18" s="80">
        <f t="shared" si="2"/>
        <v>0</v>
      </c>
      <c r="I18" s="101">
        <f t="shared" si="3"/>
        <v>0</v>
      </c>
      <c r="N18" s="601" t="s">
        <v>24</v>
      </c>
      <c r="O18" s="601"/>
      <c r="P18" s="642">
        <f t="shared" si="0"/>
        <v>0</v>
      </c>
      <c r="Q18" s="642"/>
      <c r="R18" s="647">
        <v>1</v>
      </c>
      <c r="S18" s="647"/>
      <c r="T18" s="95">
        <f t="shared" si="4"/>
        <v>0</v>
      </c>
      <c r="U18" s="473">
        <f t="shared" si="5"/>
        <v>0</v>
      </c>
    </row>
    <row r="19" spans="1:21" x14ac:dyDescent="0.25">
      <c r="A19" s="578" t="s">
        <v>25</v>
      </c>
      <c r="B19" s="578"/>
      <c r="C19" s="143">
        <v>0</v>
      </c>
      <c r="D19" s="143">
        <v>0</v>
      </c>
      <c r="E19" s="116">
        <f t="shared" si="1"/>
        <v>0</v>
      </c>
      <c r="F19" s="663">
        <f>'1461'!F19:G19</f>
        <v>0.97799999999999998</v>
      </c>
      <c r="G19" s="663"/>
      <c r="H19" s="80">
        <f t="shared" si="2"/>
        <v>0</v>
      </c>
      <c r="I19" s="101">
        <f t="shared" si="3"/>
        <v>0</v>
      </c>
      <c r="J19" s="65" t="str">
        <f>IF(ROUND(E19,2)=ROUND(SUM(E63:E65),2)," ","CHECK 4-8 LINES BELOW")</f>
        <v xml:space="preserve"> </v>
      </c>
      <c r="N19" s="601" t="s">
        <v>25</v>
      </c>
      <c r="O19" s="601"/>
      <c r="P19" s="642">
        <f t="shared" si="0"/>
        <v>0</v>
      </c>
      <c r="Q19" s="642"/>
      <c r="R19" s="647">
        <v>1</v>
      </c>
      <c r="S19" s="647"/>
      <c r="T19" s="95">
        <f t="shared" si="4"/>
        <v>0</v>
      </c>
      <c r="U19" s="472">
        <f t="shared" si="5"/>
        <v>0</v>
      </c>
    </row>
    <row r="20" spans="1:21" x14ac:dyDescent="0.25">
      <c r="A20" s="578" t="s">
        <v>79</v>
      </c>
      <c r="B20" s="578"/>
      <c r="C20" s="143">
        <v>0</v>
      </c>
      <c r="D20" s="143">
        <v>0</v>
      </c>
      <c r="E20" s="116">
        <f t="shared" si="1"/>
        <v>0</v>
      </c>
      <c r="F20" s="663">
        <f>'1461'!F20:G20</f>
        <v>3.6970000000000001</v>
      </c>
      <c r="G20" s="663"/>
      <c r="H20" s="80">
        <f t="shared" si="2"/>
        <v>0</v>
      </c>
      <c r="I20" s="101">
        <f t="shared" si="3"/>
        <v>0</v>
      </c>
      <c r="N20" s="601" t="s">
        <v>79</v>
      </c>
      <c r="O20" s="601"/>
      <c r="P20" s="642">
        <f t="shared" si="0"/>
        <v>0</v>
      </c>
      <c r="Q20" s="642"/>
      <c r="R20" s="647">
        <v>1</v>
      </c>
      <c r="S20" s="647"/>
      <c r="T20" s="95">
        <f t="shared" si="4"/>
        <v>0</v>
      </c>
      <c r="U20" s="473">
        <f t="shared" si="5"/>
        <v>0</v>
      </c>
    </row>
    <row r="21" spans="1:21" x14ac:dyDescent="0.25">
      <c r="A21" s="578" t="s">
        <v>80</v>
      </c>
      <c r="B21" s="578"/>
      <c r="C21" s="143">
        <v>0</v>
      </c>
      <c r="D21" s="143">
        <v>0</v>
      </c>
      <c r="E21" s="116">
        <f t="shared" si="1"/>
        <v>0</v>
      </c>
      <c r="F21" s="663">
        <f>'1461'!F21:G21</f>
        <v>3.6970000000000001</v>
      </c>
      <c r="G21" s="663"/>
      <c r="H21" s="80">
        <f t="shared" si="2"/>
        <v>0</v>
      </c>
      <c r="I21" s="101">
        <f t="shared" si="3"/>
        <v>0</v>
      </c>
      <c r="N21" s="601" t="s">
        <v>80</v>
      </c>
      <c r="O21" s="601"/>
      <c r="P21" s="642">
        <f t="shared" si="0"/>
        <v>0</v>
      </c>
      <c r="Q21" s="642"/>
      <c r="R21" s="647">
        <v>1</v>
      </c>
      <c r="S21" s="647"/>
      <c r="T21" s="95">
        <f t="shared" si="4"/>
        <v>0</v>
      </c>
      <c r="U21" s="473">
        <f t="shared" si="5"/>
        <v>0</v>
      </c>
    </row>
    <row r="22" spans="1:21" x14ac:dyDescent="0.25">
      <c r="A22" s="578" t="s">
        <v>81</v>
      </c>
      <c r="B22" s="578"/>
      <c r="C22" s="143">
        <v>0</v>
      </c>
      <c r="D22" s="143">
        <v>0</v>
      </c>
      <c r="E22" s="116">
        <f t="shared" si="1"/>
        <v>0</v>
      </c>
      <c r="F22" s="663">
        <f>'1461'!F22:G22</f>
        <v>3.6970000000000001</v>
      </c>
      <c r="G22" s="663"/>
      <c r="H22" s="80">
        <f t="shared" si="2"/>
        <v>0</v>
      </c>
      <c r="I22" s="101">
        <f t="shared" si="3"/>
        <v>0</v>
      </c>
      <c r="N22" s="601" t="s">
        <v>81</v>
      </c>
      <c r="O22" s="601"/>
      <c r="P22" s="642">
        <f t="shared" si="0"/>
        <v>0</v>
      </c>
      <c r="Q22" s="642"/>
      <c r="R22" s="647">
        <v>1</v>
      </c>
      <c r="S22" s="647"/>
      <c r="T22" s="95">
        <f t="shared" si="4"/>
        <v>0</v>
      </c>
      <c r="U22" s="473">
        <f t="shared" si="5"/>
        <v>0</v>
      </c>
    </row>
    <row r="23" spans="1:21" x14ac:dyDescent="0.25">
      <c r="A23" s="578" t="s">
        <v>82</v>
      </c>
      <c r="B23" s="578"/>
      <c r="C23" s="143">
        <v>0</v>
      </c>
      <c r="D23" s="143">
        <v>0</v>
      </c>
      <c r="E23" s="116">
        <f t="shared" si="1"/>
        <v>0</v>
      </c>
      <c r="F23" s="663">
        <f>'1461'!F23:G23</f>
        <v>5.992</v>
      </c>
      <c r="G23" s="663"/>
      <c r="H23" s="80">
        <f t="shared" si="2"/>
        <v>0</v>
      </c>
      <c r="I23" s="101">
        <f t="shared" si="3"/>
        <v>0</v>
      </c>
      <c r="N23" s="601" t="s">
        <v>82</v>
      </c>
      <c r="O23" s="601"/>
      <c r="P23" s="642">
        <f t="shared" si="0"/>
        <v>0</v>
      </c>
      <c r="Q23" s="642"/>
      <c r="R23" s="647">
        <v>1</v>
      </c>
      <c r="S23" s="647"/>
      <c r="T23" s="95">
        <f t="shared" si="4"/>
        <v>0</v>
      </c>
      <c r="U23" s="473">
        <f t="shared" si="5"/>
        <v>0</v>
      </c>
    </row>
    <row r="24" spans="1:21" x14ac:dyDescent="0.25">
      <c r="A24" s="578" t="s">
        <v>83</v>
      </c>
      <c r="B24" s="578"/>
      <c r="C24" s="143">
        <v>0</v>
      </c>
      <c r="D24" s="143">
        <v>0</v>
      </c>
      <c r="E24" s="116">
        <f t="shared" si="1"/>
        <v>0</v>
      </c>
      <c r="F24" s="663">
        <f>'1461'!F24:G24</f>
        <v>5.992</v>
      </c>
      <c r="G24" s="663"/>
      <c r="H24" s="80">
        <f t="shared" si="2"/>
        <v>0</v>
      </c>
      <c r="I24" s="101">
        <f t="shared" si="3"/>
        <v>0</v>
      </c>
      <c r="N24" s="601" t="s">
        <v>83</v>
      </c>
      <c r="O24" s="601"/>
      <c r="P24" s="642">
        <f t="shared" si="0"/>
        <v>0</v>
      </c>
      <c r="Q24" s="642"/>
      <c r="R24" s="647">
        <v>1</v>
      </c>
      <c r="S24" s="647"/>
      <c r="T24" s="95">
        <f t="shared" si="4"/>
        <v>0</v>
      </c>
      <c r="U24" s="473">
        <f t="shared" si="5"/>
        <v>0</v>
      </c>
    </row>
    <row r="25" spans="1:21" x14ac:dyDescent="0.25">
      <c r="A25" s="578" t="s">
        <v>84</v>
      </c>
      <c r="B25" s="578"/>
      <c r="C25" s="143">
        <v>0</v>
      </c>
      <c r="D25" s="143">
        <v>0</v>
      </c>
      <c r="E25" s="116">
        <f t="shared" si="1"/>
        <v>0</v>
      </c>
      <c r="F25" s="663">
        <f>'1461'!F25:G25</f>
        <v>5.992</v>
      </c>
      <c r="G25" s="663"/>
      <c r="H25" s="80">
        <f t="shared" si="2"/>
        <v>0</v>
      </c>
      <c r="I25" s="101">
        <f t="shared" si="3"/>
        <v>0</v>
      </c>
      <c r="N25" s="601" t="s">
        <v>84</v>
      </c>
      <c r="O25" s="601"/>
      <c r="P25" s="642">
        <f t="shared" si="0"/>
        <v>0</v>
      </c>
      <c r="Q25" s="642"/>
      <c r="R25" s="647">
        <v>1</v>
      </c>
      <c r="S25" s="647"/>
      <c r="T25" s="95">
        <f t="shared" si="4"/>
        <v>0</v>
      </c>
      <c r="U25" s="473">
        <f t="shared" si="5"/>
        <v>0</v>
      </c>
    </row>
    <row r="26" spans="1:21" x14ac:dyDescent="0.25">
      <c r="A26" s="578" t="s">
        <v>85</v>
      </c>
      <c r="B26" s="578"/>
      <c r="C26" s="143">
        <v>18.48</v>
      </c>
      <c r="D26" s="143">
        <v>19.36</v>
      </c>
      <c r="E26" s="116">
        <f t="shared" si="1"/>
        <v>37.840000000000003</v>
      </c>
      <c r="F26" s="663">
        <f>'1461'!F26:G26</f>
        <v>1.1919999999999999</v>
      </c>
      <c r="G26" s="663"/>
      <c r="H26" s="80">
        <f t="shared" si="2"/>
        <v>45.1053</v>
      </c>
      <c r="I26" s="101">
        <f t="shared" si="3"/>
        <v>250266.03</v>
      </c>
      <c r="N26" s="601" t="s">
        <v>85</v>
      </c>
      <c r="O26" s="601"/>
      <c r="P26" s="642">
        <f t="shared" si="0"/>
        <v>0</v>
      </c>
      <c r="Q26" s="642"/>
      <c r="R26" s="647">
        <v>1</v>
      </c>
      <c r="S26" s="647"/>
      <c r="T26" s="95">
        <f t="shared" si="4"/>
        <v>0</v>
      </c>
      <c r="U26" s="473">
        <f t="shared" si="5"/>
        <v>0</v>
      </c>
    </row>
    <row r="27" spans="1:21" x14ac:dyDescent="0.25">
      <c r="A27" s="578" t="s">
        <v>86</v>
      </c>
      <c r="B27" s="578"/>
      <c r="C27" s="143">
        <v>4.3499999999999996</v>
      </c>
      <c r="D27" s="143">
        <v>5.86</v>
      </c>
      <c r="E27" s="116">
        <f t="shared" si="1"/>
        <v>10.210000000000001</v>
      </c>
      <c r="F27" s="663">
        <f>'1461'!F27:G27</f>
        <v>1.1919999999999999</v>
      </c>
      <c r="G27" s="663"/>
      <c r="H27" s="80">
        <f t="shared" si="2"/>
        <v>12.170299999999999</v>
      </c>
      <c r="I27" s="101">
        <f t="shared" si="3"/>
        <v>67526.710000000006</v>
      </c>
      <c r="N27" s="601" t="s">
        <v>86</v>
      </c>
      <c r="O27" s="601"/>
      <c r="P27" s="642">
        <f t="shared" si="0"/>
        <v>0</v>
      </c>
      <c r="Q27" s="642"/>
      <c r="R27" s="647">
        <v>1</v>
      </c>
      <c r="S27" s="647"/>
      <c r="T27" s="95">
        <f t="shared" si="4"/>
        <v>0</v>
      </c>
      <c r="U27" s="473">
        <f t="shared" si="5"/>
        <v>0</v>
      </c>
    </row>
    <row r="28" spans="1:21" x14ac:dyDescent="0.25">
      <c r="A28" s="578" t="s">
        <v>87</v>
      </c>
      <c r="B28" s="578"/>
      <c r="C28" s="143">
        <v>0</v>
      </c>
      <c r="D28" s="143">
        <v>0</v>
      </c>
      <c r="E28" s="116">
        <f t="shared" si="1"/>
        <v>0</v>
      </c>
      <c r="F28" s="663">
        <f>'1461'!F28:G28</f>
        <v>1.1919999999999999</v>
      </c>
      <c r="G28" s="663"/>
      <c r="H28" s="80">
        <f t="shared" si="2"/>
        <v>0</v>
      </c>
      <c r="I28" s="101">
        <f t="shared" si="3"/>
        <v>0</v>
      </c>
      <c r="N28" s="601" t="s">
        <v>87</v>
      </c>
      <c r="O28" s="601"/>
      <c r="P28" s="642">
        <f t="shared" si="0"/>
        <v>0</v>
      </c>
      <c r="Q28" s="642"/>
      <c r="R28" s="647">
        <v>1</v>
      </c>
      <c r="S28" s="647"/>
      <c r="T28" s="95">
        <f t="shared" si="4"/>
        <v>0</v>
      </c>
      <c r="U28" s="473">
        <f t="shared" si="5"/>
        <v>0</v>
      </c>
    </row>
    <row r="29" spans="1:21" x14ac:dyDescent="0.25">
      <c r="A29" s="578" t="s">
        <v>88</v>
      </c>
      <c r="B29" s="578"/>
      <c r="C29" s="110">
        <v>0</v>
      </c>
      <c r="D29" s="110">
        <v>0</v>
      </c>
      <c r="E29" s="154">
        <f t="shared" si="1"/>
        <v>0</v>
      </c>
      <c r="F29" s="663">
        <f>'1461'!F29:G29</f>
        <v>1.079</v>
      </c>
      <c r="G29" s="663"/>
      <c r="H29" s="93">
        <f t="shared" si="2"/>
        <v>0</v>
      </c>
      <c r="I29" s="94">
        <f t="shared" si="3"/>
        <v>0</v>
      </c>
      <c r="N29" s="616" t="s">
        <v>88</v>
      </c>
      <c r="O29" s="616"/>
      <c r="P29" s="642">
        <f t="shared" si="0"/>
        <v>0</v>
      </c>
      <c r="Q29" s="642"/>
      <c r="R29" s="643">
        <v>1</v>
      </c>
      <c r="S29" s="643"/>
      <c r="T29" s="95">
        <f t="shared" si="4"/>
        <v>0</v>
      </c>
      <c r="U29" s="473">
        <f t="shared" si="5"/>
        <v>0</v>
      </c>
    </row>
    <row r="30" spans="1:21" x14ac:dyDescent="0.25">
      <c r="A30" s="590" t="s">
        <v>5</v>
      </c>
      <c r="B30" s="590"/>
      <c r="C30" s="94">
        <f>SUM(C14:C29)</f>
        <v>497.08000000000004</v>
      </c>
      <c r="D30" s="94">
        <f>SUM(D14:D29)</f>
        <v>487.47</v>
      </c>
      <c r="E30" s="94">
        <f>SUM(E14:E29)</f>
        <v>984.55000000000007</v>
      </c>
      <c r="F30" s="582"/>
      <c r="G30" s="582"/>
      <c r="H30" s="99">
        <f>SUM(H14:H29)</f>
        <v>1045.6614</v>
      </c>
      <c r="I30" s="94">
        <f>SUM(I14:I29)</f>
        <v>5801835.5199999996</v>
      </c>
      <c r="N30" s="644" t="s">
        <v>5</v>
      </c>
      <c r="O30" s="644"/>
      <c r="P30" s="645">
        <f>SUM(P14:P29)</f>
        <v>0</v>
      </c>
      <c r="Q30" s="645"/>
      <c r="R30" s="617"/>
      <c r="S30" s="617"/>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0" t="s">
        <v>233</v>
      </c>
      <c r="G34" s="670"/>
      <c r="H34" s="670"/>
      <c r="I34" s="101"/>
      <c r="N34" s="28"/>
      <c r="O34" s="28"/>
      <c r="P34" s="29"/>
      <c r="Q34" s="29"/>
      <c r="R34" s="30"/>
      <c r="S34" s="30"/>
      <c r="T34" s="102"/>
      <c r="U34" s="103"/>
    </row>
    <row r="35" spans="1:21" hidden="1" x14ac:dyDescent="0.25">
      <c r="A35" s="3"/>
      <c r="B35" s="69"/>
      <c r="C35" s="69"/>
      <c r="D35" s="69"/>
      <c r="E35" s="69"/>
      <c r="F35" s="670"/>
      <c r="G35" s="670"/>
      <c r="H35" s="670"/>
      <c r="I35" s="24" t="s">
        <v>61</v>
      </c>
      <c r="N35" s="627" t="s">
        <v>26</v>
      </c>
      <c r="O35" s="627"/>
      <c r="P35" s="627"/>
      <c r="Q35" s="627"/>
      <c r="R35" s="627"/>
      <c r="S35" s="627"/>
      <c r="T35" s="627"/>
      <c r="U35" s="25" t="str">
        <f>I35</f>
        <v>2015-16</v>
      </c>
    </row>
    <row r="36" spans="1:21" hidden="1" x14ac:dyDescent="0.25">
      <c r="A36" s="26"/>
      <c r="B36" s="26"/>
      <c r="C36" s="88" t="s">
        <v>93</v>
      </c>
      <c r="D36" s="88" t="s">
        <v>94</v>
      </c>
      <c r="E36" s="89" t="s">
        <v>8</v>
      </c>
      <c r="F36" s="670"/>
      <c r="G36" s="670"/>
      <c r="H36" s="670"/>
      <c r="I36" s="24" t="s">
        <v>27</v>
      </c>
      <c r="N36" s="28"/>
      <c r="O36" s="28"/>
      <c r="P36" s="29"/>
      <c r="Q36" s="29"/>
      <c r="R36" s="30"/>
      <c r="S36" s="30"/>
      <c r="T36" s="102"/>
      <c r="U36" s="25" t="s">
        <v>27</v>
      </c>
    </row>
    <row r="37" spans="1:21" ht="26.25" hidden="1" x14ac:dyDescent="0.25">
      <c r="A37" s="572" t="s">
        <v>50</v>
      </c>
      <c r="B37" s="572"/>
      <c r="C37" s="90" t="s">
        <v>2</v>
      </c>
      <c r="D37" s="90" t="s">
        <v>2</v>
      </c>
      <c r="E37" s="90" t="s">
        <v>2</v>
      </c>
      <c r="F37" s="671"/>
      <c r="G37" s="671"/>
      <c r="H37" s="671"/>
      <c r="I37" s="31" t="s">
        <v>395</v>
      </c>
      <c r="N37" s="639" t="s">
        <v>50</v>
      </c>
      <c r="O37" s="639"/>
      <c r="P37" s="640" t="s">
        <v>19</v>
      </c>
      <c r="Q37" s="640"/>
      <c r="R37" s="640"/>
      <c r="S37" s="640"/>
      <c r="T37" s="640"/>
      <c r="U37" s="19" t="str">
        <f>I37</f>
        <v>(WFTE x BSA x CWF x SDF)</v>
      </c>
    </row>
    <row r="38" spans="1:21" hidden="1" x14ac:dyDescent="0.25">
      <c r="A38" s="576" t="s">
        <v>45</v>
      </c>
      <c r="B38" s="576"/>
      <c r="C38" s="147">
        <v>0</v>
      </c>
      <c r="D38" s="147">
        <v>0</v>
      </c>
      <c r="E38" s="187">
        <f t="shared" ref="E38:E43" si="6">IF(D$44=0,C38*2,C38+D38)</f>
        <v>0</v>
      </c>
      <c r="F38" s="148"/>
      <c r="G38" s="148"/>
      <c r="H38" s="148"/>
      <c r="I38" s="111">
        <f>ROUND(ROUND(ROUND(E38*$C$8,4)*($H$8),2)*(MAX($H$9,1)),2)</f>
        <v>0</v>
      </c>
      <c r="N38" s="641" t="s">
        <v>45</v>
      </c>
      <c r="O38" s="641"/>
      <c r="P38" s="608">
        <f t="shared" ref="P38:P43" si="7">IF($H$133=1,E38,0)</f>
        <v>0</v>
      </c>
      <c r="Q38" s="608"/>
      <c r="R38" s="608"/>
      <c r="S38" s="608"/>
      <c r="T38" s="608"/>
      <c r="U38" s="98">
        <f>ROUND(ROUND(ROUND(P38*$C$8,4)*($H$8),2)*(MAX($H$9,1)),2)</f>
        <v>0</v>
      </c>
    </row>
    <row r="39" spans="1:21" hidden="1" x14ac:dyDescent="0.25">
      <c r="A39" s="578" t="s">
        <v>46</v>
      </c>
      <c r="B39" s="578"/>
      <c r="C39" s="150">
        <v>0</v>
      </c>
      <c r="D39" s="150">
        <v>0</v>
      </c>
      <c r="E39" s="116">
        <f t="shared" si="6"/>
        <v>0</v>
      </c>
      <c r="F39" s="151"/>
      <c r="G39" s="151"/>
      <c r="H39" s="151"/>
      <c r="I39" s="101">
        <f t="shared" ref="I39:I43" si="8">ROUND(ROUND(ROUND(E39*$C$8,4)*($H$8),2)*(MAX($H$9,1)),2)</f>
        <v>0</v>
      </c>
      <c r="N39" s="601" t="s">
        <v>46</v>
      </c>
      <c r="O39" s="601"/>
      <c r="P39" s="608">
        <f t="shared" si="7"/>
        <v>0</v>
      </c>
      <c r="Q39" s="608"/>
      <c r="R39" s="608"/>
      <c r="S39" s="608"/>
      <c r="T39" s="608"/>
      <c r="U39" s="98">
        <f t="shared" ref="U39:U43" si="9">ROUND(ROUND(ROUND(P39*$C$8,4)*($H$8),2)*(MAX($H$9,1)),2)</f>
        <v>0</v>
      </c>
    </row>
    <row r="40" spans="1:21" hidden="1" x14ac:dyDescent="0.25">
      <c r="A40" s="583" t="s">
        <v>47</v>
      </c>
      <c r="B40" s="583"/>
      <c r="C40" s="150">
        <v>0</v>
      </c>
      <c r="D40" s="150">
        <v>0</v>
      </c>
      <c r="E40" s="116">
        <f t="shared" si="6"/>
        <v>0</v>
      </c>
      <c r="F40" s="151"/>
      <c r="G40" s="151"/>
      <c r="H40" s="151"/>
      <c r="I40" s="101">
        <f t="shared" si="8"/>
        <v>0</v>
      </c>
      <c r="N40" s="646" t="s">
        <v>47</v>
      </c>
      <c r="O40" s="646"/>
      <c r="P40" s="608">
        <f t="shared" si="7"/>
        <v>0</v>
      </c>
      <c r="Q40" s="608"/>
      <c r="R40" s="608"/>
      <c r="S40" s="608"/>
      <c r="T40" s="608"/>
      <c r="U40" s="98">
        <f t="shared" si="9"/>
        <v>0</v>
      </c>
    </row>
    <row r="41" spans="1:21" hidden="1" x14ac:dyDescent="0.25">
      <c r="A41" s="578" t="s">
        <v>48</v>
      </c>
      <c r="B41" s="578"/>
      <c r="C41" s="150">
        <v>0</v>
      </c>
      <c r="D41" s="150">
        <v>0</v>
      </c>
      <c r="E41" s="116">
        <f t="shared" si="6"/>
        <v>0</v>
      </c>
      <c r="F41" s="151"/>
      <c r="G41" s="151"/>
      <c r="H41" s="151"/>
      <c r="I41" s="101">
        <f t="shared" si="8"/>
        <v>0</v>
      </c>
      <c r="N41" s="601" t="s">
        <v>48</v>
      </c>
      <c r="O41" s="601"/>
      <c r="P41" s="608">
        <f t="shared" si="7"/>
        <v>0</v>
      </c>
      <c r="Q41" s="608"/>
      <c r="R41" s="608"/>
      <c r="S41" s="608"/>
      <c r="T41" s="608"/>
      <c r="U41" s="98">
        <f t="shared" si="9"/>
        <v>0</v>
      </c>
    </row>
    <row r="42" spans="1:21" hidden="1" x14ac:dyDescent="0.25">
      <c r="A42" s="578" t="s">
        <v>49</v>
      </c>
      <c r="B42" s="578"/>
      <c r="C42" s="150">
        <v>0</v>
      </c>
      <c r="D42" s="150">
        <v>0</v>
      </c>
      <c r="E42" s="116">
        <f t="shared" si="6"/>
        <v>0</v>
      </c>
      <c r="F42" s="151"/>
      <c r="G42" s="151"/>
      <c r="H42" s="151"/>
      <c r="I42" s="101">
        <f t="shared" si="8"/>
        <v>0</v>
      </c>
      <c r="N42" s="601" t="s">
        <v>49</v>
      </c>
      <c r="O42" s="601"/>
      <c r="P42" s="608">
        <f t="shared" si="7"/>
        <v>0</v>
      </c>
      <c r="Q42" s="608"/>
      <c r="R42" s="608"/>
      <c r="S42" s="608"/>
      <c r="T42" s="608"/>
      <c r="U42" s="98">
        <f t="shared" si="9"/>
        <v>0</v>
      </c>
    </row>
    <row r="43" spans="1:21" hidden="1" x14ac:dyDescent="0.25">
      <c r="A43" s="578" t="s">
        <v>41</v>
      </c>
      <c r="B43" s="578"/>
      <c r="C43" s="149">
        <v>0</v>
      </c>
      <c r="D43" s="149">
        <v>0</v>
      </c>
      <c r="E43" s="154">
        <f t="shared" si="6"/>
        <v>0</v>
      </c>
      <c r="F43" s="151"/>
      <c r="G43" s="151"/>
      <c r="H43" s="151"/>
      <c r="I43" s="94">
        <f t="shared" si="8"/>
        <v>0</v>
      </c>
      <c r="N43" s="616" t="s">
        <v>41</v>
      </c>
      <c r="O43" s="616"/>
      <c r="P43" s="608">
        <f t="shared" si="7"/>
        <v>0</v>
      </c>
      <c r="Q43" s="608"/>
      <c r="R43" s="608"/>
      <c r="S43" s="608"/>
      <c r="T43" s="60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3" t="s">
        <v>43</v>
      </c>
      <c r="O44" s="603"/>
      <c r="P44" s="603"/>
      <c r="Q44" s="603"/>
      <c r="R44" s="33">
        <f>SUM(P38:R43)</f>
        <v>0</v>
      </c>
      <c r="S44" s="617" t="s">
        <v>51</v>
      </c>
      <c r="T44" s="617"/>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1045.6614</v>
      </c>
      <c r="F46" s="34"/>
      <c r="G46" s="106"/>
      <c r="H46" s="107" t="s">
        <v>98</v>
      </c>
      <c r="I46" s="94">
        <f>SUM(I44,I30)</f>
        <v>5801835.5199999996</v>
      </c>
      <c r="N46" s="603" t="s">
        <v>44</v>
      </c>
      <c r="O46" s="603"/>
      <c r="P46" s="603"/>
      <c r="Q46" s="603"/>
      <c r="R46" s="35">
        <f>R44+T30</f>
        <v>0</v>
      </c>
      <c r="S46" s="617" t="s">
        <v>42</v>
      </c>
      <c r="T46" s="617"/>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396</v>
      </c>
      <c r="B48" s="26"/>
      <c r="C48" s="26"/>
      <c r="D48" s="26"/>
      <c r="E48" s="26"/>
      <c r="F48" s="34"/>
      <c r="G48" s="27"/>
      <c r="H48" s="27"/>
      <c r="I48" s="101"/>
      <c r="N48" s="383" t="s">
        <v>396</v>
      </c>
      <c r="O48" s="28"/>
      <c r="P48" s="28"/>
      <c r="Q48" s="28"/>
      <c r="R48" s="35"/>
      <c r="S48" s="30"/>
      <c r="T48" s="30"/>
      <c r="U48" s="402"/>
    </row>
    <row r="49" spans="1:22" s="391" customFormat="1" ht="9" customHeight="1" x14ac:dyDescent="0.2">
      <c r="A49" s="481" t="s">
        <v>397</v>
      </c>
      <c r="F49" s="392"/>
      <c r="G49" s="393"/>
      <c r="H49" s="393"/>
      <c r="I49" s="394"/>
      <c r="N49" s="403" t="s">
        <v>397</v>
      </c>
      <c r="O49" s="395"/>
      <c r="P49" s="395"/>
      <c r="Q49" s="395"/>
      <c r="R49" s="396"/>
      <c r="S49" s="397"/>
      <c r="T49" s="397"/>
      <c r="U49" s="404"/>
    </row>
    <row r="50" spans="1:22" s="391" customFormat="1" ht="11.25" customHeight="1" x14ac:dyDescent="0.2">
      <c r="A50" s="483" t="s">
        <v>398</v>
      </c>
      <c r="F50" s="392"/>
      <c r="G50" s="393"/>
      <c r="H50" s="393"/>
      <c r="I50" s="394"/>
      <c r="N50" s="405" t="s">
        <v>398</v>
      </c>
      <c r="O50" s="395"/>
      <c r="P50" s="395"/>
      <c r="Q50" s="395"/>
      <c r="R50" s="396"/>
      <c r="S50" s="397"/>
      <c r="T50" s="397"/>
      <c r="U50" s="404"/>
    </row>
    <row r="51" spans="1:22" x14ac:dyDescent="0.25">
      <c r="A51" s="389"/>
      <c r="B51" s="399" t="s">
        <v>399</v>
      </c>
      <c r="C51" s="26"/>
      <c r="D51" s="26"/>
      <c r="E51" s="43" t="s">
        <v>400</v>
      </c>
      <c r="F51" s="400">
        <f>I46</f>
        <v>5801835.5199999996</v>
      </c>
      <c r="G51" s="109" t="s">
        <v>6</v>
      </c>
      <c r="H51" s="401">
        <v>4.5199999999999997E-2</v>
      </c>
      <c r="I51" s="101">
        <f>ROUND(F51*H51,2)</f>
        <v>262242.96999999997</v>
      </c>
      <c r="N51" s="406"/>
      <c r="O51" s="407" t="s">
        <v>399</v>
      </c>
      <c r="P51" s="28"/>
      <c r="Q51" s="44" t="s">
        <v>400</v>
      </c>
      <c r="R51" s="408">
        <f>U30</f>
        <v>0</v>
      </c>
      <c r="S51" s="409" t="s">
        <v>6</v>
      </c>
      <c r="T51" s="410">
        <v>4.5199999999999997E-2</v>
      </c>
      <c r="U51" s="402">
        <f>ROUND(R51*T51,2)</f>
        <v>0</v>
      </c>
    </row>
    <row r="52" spans="1:22" x14ac:dyDescent="0.25">
      <c r="A52" s="26"/>
      <c r="B52" s="81" t="s">
        <v>401</v>
      </c>
      <c r="C52" s="26"/>
      <c r="D52" s="26"/>
      <c r="E52" s="43" t="s">
        <v>400</v>
      </c>
      <c r="F52" s="400">
        <f>I46</f>
        <v>5801835.5199999996</v>
      </c>
      <c r="G52" s="109" t="s">
        <v>6</v>
      </c>
      <c r="H52" s="401">
        <v>1.41E-2</v>
      </c>
      <c r="I52" s="101">
        <f>ROUND(F52*H52,2)</f>
        <v>81805.88</v>
      </c>
      <c r="N52" s="28"/>
      <c r="O52" s="383" t="s">
        <v>401</v>
      </c>
      <c r="P52" s="28"/>
      <c r="Q52" s="44" t="s">
        <v>400</v>
      </c>
      <c r="R52" s="408">
        <f>U30</f>
        <v>0</v>
      </c>
      <c r="S52" s="409" t="s">
        <v>6</v>
      </c>
      <c r="T52" s="410">
        <v>1.41E-2</v>
      </c>
      <c r="U52" s="411">
        <f>ROUND(R52*T52,2)</f>
        <v>0</v>
      </c>
    </row>
    <row r="53" spans="1:22" x14ac:dyDescent="0.25">
      <c r="A53" s="26"/>
      <c r="B53" s="81" t="s">
        <v>402</v>
      </c>
      <c r="C53" s="26"/>
      <c r="D53" s="26"/>
      <c r="E53" s="43"/>
      <c r="F53" s="400"/>
      <c r="G53" s="109"/>
      <c r="H53" s="401"/>
      <c r="I53" s="97">
        <f>SUM(I51:I52)</f>
        <v>344048.85</v>
      </c>
      <c r="N53" s="28"/>
      <c r="O53" s="383" t="s">
        <v>402</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440</v>
      </c>
      <c r="G55" s="109" t="s">
        <v>441</v>
      </c>
      <c r="H55" s="454" t="s">
        <v>442</v>
      </c>
      <c r="I55" s="101"/>
      <c r="N55" s="448"/>
      <c r="O55" s="448"/>
      <c r="P55" s="464"/>
      <c r="Q55" s="465"/>
      <c r="R55" s="466"/>
      <c r="S55" s="468" t="s">
        <v>441</v>
      </c>
      <c r="T55" s="469" t="s">
        <v>442</v>
      </c>
      <c r="U55" s="467"/>
      <c r="V55" s="424"/>
    </row>
    <row r="56" spans="1:22" x14ac:dyDescent="0.25">
      <c r="A56" s="36" t="s">
        <v>443</v>
      </c>
      <c r="B56" s="36"/>
      <c r="C56" s="324" t="str">
        <f>'1461'!C56</f>
        <v>FTE</v>
      </c>
      <c r="D56" s="324" t="str">
        <f>'1461'!D56</f>
        <v>FTE</v>
      </c>
      <c r="E56" s="90" t="s">
        <v>2</v>
      </c>
      <c r="F56" s="439" t="s">
        <v>444</v>
      </c>
      <c r="G56" s="441" t="s">
        <v>444</v>
      </c>
      <c r="H56" s="455" t="s">
        <v>445</v>
      </c>
      <c r="I56" s="36"/>
      <c r="N56" s="459" t="s">
        <v>443</v>
      </c>
      <c r="O56" s="459"/>
      <c r="P56" s="620" t="s">
        <v>2</v>
      </c>
      <c r="Q56" s="620"/>
      <c r="R56" s="459" t="s">
        <v>449</v>
      </c>
      <c r="S56" s="450" t="s">
        <v>444</v>
      </c>
      <c r="T56" s="470" t="s">
        <v>445</v>
      </c>
      <c r="U56" s="459"/>
      <c r="V56" s="458"/>
    </row>
    <row r="57" spans="1:22" x14ac:dyDescent="0.25">
      <c r="A57" s="588" t="s">
        <v>447</v>
      </c>
      <c r="B57" s="588"/>
      <c r="C57" s="143">
        <v>26.5</v>
      </c>
      <c r="D57" s="143">
        <v>28.99</v>
      </c>
      <c r="E57" s="116">
        <f t="shared" ref="E57:E65" si="10">IF(D$66=0,C57*2,C57+D57)</f>
        <v>55.489999999999995</v>
      </c>
      <c r="F57" s="443" t="s">
        <v>439</v>
      </c>
      <c r="G57" s="443">
        <v>251</v>
      </c>
      <c r="H57" s="457">
        <f>'1461'!H57</f>
        <v>1047</v>
      </c>
      <c r="I57" s="101">
        <f>ROUND(E57*H57,2)</f>
        <v>58098.03</v>
      </c>
      <c r="N57" s="618" t="s">
        <v>447</v>
      </c>
      <c r="O57" s="618"/>
      <c r="P57" s="621"/>
      <c r="Q57" s="621"/>
      <c r="R57" s="449" t="s">
        <v>439</v>
      </c>
      <c r="S57" s="449">
        <v>251</v>
      </c>
      <c r="T57" s="460">
        <f>H57</f>
        <v>1047</v>
      </c>
      <c r="U57" s="474">
        <f>ROUND(P57*T57,2)</f>
        <v>0</v>
      </c>
      <c r="V57" s="424"/>
    </row>
    <row r="58" spans="1:22" x14ac:dyDescent="0.25">
      <c r="A58" s="589"/>
      <c r="B58" s="589"/>
      <c r="C58" s="143">
        <v>3</v>
      </c>
      <c r="D58" s="143">
        <v>3.91</v>
      </c>
      <c r="E58" s="116">
        <f t="shared" si="10"/>
        <v>6.91</v>
      </c>
      <c r="F58" s="443" t="s">
        <v>439</v>
      </c>
      <c r="G58" s="443">
        <v>252</v>
      </c>
      <c r="H58" s="457">
        <f>'1461'!H58</f>
        <v>3380</v>
      </c>
      <c r="I58" s="101">
        <f t="shared" ref="I58:I65" si="11">ROUND(E58*H58,2)</f>
        <v>23355.8</v>
      </c>
      <c r="N58" s="619"/>
      <c r="O58" s="619"/>
      <c r="P58" s="622"/>
      <c r="Q58" s="622"/>
      <c r="R58" s="449" t="s">
        <v>439</v>
      </c>
      <c r="S58" s="449">
        <v>252</v>
      </c>
      <c r="T58" s="460">
        <f t="shared" ref="T58:T65" si="12">H58</f>
        <v>3380</v>
      </c>
      <c r="U58" s="474">
        <f t="shared" ref="U58:U65" si="13">ROUND(P58*T58,2)</f>
        <v>0</v>
      </c>
      <c r="V58" s="424"/>
    </row>
    <row r="59" spans="1:22" x14ac:dyDescent="0.25">
      <c r="A59" s="589"/>
      <c r="B59" s="589"/>
      <c r="C59" s="143">
        <v>0</v>
      </c>
      <c r="D59" s="143">
        <v>0</v>
      </c>
      <c r="E59" s="116">
        <f t="shared" si="10"/>
        <v>0</v>
      </c>
      <c r="F59" s="443" t="s">
        <v>439</v>
      </c>
      <c r="G59" s="443">
        <v>253</v>
      </c>
      <c r="H59" s="457">
        <f>'1461'!H59</f>
        <v>6896</v>
      </c>
      <c r="I59" s="101">
        <f t="shared" si="11"/>
        <v>0</v>
      </c>
      <c r="N59" s="619"/>
      <c r="O59" s="619"/>
      <c r="P59" s="622"/>
      <c r="Q59" s="622"/>
      <c r="R59" s="449" t="s">
        <v>439</v>
      </c>
      <c r="S59" s="449">
        <v>253</v>
      </c>
      <c r="T59" s="460">
        <f t="shared" si="12"/>
        <v>6896</v>
      </c>
      <c r="U59" s="474">
        <f t="shared" si="13"/>
        <v>0</v>
      </c>
      <c r="V59" s="424"/>
    </row>
    <row r="60" spans="1:22" x14ac:dyDescent="0.25">
      <c r="A60" s="589"/>
      <c r="B60" s="589"/>
      <c r="C60" s="143">
        <v>28</v>
      </c>
      <c r="D60" s="143">
        <v>24.47</v>
      </c>
      <c r="E60" s="116">
        <f t="shared" si="10"/>
        <v>52.47</v>
      </c>
      <c r="F60" s="444" t="s">
        <v>13</v>
      </c>
      <c r="G60" s="443">
        <v>251</v>
      </c>
      <c r="H60" s="457">
        <f>'1461'!H60</f>
        <v>1173</v>
      </c>
      <c r="I60" s="101">
        <f t="shared" si="11"/>
        <v>61547.31</v>
      </c>
      <c r="N60" s="619"/>
      <c r="O60" s="619"/>
      <c r="P60" s="622"/>
      <c r="Q60" s="622"/>
      <c r="R60" s="40" t="s">
        <v>13</v>
      </c>
      <c r="S60" s="449">
        <v>251</v>
      </c>
      <c r="T60" s="460">
        <f t="shared" si="12"/>
        <v>1173</v>
      </c>
      <c r="U60" s="474">
        <f t="shared" si="13"/>
        <v>0</v>
      </c>
      <c r="V60" s="424"/>
    </row>
    <row r="61" spans="1:22" x14ac:dyDescent="0.25">
      <c r="A61" s="589"/>
      <c r="B61" s="589"/>
      <c r="C61" s="143">
        <v>4</v>
      </c>
      <c r="D61" s="143">
        <v>4.01</v>
      </c>
      <c r="E61" s="116">
        <f t="shared" si="10"/>
        <v>8.01</v>
      </c>
      <c r="F61" s="444" t="s">
        <v>13</v>
      </c>
      <c r="G61" s="443">
        <v>252</v>
      </c>
      <c r="H61" s="457">
        <f>'1461'!H61</f>
        <v>3506</v>
      </c>
      <c r="I61" s="101">
        <f t="shared" si="11"/>
        <v>28083.06</v>
      </c>
      <c r="N61" s="619"/>
      <c r="O61" s="619"/>
      <c r="P61" s="622"/>
      <c r="Q61" s="622"/>
      <c r="R61" s="40" t="s">
        <v>13</v>
      </c>
      <c r="S61" s="449">
        <v>252</v>
      </c>
      <c r="T61" s="460">
        <f t="shared" si="12"/>
        <v>3506</v>
      </c>
      <c r="U61" s="474">
        <f t="shared" si="13"/>
        <v>0</v>
      </c>
      <c r="V61" s="424"/>
    </row>
    <row r="62" spans="1:22" x14ac:dyDescent="0.25">
      <c r="A62" s="589"/>
      <c r="B62" s="589"/>
      <c r="C62" s="143">
        <v>0</v>
      </c>
      <c r="D62" s="143">
        <v>0</v>
      </c>
      <c r="E62" s="116">
        <f t="shared" si="10"/>
        <v>0</v>
      </c>
      <c r="F62" s="444" t="s">
        <v>13</v>
      </c>
      <c r="G62" s="443">
        <v>253</v>
      </c>
      <c r="H62" s="457">
        <f>'1461'!H62</f>
        <v>7023</v>
      </c>
      <c r="I62" s="101">
        <f t="shared" si="11"/>
        <v>0</v>
      </c>
      <c r="N62" s="619"/>
      <c r="O62" s="619"/>
      <c r="P62" s="622"/>
      <c r="Q62" s="622"/>
      <c r="R62" s="40" t="s">
        <v>13</v>
      </c>
      <c r="S62" s="449">
        <v>253</v>
      </c>
      <c r="T62" s="460">
        <f t="shared" si="12"/>
        <v>7023</v>
      </c>
      <c r="U62" s="474">
        <f t="shared" si="13"/>
        <v>0</v>
      </c>
      <c r="V62" s="424"/>
    </row>
    <row r="63" spans="1:22" x14ac:dyDescent="0.25">
      <c r="A63" s="589"/>
      <c r="B63" s="589"/>
      <c r="C63" s="143">
        <v>0</v>
      </c>
      <c r="D63" s="143">
        <v>0</v>
      </c>
      <c r="E63" s="116">
        <f t="shared" si="10"/>
        <v>0</v>
      </c>
      <c r="F63" s="444" t="s">
        <v>14</v>
      </c>
      <c r="G63" s="443">
        <v>251</v>
      </c>
      <c r="H63" s="457">
        <f>'1461'!H63</f>
        <v>835</v>
      </c>
      <c r="I63" s="101">
        <f t="shared" si="11"/>
        <v>0</v>
      </c>
      <c r="N63" s="619"/>
      <c r="O63" s="619"/>
      <c r="P63" s="622"/>
      <c r="Q63" s="622"/>
      <c r="R63" s="40" t="s">
        <v>14</v>
      </c>
      <c r="S63" s="449">
        <v>251</v>
      </c>
      <c r="T63" s="460">
        <f t="shared" si="12"/>
        <v>835</v>
      </c>
      <c r="U63" s="474">
        <f t="shared" si="13"/>
        <v>0</v>
      </c>
      <c r="V63" s="424"/>
    </row>
    <row r="64" spans="1:22" x14ac:dyDescent="0.25">
      <c r="A64" s="589"/>
      <c r="B64" s="589"/>
      <c r="C64" s="143">
        <v>0</v>
      </c>
      <c r="D64" s="143">
        <v>0</v>
      </c>
      <c r="E64" s="116">
        <f t="shared" si="10"/>
        <v>0</v>
      </c>
      <c r="F64" s="444" t="s">
        <v>14</v>
      </c>
      <c r="G64" s="443">
        <v>252</v>
      </c>
      <c r="H64" s="457">
        <f>'1461'!H64</f>
        <v>3168</v>
      </c>
      <c r="I64" s="101">
        <f t="shared" si="11"/>
        <v>0</v>
      </c>
      <c r="N64" s="619"/>
      <c r="O64" s="619"/>
      <c r="P64" s="622"/>
      <c r="Q64" s="622"/>
      <c r="R64" s="40" t="s">
        <v>14</v>
      </c>
      <c r="S64" s="449">
        <v>252</v>
      </c>
      <c r="T64" s="460">
        <f t="shared" si="12"/>
        <v>3168</v>
      </c>
      <c r="U64" s="474">
        <f t="shared" si="13"/>
        <v>0</v>
      </c>
      <c r="V64" s="424"/>
    </row>
    <row r="65" spans="1:22" ht="16.5" thickBot="1" x14ac:dyDescent="0.3">
      <c r="A65" s="589"/>
      <c r="B65" s="589"/>
      <c r="C65" s="143">
        <v>0</v>
      </c>
      <c r="D65" s="143">
        <v>0</v>
      </c>
      <c r="E65" s="116">
        <f t="shared" si="10"/>
        <v>0</v>
      </c>
      <c r="F65" s="444" t="s">
        <v>14</v>
      </c>
      <c r="G65" s="443">
        <v>253</v>
      </c>
      <c r="H65" s="457">
        <f>'1461'!H65</f>
        <v>6685</v>
      </c>
      <c r="I65" s="101">
        <f t="shared" si="11"/>
        <v>0</v>
      </c>
      <c r="N65" s="619"/>
      <c r="O65" s="619"/>
      <c r="P65" s="623"/>
      <c r="Q65" s="623"/>
      <c r="R65" s="40" t="s">
        <v>14</v>
      </c>
      <c r="S65" s="449">
        <v>253</v>
      </c>
      <c r="T65" s="460">
        <f t="shared" si="12"/>
        <v>6685</v>
      </c>
      <c r="U65" s="475">
        <f t="shared" si="13"/>
        <v>0</v>
      </c>
      <c r="V65" s="424"/>
    </row>
    <row r="66" spans="1:22" ht="16.5" thickBot="1" x14ac:dyDescent="0.3">
      <c r="A66" s="440"/>
      <c r="C66" s="97">
        <f>SUM(C57:C65)</f>
        <v>61.5</v>
      </c>
      <c r="D66" s="97">
        <f>SUM(D57:D65)</f>
        <v>61.379999999999995</v>
      </c>
      <c r="E66" s="97">
        <f>SUM(E57:E65)</f>
        <v>122.88</v>
      </c>
      <c r="F66" s="590" t="s">
        <v>448</v>
      </c>
      <c r="G66" s="590"/>
      <c r="H66" s="590"/>
      <c r="I66" s="97">
        <f>SUM(I57:I65)</f>
        <v>171084.2</v>
      </c>
      <c r="N66" s="446"/>
      <c r="O66" s="51"/>
      <c r="P66" s="602">
        <f>SUM(P57:P65)</f>
        <v>0</v>
      </c>
      <c r="Q66" s="602"/>
      <c r="R66" s="603" t="s">
        <v>448</v>
      </c>
      <c r="S66" s="603"/>
      <c r="T66" s="603"/>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450</v>
      </c>
      <c r="N68" s="453" t="s">
        <v>458</v>
      </c>
      <c r="O68" s="51"/>
      <c r="P68" s="51"/>
      <c r="Q68" s="51"/>
      <c r="R68" s="51"/>
      <c r="S68" s="51"/>
      <c r="T68" s="51"/>
      <c r="U68" s="51"/>
    </row>
    <row r="69" spans="1:22" x14ac:dyDescent="0.25">
      <c r="A69" s="584" t="s">
        <v>403</v>
      </c>
      <c r="B69" s="578"/>
      <c r="C69" s="112">
        <f>E30</f>
        <v>984.55000000000007</v>
      </c>
      <c r="D69" s="565" t="s">
        <v>414</v>
      </c>
      <c r="E69" s="565"/>
      <c r="F69" s="565"/>
      <c r="G69" s="565"/>
      <c r="H69" s="300">
        <f>'1461'!H69</f>
        <v>210228.91</v>
      </c>
      <c r="I69" s="113"/>
      <c r="N69" s="600" t="s">
        <v>407</v>
      </c>
      <c r="O69" s="601"/>
      <c r="P69" s="41">
        <f>P30</f>
        <v>0</v>
      </c>
      <c r="Q69" s="606" t="s">
        <v>409</v>
      </c>
      <c r="R69" s="607"/>
      <c r="S69" s="607"/>
      <c r="T69" s="604">
        <f>H69</f>
        <v>210228.91</v>
      </c>
      <c r="U69" s="604"/>
    </row>
    <row r="70" spans="1:22" x14ac:dyDescent="0.25">
      <c r="B70" s="69"/>
      <c r="G70" s="42" t="s">
        <v>12</v>
      </c>
      <c r="H70" s="114">
        <f>ROUND(C69/H69,6)</f>
        <v>4.6829999999999997E-3</v>
      </c>
      <c r="I70" s="115"/>
      <c r="N70" s="601"/>
      <c r="O70" s="601"/>
      <c r="P70" s="601"/>
      <c r="Q70" s="601"/>
      <c r="R70" s="601"/>
      <c r="S70" s="601"/>
      <c r="T70" s="605">
        <f>ROUND(P69/T69,6)</f>
        <v>0</v>
      </c>
      <c r="U70" s="605"/>
    </row>
    <row r="71" spans="1:22" x14ac:dyDescent="0.25">
      <c r="A71" s="442" t="s">
        <v>451</v>
      </c>
      <c r="N71" s="453" t="s">
        <v>459</v>
      </c>
      <c r="O71" s="51"/>
      <c r="P71" s="51"/>
      <c r="Q71" s="51"/>
      <c r="R71" s="51"/>
      <c r="S71" s="51"/>
      <c r="T71" s="51"/>
      <c r="U71" s="51"/>
    </row>
    <row r="72" spans="1:22" x14ac:dyDescent="0.25">
      <c r="A72" s="584" t="s">
        <v>404</v>
      </c>
      <c r="B72" s="578"/>
      <c r="C72" s="112">
        <f>H30</f>
        <v>1045.6614</v>
      </c>
      <c r="D72" s="565" t="s">
        <v>415</v>
      </c>
      <c r="E72" s="565"/>
      <c r="F72" s="565"/>
      <c r="G72" s="565"/>
      <c r="H72" s="301">
        <f>'1461'!H72</f>
        <v>234891.44</v>
      </c>
      <c r="I72" s="116"/>
      <c r="N72" s="600" t="s">
        <v>408</v>
      </c>
      <c r="O72" s="601"/>
      <c r="P72" s="41">
        <f>T30</f>
        <v>0</v>
      </c>
      <c r="Q72" s="606" t="s">
        <v>410</v>
      </c>
      <c r="R72" s="607"/>
      <c r="S72" s="607"/>
      <c r="T72" s="604">
        <f>H72</f>
        <v>234891.44</v>
      </c>
      <c r="U72" s="604"/>
    </row>
    <row r="73" spans="1:22" x14ac:dyDescent="0.25">
      <c r="G73" s="42" t="s">
        <v>12</v>
      </c>
      <c r="H73" s="114">
        <f>ROUND(C72/H72,6)</f>
        <v>4.4520000000000002E-3</v>
      </c>
      <c r="I73" s="114"/>
      <c r="N73" s="601"/>
      <c r="O73" s="601"/>
      <c r="P73" s="601"/>
      <c r="Q73" s="601"/>
      <c r="R73" s="601"/>
      <c r="S73" s="601"/>
      <c r="T73" s="605">
        <f>ROUND(P72/T72,6)</f>
        <v>0</v>
      </c>
      <c r="U73" s="605"/>
    </row>
    <row r="74" spans="1:22" x14ac:dyDescent="0.25">
      <c r="A74" s="417" t="s">
        <v>452</v>
      </c>
      <c r="B74" s="414"/>
      <c r="C74" s="414"/>
      <c r="D74" s="414"/>
      <c r="E74" s="414"/>
      <c r="F74" s="414"/>
      <c r="G74" s="414"/>
      <c r="H74" s="414"/>
      <c r="I74" s="414"/>
      <c r="N74" s="416" t="s">
        <v>460</v>
      </c>
      <c r="O74" s="415"/>
      <c r="P74" s="415"/>
      <c r="Q74" s="415"/>
      <c r="R74" s="415"/>
      <c r="S74" s="415"/>
      <c r="T74" s="415"/>
      <c r="U74" s="415"/>
      <c r="V74" s="414"/>
    </row>
    <row r="75" spans="1:22" x14ac:dyDescent="0.25">
      <c r="A75" s="584" t="s">
        <v>405</v>
      </c>
      <c r="B75" s="578"/>
      <c r="C75" s="112">
        <f>E30</f>
        <v>984.55000000000007</v>
      </c>
      <c r="D75" s="557" t="s">
        <v>416</v>
      </c>
      <c r="E75" s="557"/>
      <c r="F75" s="557"/>
      <c r="G75" s="557"/>
      <c r="H75" s="300">
        <f>'1461'!H75</f>
        <v>187665.41</v>
      </c>
      <c r="I75" s="113"/>
      <c r="N75" s="600" t="s">
        <v>406</v>
      </c>
      <c r="O75" s="601"/>
      <c r="P75" s="41">
        <f>P30</f>
        <v>0</v>
      </c>
      <c r="Q75" s="636" t="s">
        <v>411</v>
      </c>
      <c r="R75" s="637"/>
      <c r="S75" s="637"/>
      <c r="T75" s="604">
        <f>H75</f>
        <v>187665.41</v>
      </c>
      <c r="U75" s="604"/>
    </row>
    <row r="76" spans="1:22" x14ac:dyDescent="0.25">
      <c r="B76" s="69"/>
      <c r="G76" s="42" t="s">
        <v>12</v>
      </c>
      <c r="H76" s="114">
        <f>ROUND(C75/H75,6)</f>
        <v>5.2459999999999998E-3</v>
      </c>
      <c r="I76" s="115"/>
      <c r="N76" s="601"/>
      <c r="O76" s="601"/>
      <c r="P76" s="601"/>
      <c r="Q76" s="601"/>
      <c r="R76" s="601"/>
      <c r="S76" s="601"/>
      <c r="T76" s="605">
        <f>ROUND(P75/T75,6)</f>
        <v>0</v>
      </c>
      <c r="U76" s="605"/>
    </row>
    <row r="77" spans="1:22" x14ac:dyDescent="0.25">
      <c r="A77" s="417" t="s">
        <v>453</v>
      </c>
      <c r="B77" s="414"/>
      <c r="C77" s="414"/>
      <c r="D77" s="414"/>
      <c r="E77" s="414"/>
      <c r="F77" s="414"/>
      <c r="G77" s="414"/>
      <c r="H77" s="414"/>
      <c r="I77" s="414"/>
      <c r="N77" s="416" t="s">
        <v>461</v>
      </c>
      <c r="O77" s="415"/>
      <c r="P77" s="415"/>
      <c r="Q77" s="415"/>
      <c r="R77" s="415"/>
      <c r="S77" s="415"/>
      <c r="T77" s="415"/>
      <c r="U77" s="415"/>
      <c r="V77" s="414"/>
    </row>
    <row r="78" spans="1:22" x14ac:dyDescent="0.25">
      <c r="A78" s="584" t="s">
        <v>405</v>
      </c>
      <c r="B78" s="578"/>
      <c r="C78" s="112">
        <f>E30</f>
        <v>984.55000000000007</v>
      </c>
      <c r="D78" s="585" t="s">
        <v>417</v>
      </c>
      <c r="E78" s="585"/>
      <c r="F78" s="585"/>
      <c r="G78" s="585"/>
      <c r="H78" s="300">
        <f>'1461'!H78</f>
        <v>209892.26</v>
      </c>
      <c r="I78" s="113"/>
      <c r="N78" s="600" t="s">
        <v>406</v>
      </c>
      <c r="O78" s="601"/>
      <c r="P78" s="41">
        <f>P30</f>
        <v>0</v>
      </c>
      <c r="Q78" s="634" t="s">
        <v>412</v>
      </c>
      <c r="R78" s="635"/>
      <c r="S78" s="635"/>
      <c r="T78" s="604">
        <f>H78</f>
        <v>209892.26</v>
      </c>
      <c r="U78" s="604"/>
    </row>
    <row r="79" spans="1:22" x14ac:dyDescent="0.25">
      <c r="B79" s="69"/>
      <c r="G79" s="42" t="s">
        <v>12</v>
      </c>
      <c r="H79" s="114">
        <f>ROUND(C78/H78,6)</f>
        <v>4.6909999999999999E-3</v>
      </c>
      <c r="I79" s="115"/>
      <c r="N79" s="601"/>
      <c r="O79" s="601"/>
      <c r="P79" s="601"/>
      <c r="Q79" s="601"/>
      <c r="R79" s="601"/>
      <c r="S79" s="601"/>
      <c r="T79" s="605">
        <f>ROUND(P78/T78,6)</f>
        <v>0</v>
      </c>
      <c r="U79" s="605"/>
    </row>
    <row r="80" spans="1:22" x14ac:dyDescent="0.25">
      <c r="A80" s="417" t="s">
        <v>454</v>
      </c>
      <c r="B80" s="414"/>
      <c r="C80" s="414"/>
      <c r="D80" s="414"/>
      <c r="E80" s="414"/>
      <c r="F80" s="414"/>
      <c r="G80" s="414"/>
      <c r="H80" s="414"/>
      <c r="I80" s="414"/>
      <c r="N80" s="416" t="s">
        <v>462</v>
      </c>
      <c r="O80" s="415"/>
      <c r="P80" s="415"/>
      <c r="Q80" s="415"/>
      <c r="R80" s="415"/>
      <c r="S80" s="415"/>
      <c r="T80" s="415"/>
      <c r="U80" s="415"/>
      <c r="V80" s="414"/>
    </row>
    <row r="81" spans="1:21" x14ac:dyDescent="0.25">
      <c r="A81" s="584" t="s">
        <v>413</v>
      </c>
      <c r="B81" s="578"/>
      <c r="C81" s="112">
        <f>E30</f>
        <v>984.55000000000007</v>
      </c>
      <c r="D81" s="557" t="s">
        <v>418</v>
      </c>
      <c r="E81" s="557"/>
      <c r="F81" s="557"/>
      <c r="G81" s="557"/>
      <c r="H81" s="300">
        <f>'1461'!H81</f>
        <v>187328.76</v>
      </c>
      <c r="I81" s="113"/>
      <c r="N81" s="600" t="s">
        <v>419</v>
      </c>
      <c r="O81" s="601"/>
      <c r="P81" s="41">
        <f>P30</f>
        <v>0</v>
      </c>
      <c r="Q81" s="636" t="s">
        <v>420</v>
      </c>
      <c r="R81" s="637"/>
      <c r="S81" s="637"/>
      <c r="T81" s="604">
        <f>H81</f>
        <v>187328.76</v>
      </c>
      <c r="U81" s="604"/>
    </row>
    <row r="82" spans="1:21" x14ac:dyDescent="0.25">
      <c r="B82" s="69"/>
      <c r="G82" s="42" t="s">
        <v>12</v>
      </c>
      <c r="H82" s="114">
        <f>ROUND(C81/H81,6)</f>
        <v>5.2560000000000003E-3</v>
      </c>
      <c r="I82" s="115"/>
      <c r="N82" s="601"/>
      <c r="O82" s="601"/>
      <c r="P82" s="601"/>
      <c r="Q82" s="601"/>
      <c r="R82" s="601"/>
      <c r="S82" s="601"/>
      <c r="T82" s="605">
        <f>ROUND(P81/T81,6)</f>
        <v>0</v>
      </c>
      <c r="U82" s="605"/>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455</v>
      </c>
      <c r="D85" s="69"/>
      <c r="E85" s="43" t="s">
        <v>299</v>
      </c>
      <c r="F85" s="302">
        <f>'1461'!F85</f>
        <v>46163704</v>
      </c>
      <c r="G85" s="37" t="s">
        <v>6</v>
      </c>
      <c r="H85" s="422">
        <f>H79</f>
        <v>4.6909999999999999E-3</v>
      </c>
      <c r="I85" s="101">
        <f>ROUND(F85*H85,2)</f>
        <v>216553.94</v>
      </c>
      <c r="N85" s="453" t="s">
        <v>455</v>
      </c>
      <c r="O85" s="51"/>
      <c r="P85" s="51"/>
      <c r="Q85" s="44"/>
      <c r="R85" s="419">
        <f>F85</f>
        <v>46163704</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87" t="s">
        <v>71</v>
      </c>
      <c r="B87" s="578"/>
      <c r="C87" s="578"/>
      <c r="D87" s="69"/>
      <c r="E87" s="43"/>
      <c r="F87" s="117"/>
      <c r="G87" s="37"/>
      <c r="H87" s="422"/>
      <c r="I87" s="101"/>
      <c r="N87" s="600" t="s">
        <v>463</v>
      </c>
      <c r="O87" s="601"/>
      <c r="P87" s="601"/>
      <c r="Q87" s="51"/>
      <c r="R87" s="420"/>
      <c r="S87" s="51"/>
      <c r="T87" s="38"/>
      <c r="U87" s="478"/>
    </row>
    <row r="88" spans="1:21" x14ac:dyDescent="0.25">
      <c r="A88" s="587" t="s">
        <v>99</v>
      </c>
      <c r="B88" s="578"/>
      <c r="C88" s="578"/>
      <c r="D88" s="69"/>
      <c r="E88" s="43" t="s">
        <v>3</v>
      </c>
      <c r="F88" s="302">
        <f>'1461'!F88</f>
        <v>0</v>
      </c>
      <c r="G88" s="37" t="s">
        <v>6</v>
      </c>
      <c r="H88" s="422">
        <f>H70</f>
        <v>4.6829999999999997E-3</v>
      </c>
      <c r="I88" s="101">
        <f>ROUND(F88*H88,2)</f>
        <v>0</v>
      </c>
      <c r="N88" s="638" t="s">
        <v>99</v>
      </c>
      <c r="O88" s="601"/>
      <c r="P88" s="601"/>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456</v>
      </c>
      <c r="D90" s="69"/>
      <c r="E90" s="43" t="s">
        <v>421</v>
      </c>
      <c r="F90" s="302">
        <f>'1461'!F90</f>
        <v>19042026</v>
      </c>
      <c r="G90" s="37" t="s">
        <v>6</v>
      </c>
      <c r="H90" s="422">
        <f>H82</f>
        <v>5.2560000000000003E-3</v>
      </c>
      <c r="I90" s="101">
        <f>ROUND(F90*H90,2)</f>
        <v>100084.89</v>
      </c>
      <c r="N90" s="453" t="s">
        <v>456</v>
      </c>
      <c r="O90" s="51"/>
      <c r="P90" s="51"/>
      <c r="Q90" s="44"/>
      <c r="R90" s="419">
        <f>F90</f>
        <v>19042026</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457</v>
      </c>
      <c r="D92" s="69"/>
      <c r="E92" s="43" t="s">
        <v>3</v>
      </c>
      <c r="F92" s="302">
        <f>'1461'!F92</f>
        <v>11441151</v>
      </c>
      <c r="G92" s="37" t="s">
        <v>6</v>
      </c>
      <c r="H92" s="422">
        <f>H76</f>
        <v>5.2459999999999998E-3</v>
      </c>
      <c r="I92" s="101">
        <f t="shared" ref="I92:I96" si="14">ROUND(F92*H92,2)</f>
        <v>60020.28</v>
      </c>
      <c r="N92" s="453" t="s">
        <v>457</v>
      </c>
      <c r="O92" s="51"/>
      <c r="P92" s="51"/>
      <c r="Q92" s="44"/>
      <c r="R92" s="419">
        <f t="shared" ref="R92:R96" si="15">F92</f>
        <v>11441151</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84" t="s">
        <v>422</v>
      </c>
      <c r="B94" s="578"/>
      <c r="C94" s="578"/>
      <c r="D94" s="69"/>
      <c r="E94" s="43" t="s">
        <v>4</v>
      </c>
      <c r="F94" s="302">
        <f>'1461'!F94</f>
        <v>247265670</v>
      </c>
      <c r="G94" s="37" t="s">
        <v>6</v>
      </c>
      <c r="H94" s="422">
        <f>H73</f>
        <v>4.4520000000000002E-3</v>
      </c>
      <c r="I94" s="101">
        <f t="shared" si="14"/>
        <v>1100826.76</v>
      </c>
      <c r="N94" s="601" t="s">
        <v>422</v>
      </c>
      <c r="O94" s="601"/>
      <c r="P94" s="601"/>
      <c r="Q94" s="44"/>
      <c r="R94" s="419">
        <f t="shared" si="15"/>
        <v>247265670</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4" t="s">
        <v>423</v>
      </c>
      <c r="B96" s="578"/>
      <c r="C96" s="578"/>
      <c r="D96" s="69"/>
      <c r="E96" s="43" t="s">
        <v>4</v>
      </c>
      <c r="F96" s="302">
        <f>'1461'!F96</f>
        <v>0</v>
      </c>
      <c r="G96" s="37" t="s">
        <v>6</v>
      </c>
      <c r="H96" s="422">
        <f>H73</f>
        <v>4.4520000000000002E-3</v>
      </c>
      <c r="I96" s="101">
        <f t="shared" si="14"/>
        <v>0</v>
      </c>
      <c r="N96" s="600" t="s">
        <v>423</v>
      </c>
      <c r="O96" s="601"/>
      <c r="P96" s="601"/>
      <c r="Q96" s="44"/>
      <c r="R96" s="419">
        <f t="shared" si="15"/>
        <v>0</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530" t="s">
        <v>497</v>
      </c>
      <c r="B98" s="529"/>
      <c r="C98" s="529"/>
      <c r="D98" s="529"/>
      <c r="E98" s="527" t="s">
        <v>3</v>
      </c>
      <c r="F98" s="290">
        <v>0</v>
      </c>
      <c r="G98" s="528" t="s">
        <v>6</v>
      </c>
      <c r="H98" s="422">
        <f>H70</f>
        <v>4.6829999999999997E-3</v>
      </c>
      <c r="I98" s="101">
        <f t="shared" ref="I98" si="16">ROUND(F98*H98,2)</f>
        <v>0</v>
      </c>
      <c r="N98" s="533" t="s">
        <v>497</v>
      </c>
      <c r="O98" s="533"/>
      <c r="P98" s="533"/>
      <c r="Q98" s="44"/>
      <c r="R98" s="536">
        <f>F98</f>
        <v>0</v>
      </c>
      <c r="S98" s="534" t="s">
        <v>6</v>
      </c>
      <c r="T98" s="421">
        <f>T70</f>
        <v>0</v>
      </c>
      <c r="U98" s="473">
        <f>ROUND(R98*T98,2)</f>
        <v>0</v>
      </c>
    </row>
    <row r="99" spans="1:21" x14ac:dyDescent="0.25">
      <c r="A99" s="530"/>
      <c r="B99" s="529"/>
      <c r="C99" s="529"/>
      <c r="D99" s="529"/>
      <c r="E99" s="527"/>
      <c r="F99" s="276"/>
      <c r="G99" s="528"/>
      <c r="H99" s="422"/>
      <c r="I99" s="101"/>
      <c r="N99" s="533"/>
      <c r="O99" s="533"/>
      <c r="P99" s="533"/>
      <c r="Q99" s="44"/>
      <c r="R99" s="535"/>
      <c r="S99" s="534"/>
      <c r="T99" s="421"/>
      <c r="U99" s="477"/>
    </row>
    <row r="100" spans="1:21" x14ac:dyDescent="0.25">
      <c r="A100" s="530"/>
      <c r="B100" s="529"/>
      <c r="C100" s="529"/>
      <c r="D100" s="529"/>
      <c r="E100" s="527"/>
      <c r="F100" s="276"/>
      <c r="G100" s="528"/>
      <c r="H100" s="422"/>
      <c r="I100" s="101"/>
      <c r="N100" s="533"/>
      <c r="O100" s="533"/>
      <c r="P100" s="533"/>
      <c r="Q100" s="44"/>
      <c r="R100" s="420"/>
      <c r="S100" s="534"/>
      <c r="T100" s="421"/>
      <c r="U100" s="103"/>
    </row>
    <row r="101" spans="1:21" x14ac:dyDescent="0.25">
      <c r="A101" s="399" t="s">
        <v>498</v>
      </c>
      <c r="N101" s="407" t="s">
        <v>498</v>
      </c>
      <c r="O101" s="51"/>
      <c r="P101" s="51"/>
      <c r="Q101" s="51"/>
      <c r="R101" s="51"/>
      <c r="S101" s="51"/>
      <c r="T101" s="51"/>
      <c r="U101" s="51"/>
    </row>
    <row r="102" spans="1:21" x14ac:dyDescent="0.25">
      <c r="B102" s="69"/>
      <c r="C102" s="563" t="s">
        <v>60</v>
      </c>
      <c r="D102" s="563"/>
      <c r="E102" s="69"/>
      <c r="F102" s="39" t="s">
        <v>28</v>
      </c>
      <c r="G102" s="69"/>
      <c r="H102" s="69"/>
      <c r="I102" s="69"/>
      <c r="N102" s="45"/>
      <c r="O102" s="45"/>
      <c r="P102" s="45"/>
      <c r="Q102" s="45"/>
      <c r="R102" s="45"/>
      <c r="S102" s="45"/>
      <c r="T102" s="45"/>
      <c r="U102" s="45"/>
    </row>
    <row r="103" spans="1:21" x14ac:dyDescent="0.25">
      <c r="A103" s="3"/>
      <c r="B103" s="118"/>
      <c r="C103" s="564" t="s">
        <v>101</v>
      </c>
      <c r="D103" s="564"/>
      <c r="E103" s="423" t="s">
        <v>426</v>
      </c>
      <c r="F103" s="120" t="s">
        <v>106</v>
      </c>
      <c r="G103" s="121"/>
      <c r="H103" s="121"/>
      <c r="I103" s="121"/>
      <c r="N103" s="631" t="s">
        <v>35</v>
      </c>
      <c r="O103" s="631"/>
      <c r="P103" s="672" t="s">
        <v>428</v>
      </c>
      <c r="Q103" s="633"/>
      <c r="R103" s="604" t="s">
        <v>31</v>
      </c>
      <c r="S103" s="604"/>
      <c r="T103" s="604"/>
      <c r="U103" s="604"/>
    </row>
    <row r="104" spans="1:21" x14ac:dyDescent="0.25">
      <c r="A104" s="26"/>
      <c r="B104" s="52" t="s">
        <v>105</v>
      </c>
      <c r="C104" s="596">
        <f>H14+H15+H20+H23+H26</f>
        <v>536.7011</v>
      </c>
      <c r="D104" s="596"/>
      <c r="E104" s="46">
        <f>H8</f>
        <v>1.0407999999999999</v>
      </c>
      <c r="F104" s="303">
        <f>'1461'!F104</f>
        <v>950.92</v>
      </c>
      <c r="G104" s="39" t="s">
        <v>12</v>
      </c>
      <c r="H104" s="101">
        <f>ROUND(C104*E104*F104,2)</f>
        <v>531182.49</v>
      </c>
      <c r="I104" s="104"/>
      <c r="N104" s="28" t="s">
        <v>17</v>
      </c>
      <c r="O104" s="47">
        <f>T14+T15+T20+T23+T26</f>
        <v>0</v>
      </c>
      <c r="P104" s="611">
        <f>T8</f>
        <v>1.0407999999999999</v>
      </c>
      <c r="Q104" s="611"/>
      <c r="R104" s="48">
        <f>F104</f>
        <v>950.92</v>
      </c>
      <c r="S104" s="40" t="s">
        <v>12</v>
      </c>
      <c r="T104" s="479">
        <f>ROUND(O104*P104*R104,2)</f>
        <v>0</v>
      </c>
      <c r="U104" s="102"/>
    </row>
    <row r="105" spans="1:21" x14ac:dyDescent="0.25">
      <c r="A105" s="49"/>
      <c r="B105" s="49" t="s">
        <v>104</v>
      </c>
      <c r="C105" s="596">
        <f>H16+H17+H21+H24+H27</f>
        <v>508.96030000000002</v>
      </c>
      <c r="D105" s="596"/>
      <c r="E105" s="46">
        <f>H8</f>
        <v>1.0407999999999999</v>
      </c>
      <c r="F105" s="303">
        <f>'1461'!F105</f>
        <v>907.92</v>
      </c>
      <c r="G105" s="39" t="s">
        <v>12</v>
      </c>
      <c r="H105" s="101">
        <f>ROUND(C105*E105*F105,2)</f>
        <v>480948.72</v>
      </c>
      <c r="N105" s="50" t="s">
        <v>13</v>
      </c>
      <c r="O105" s="47">
        <f>T16+T17+T21+T24+T27</f>
        <v>0</v>
      </c>
      <c r="P105" s="611">
        <f>T8</f>
        <v>1.0407999999999999</v>
      </c>
      <c r="Q105" s="611"/>
      <c r="R105" s="48">
        <f>F105</f>
        <v>907.92</v>
      </c>
      <c r="S105" s="40" t="s">
        <v>12</v>
      </c>
      <c r="T105" s="479">
        <f>ROUND(O105*P105*R105,2)</f>
        <v>0</v>
      </c>
      <c r="U105" s="51"/>
    </row>
    <row r="106" spans="1:21" ht="16.5" thickBot="1" x14ac:dyDescent="0.3">
      <c r="A106" s="52"/>
      <c r="B106" s="52" t="s">
        <v>103</v>
      </c>
      <c r="C106" s="596">
        <f>H18+H19+H22+H25+H28+H29</f>
        <v>0</v>
      </c>
      <c r="D106" s="596"/>
      <c r="E106" s="46">
        <f>H8</f>
        <v>1.0407999999999999</v>
      </c>
      <c r="F106" s="303">
        <f>'1461'!F106</f>
        <v>910.12</v>
      </c>
      <c r="G106" s="39" t="s">
        <v>12</v>
      </c>
      <c r="H106" s="94">
        <f>ROUND(C106*E106*F106,2)</f>
        <v>0</v>
      </c>
      <c r="N106" s="53" t="s">
        <v>14</v>
      </c>
      <c r="O106" s="54">
        <f>T18+T19+T22+T25+T28+T29</f>
        <v>0</v>
      </c>
      <c r="P106" s="611">
        <f>T8</f>
        <v>1.0407999999999999</v>
      </c>
      <c r="Q106" s="611"/>
      <c r="R106" s="48">
        <f>F106</f>
        <v>910.12</v>
      </c>
      <c r="S106" s="40" t="s">
        <v>12</v>
      </c>
      <c r="T106" s="479">
        <f>ROUND(O106*P106*R106,2)</f>
        <v>0</v>
      </c>
      <c r="U106" s="51"/>
    </row>
    <row r="107" spans="1:21" ht="16.5" thickBot="1" x14ac:dyDescent="0.3">
      <c r="A107" s="55"/>
      <c r="B107" s="122" t="s">
        <v>102</v>
      </c>
      <c r="C107" s="586">
        <f>SUM(C104:C106)</f>
        <v>1045.6614</v>
      </c>
      <c r="D107" s="586"/>
      <c r="E107" s="123"/>
      <c r="F107" s="123"/>
      <c r="G107" s="123"/>
      <c r="H107" s="124" t="s">
        <v>100</v>
      </c>
      <c r="I107" s="101">
        <f>IF(A1=75,0,H106+H105+H104)</f>
        <v>1012131.21</v>
      </c>
      <c r="N107" s="56" t="s">
        <v>89</v>
      </c>
      <c r="O107" s="57">
        <f>SUM(O104:O106)</f>
        <v>0</v>
      </c>
      <c r="P107" s="612" t="s">
        <v>16</v>
      </c>
      <c r="Q107" s="613"/>
      <c r="R107" s="613"/>
      <c r="S107" s="613"/>
      <c r="T107" s="613"/>
      <c r="U107" s="473">
        <f>IF(N1=75,0,T106+T105+T104)</f>
        <v>0</v>
      </c>
    </row>
    <row r="108" spans="1:21" ht="16.5" thickTop="1" x14ac:dyDescent="0.25">
      <c r="A108" s="555" t="s">
        <v>65</v>
      </c>
      <c r="B108" s="555"/>
      <c r="C108" s="555"/>
      <c r="D108" s="555"/>
      <c r="E108" s="555"/>
      <c r="F108" s="555"/>
      <c r="G108" s="555"/>
      <c r="H108" s="555"/>
      <c r="I108" s="555"/>
      <c r="N108" s="614" t="s">
        <v>65</v>
      </c>
      <c r="O108" s="614"/>
      <c r="P108" s="614"/>
      <c r="Q108" s="614"/>
      <c r="R108" s="614"/>
      <c r="S108" s="614"/>
      <c r="T108" s="614"/>
      <c r="U108" s="614"/>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0" t="s">
        <v>499</v>
      </c>
      <c r="C110" s="43"/>
      <c r="D110" s="69"/>
      <c r="E110" s="43" t="s">
        <v>32</v>
      </c>
      <c r="F110" s="556"/>
      <c r="G110" s="556"/>
      <c r="H110" s="556"/>
      <c r="I110" s="556"/>
      <c r="N110" s="600" t="s">
        <v>499</v>
      </c>
      <c r="O110" s="601"/>
      <c r="P110" s="601"/>
      <c r="Q110" s="615"/>
      <c r="R110" s="615"/>
      <c r="S110" s="615"/>
      <c r="T110" s="615"/>
      <c r="U110" s="103"/>
    </row>
    <row r="111" spans="1:21" x14ac:dyDescent="0.25">
      <c r="B111" s="69"/>
      <c r="C111" s="88" t="s">
        <v>494</v>
      </c>
      <c r="D111" s="333" t="s">
        <v>495</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57" t="s">
        <v>381</v>
      </c>
      <c r="B113" s="558"/>
      <c r="C113" s="143">
        <v>23</v>
      </c>
      <c r="D113" s="143">
        <v>22</v>
      </c>
      <c r="E113" s="116">
        <f>(C113+D113)/2</f>
        <v>22.5</v>
      </c>
      <c r="F113" s="126" t="s">
        <v>30</v>
      </c>
      <c r="G113" s="304">
        <f>'1461'!G113</f>
        <v>576</v>
      </c>
      <c r="I113" s="101">
        <f>ROUND(G113*E113,2)</f>
        <v>12960</v>
      </c>
      <c r="N113" s="630" t="s">
        <v>52</v>
      </c>
      <c r="O113" s="630"/>
      <c r="P113" s="610">
        <f>IF(H133=1,E113,0)</f>
        <v>0</v>
      </c>
      <c r="Q113" s="610"/>
      <c r="R113" s="610"/>
      <c r="S113" s="83" t="s">
        <v>30</v>
      </c>
      <c r="T113" s="58">
        <f>G113</f>
        <v>576</v>
      </c>
      <c r="U113" s="473">
        <f>ROUND(T113*P113,2)</f>
        <v>0</v>
      </c>
    </row>
    <row r="114" spans="1:21" x14ac:dyDescent="0.25">
      <c r="A114" s="557" t="s">
        <v>382</v>
      </c>
      <c r="B114" s="558"/>
      <c r="C114" s="143">
        <v>0</v>
      </c>
      <c r="D114" s="143">
        <v>0</v>
      </c>
      <c r="E114" s="116">
        <f>(C114+D114)/2</f>
        <v>0</v>
      </c>
      <c r="F114" s="126" t="s">
        <v>30</v>
      </c>
      <c r="G114" s="304">
        <f>'1461'!G114</f>
        <v>1823</v>
      </c>
      <c r="I114" s="101">
        <f>ROUND(G114*E114,2)</f>
        <v>0</v>
      </c>
      <c r="N114" s="630" t="s">
        <v>64</v>
      </c>
      <c r="O114" s="630"/>
      <c r="P114" s="608"/>
      <c r="Q114" s="608"/>
      <c r="R114" s="608"/>
      <c r="S114" s="83" t="s">
        <v>30</v>
      </c>
      <c r="T114" s="58">
        <f>G114</f>
        <v>1823</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4" t="s">
        <v>430</v>
      </c>
      <c r="B117" s="578"/>
      <c r="C117" s="578"/>
      <c r="D117" s="69"/>
      <c r="E117" s="39" t="s">
        <v>300</v>
      </c>
      <c r="F117" s="563"/>
      <c r="G117" s="563"/>
      <c r="H117" s="563"/>
      <c r="I117" s="563"/>
      <c r="N117" s="600" t="s">
        <v>431</v>
      </c>
      <c r="O117" s="601"/>
      <c r="P117" s="601"/>
      <c r="Q117" s="601"/>
      <c r="R117" s="601"/>
      <c r="S117" s="601"/>
      <c r="T117" s="601"/>
      <c r="U117" s="601"/>
    </row>
    <row r="118" spans="1:21" hidden="1" x14ac:dyDescent="0.25">
      <c r="B118" s="69"/>
      <c r="C118" s="564" t="s">
        <v>66</v>
      </c>
      <c r="D118" s="564"/>
      <c r="E118" s="564"/>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5" t="s">
        <v>109</v>
      </c>
      <c r="G119" s="563"/>
      <c r="H119" s="37" t="s">
        <v>29</v>
      </c>
      <c r="I119" s="37"/>
      <c r="N119" s="45"/>
      <c r="O119" s="45"/>
      <c r="P119" s="45"/>
      <c r="Q119" s="45"/>
      <c r="R119" s="45"/>
      <c r="S119" s="45"/>
      <c r="T119" s="45"/>
      <c r="U119" s="45"/>
    </row>
    <row r="120" spans="1:21" hidden="1" x14ac:dyDescent="0.25">
      <c r="A120" s="564" t="s">
        <v>69</v>
      </c>
      <c r="B120" s="564"/>
      <c r="C120" s="90" t="s">
        <v>2</v>
      </c>
      <c r="D120" s="90" t="s">
        <v>2</v>
      </c>
      <c r="E120" s="59" t="s">
        <v>2</v>
      </c>
      <c r="F120" s="564" t="s">
        <v>28</v>
      </c>
      <c r="G120" s="564"/>
      <c r="H120" s="59" t="s">
        <v>28</v>
      </c>
      <c r="I120" s="59" t="s">
        <v>8</v>
      </c>
      <c r="N120" s="609" t="s">
        <v>53</v>
      </c>
      <c r="O120" s="609"/>
      <c r="P120" s="610" t="s">
        <v>66</v>
      </c>
      <c r="Q120" s="610"/>
      <c r="R120" s="609" t="s">
        <v>54</v>
      </c>
      <c r="S120" s="609"/>
      <c r="T120" s="60" t="s">
        <v>55</v>
      </c>
      <c r="U120" s="60" t="s">
        <v>8</v>
      </c>
    </row>
    <row r="121" spans="1:21" hidden="1" x14ac:dyDescent="0.25">
      <c r="A121" s="561" t="s">
        <v>56</v>
      </c>
      <c r="B121" s="561"/>
      <c r="C121" s="141">
        <v>0</v>
      </c>
      <c r="D121" s="141">
        <v>0</v>
      </c>
      <c r="E121" s="187">
        <f>IF(D30=0,C121*2,C121+D121)</f>
        <v>0</v>
      </c>
      <c r="F121" s="562">
        <v>0</v>
      </c>
      <c r="G121" s="562"/>
      <c r="H121" s="224">
        <f>IF(C121=0,0,125)</f>
        <v>0</v>
      </c>
      <c r="I121" s="101">
        <f>ROUND((H121+F121)*E121,2)</f>
        <v>0</v>
      </c>
      <c r="N121" s="601" t="s">
        <v>56</v>
      </c>
      <c r="O121" s="601"/>
      <c r="P121" s="608">
        <f>IF(H$133=1,C121,0)</f>
        <v>0</v>
      </c>
      <c r="Q121" s="608"/>
      <c r="R121" s="628">
        <f>F121</f>
        <v>0</v>
      </c>
      <c r="S121" s="628"/>
      <c r="T121" s="62">
        <f>H121</f>
        <v>0</v>
      </c>
      <c r="U121" s="96">
        <f>ROUND((T121+R121)*P121,0)</f>
        <v>0</v>
      </c>
    </row>
    <row r="122" spans="1:21" hidden="1" x14ac:dyDescent="0.25">
      <c r="A122" s="581" t="s">
        <v>57</v>
      </c>
      <c r="B122" s="581"/>
      <c r="C122" s="143">
        <v>0</v>
      </c>
      <c r="D122" s="143">
        <v>0</v>
      </c>
      <c r="E122" s="116">
        <f>IF(D31=0,C122*2,C122+D122)</f>
        <v>0</v>
      </c>
      <c r="F122" s="598">
        <f>ROUND(F121/2,2)</f>
        <v>0</v>
      </c>
      <c r="G122" s="598"/>
      <c r="H122" s="224">
        <f>IF(C122=0,0,62.5)</f>
        <v>0</v>
      </c>
      <c r="I122" s="101">
        <f>ROUND((H122+F122)*E122,2)</f>
        <v>0</v>
      </c>
      <c r="N122" s="601" t="s">
        <v>57</v>
      </c>
      <c r="O122" s="601"/>
      <c r="P122" s="608">
        <f>IF(H$133=1,C122,0)</f>
        <v>0</v>
      </c>
      <c r="Q122" s="608"/>
      <c r="R122" s="629">
        <f>ROUND(R121/2,2)</f>
        <v>0</v>
      </c>
      <c r="S122" s="629"/>
      <c r="T122" s="62">
        <f>H122</f>
        <v>0</v>
      </c>
      <c r="U122" s="96">
        <f>ROUND((T122+R122)*P122,0)</f>
        <v>0</v>
      </c>
    </row>
    <row r="123" spans="1:21" ht="16.5" hidden="1" thickBot="1" x14ac:dyDescent="0.3">
      <c r="A123" s="581" t="s">
        <v>58</v>
      </c>
      <c r="B123" s="581"/>
      <c r="C123" s="143">
        <v>0</v>
      </c>
      <c r="D123" s="143">
        <v>0</v>
      </c>
      <c r="E123" s="116">
        <f>IF(D32=0,C123*2,C123+D123)</f>
        <v>0</v>
      </c>
      <c r="F123" s="599"/>
      <c r="G123" s="599"/>
      <c r="H123" s="225">
        <f>IF(H121&gt;0,436,0)</f>
        <v>0</v>
      </c>
      <c r="I123" s="101">
        <f>ROUND(H123*E123,2)</f>
        <v>0</v>
      </c>
      <c r="N123" s="616" t="s">
        <v>58</v>
      </c>
      <c r="O123" s="616"/>
      <c r="P123" s="608">
        <f>IF(H$133=1,C123,0)</f>
        <v>0</v>
      </c>
      <c r="Q123" s="608"/>
      <c r="R123" s="609"/>
      <c r="S123" s="609"/>
      <c r="T123" s="64">
        <f>H123</f>
        <v>0</v>
      </c>
      <c r="U123" s="103">
        <f>ROUND(T123*P123,0)</f>
        <v>0</v>
      </c>
    </row>
    <row r="124" spans="1:21" ht="16.5" hidden="1" thickBot="1" x14ac:dyDescent="0.3">
      <c r="A124" s="563" t="s">
        <v>8</v>
      </c>
      <c r="B124" s="563"/>
      <c r="C124" s="65"/>
      <c r="D124" s="65"/>
      <c r="E124" s="65"/>
      <c r="F124" s="65"/>
      <c r="G124" s="65"/>
      <c r="H124" s="65"/>
      <c r="I124" s="97">
        <f>SUM(I121:I123)</f>
        <v>0</v>
      </c>
      <c r="N124" s="627" t="s">
        <v>8</v>
      </c>
      <c r="O124" s="627"/>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4" t="s">
        <v>432</v>
      </c>
      <c r="B126" s="578"/>
      <c r="C126" s="578"/>
      <c r="D126" s="69"/>
      <c r="E126" s="68" t="s">
        <v>34</v>
      </c>
      <c r="F126" s="597"/>
      <c r="G126" s="597"/>
      <c r="H126" s="597"/>
      <c r="I126" s="154">
        <v>0</v>
      </c>
      <c r="N126" s="600" t="s">
        <v>432</v>
      </c>
      <c r="O126" s="601"/>
      <c r="P126" s="601"/>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90" t="s">
        <v>8</v>
      </c>
      <c r="B128" s="590"/>
      <c r="C128" s="590"/>
      <c r="D128" s="590"/>
      <c r="E128" s="590"/>
      <c r="F128" s="590"/>
      <c r="G128" s="590"/>
      <c r="H128" s="590"/>
      <c r="I128" s="94">
        <f>SUM(I46,I66,I85,I88,I90,I92,I94,I96,I107,I113,I114,I124,I126)</f>
        <v>8475496.8000000007</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434</v>
      </c>
      <c r="B130" s="26"/>
      <c r="C130" s="26"/>
      <c r="D130" s="26"/>
      <c r="E130" s="26"/>
      <c r="F130" s="26"/>
      <c r="G130" s="26"/>
      <c r="H130" s="26"/>
      <c r="I130" s="101">
        <f>I128-I53</f>
        <v>8131447.9500000011</v>
      </c>
      <c r="N130" s="601" t="s">
        <v>434</v>
      </c>
      <c r="O130" s="601"/>
      <c r="P130" s="601"/>
      <c r="Q130" s="601"/>
      <c r="R130" s="601"/>
      <c r="S130" s="601"/>
      <c r="T130" s="601"/>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4" t="s">
        <v>502</v>
      </c>
      <c r="B132" s="578"/>
      <c r="C132" s="578"/>
      <c r="D132" s="578"/>
      <c r="E132" s="578"/>
      <c r="F132" s="578"/>
      <c r="G132" s="578"/>
      <c r="H132" s="81" t="s">
        <v>333</v>
      </c>
      <c r="I132" s="134"/>
      <c r="N132" s="600" t="s">
        <v>502</v>
      </c>
      <c r="O132" s="601"/>
      <c r="P132" s="601"/>
      <c r="Q132" s="601"/>
      <c r="R132" s="601"/>
      <c r="S132" s="601"/>
      <c r="T132" s="601"/>
      <c r="U132" s="138"/>
    </row>
    <row r="133" spans="1:21" x14ac:dyDescent="0.25">
      <c r="A133" s="578" t="s">
        <v>70</v>
      </c>
      <c r="B133" s="578"/>
      <c r="C133" s="578"/>
      <c r="D133" s="578"/>
      <c r="E133" s="578"/>
      <c r="F133" s="578"/>
      <c r="G133" s="578"/>
      <c r="H133" s="70" t="str">
        <f>IF(E30=0,"",IF((E15+E17+SUM(E19:E25))/E30&gt;0.75,1,""))</f>
        <v/>
      </c>
      <c r="I133" s="116">
        <f>U130</f>
        <v>0</v>
      </c>
      <c r="N133" s="601" t="s">
        <v>70</v>
      </c>
      <c r="O133" s="601"/>
      <c r="P133" s="601"/>
      <c r="Q133" s="601"/>
      <c r="R133" s="601"/>
      <c r="S133" s="601"/>
      <c r="T133" s="601"/>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8" t="s">
        <v>240</v>
      </c>
      <c r="H135" s="139">
        <f>IF(H133=1,I133,I130)</f>
        <v>8131447.9500000011</v>
      </c>
      <c r="I135" s="94">
        <f>ROUND(IF(E30=0,0,IF(E30&gt;250,-(((250/E30)*H135)*IF(G135="H",0.02,0.05)),IF(G135="H",-0.02*H135,-0.05*H135))),2)</f>
        <v>-41295.25</v>
      </c>
      <c r="N135" s="626"/>
      <c r="O135" s="626"/>
      <c r="P135" s="626"/>
      <c r="Q135" s="626"/>
      <c r="R135" s="626"/>
      <c r="S135" s="626"/>
      <c r="T135" s="626"/>
      <c r="U135" s="626"/>
    </row>
    <row r="136" spans="1:21" x14ac:dyDescent="0.25">
      <c r="B136" s="69"/>
      <c r="C136" s="69"/>
      <c r="D136" s="69"/>
      <c r="E136" s="69"/>
      <c r="F136" s="69"/>
      <c r="G136" s="69"/>
      <c r="H136" s="65"/>
      <c r="I136" s="101"/>
      <c r="N136" s="624" t="s">
        <v>7</v>
      </c>
      <c r="O136" s="624"/>
      <c r="P136" s="624"/>
      <c r="Q136" s="624"/>
      <c r="R136" s="624"/>
      <c r="S136" s="624"/>
      <c r="T136" s="624"/>
      <c r="U136" s="624"/>
    </row>
    <row r="137" spans="1:21" x14ac:dyDescent="0.25">
      <c r="A137" s="309" t="s">
        <v>74</v>
      </c>
      <c r="B137" s="310"/>
      <c r="C137" s="310"/>
      <c r="D137" s="310"/>
      <c r="E137" s="310"/>
      <c r="F137" s="310"/>
      <c r="G137" s="310"/>
      <c r="H137" s="311"/>
      <c r="I137" s="312">
        <f>I128+I135</f>
        <v>8434201.5500000007</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Payments'!Q89</f>
        <v>0</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8434201.5500000007</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702850.13</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121333.71</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372</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373</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374</v>
      </c>
      <c r="B155" s="252"/>
      <c r="C155" s="252"/>
      <c r="D155" s="252"/>
      <c r="E155" s="252"/>
      <c r="F155" s="252"/>
      <c r="G155" s="252"/>
      <c r="H155" s="252"/>
      <c r="I155" s="252"/>
      <c r="N155" s="625"/>
      <c r="O155" s="625"/>
      <c r="P155" s="625"/>
      <c r="Q155" s="625"/>
      <c r="R155" s="625"/>
      <c r="S155" s="625"/>
      <c r="T155" s="625"/>
      <c r="U155" s="625"/>
    </row>
    <row r="156" spans="1:21" s="76" customFormat="1" x14ac:dyDescent="0.2">
      <c r="A156" s="320" t="s">
        <v>375</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376</v>
      </c>
      <c r="B157" s="252"/>
      <c r="C157" s="252"/>
      <c r="D157" s="252"/>
      <c r="E157" s="252"/>
      <c r="F157" s="252"/>
      <c r="G157" s="252"/>
      <c r="H157" s="252"/>
      <c r="I157" s="252"/>
      <c r="N157" s="78"/>
      <c r="O157" s="79"/>
      <c r="P157" s="79"/>
      <c r="Q157" s="79"/>
      <c r="R157" s="79"/>
      <c r="S157" s="79"/>
      <c r="T157" s="79"/>
      <c r="U157" s="79"/>
    </row>
    <row r="158" spans="1:21" s="76" customFormat="1" x14ac:dyDescent="0.2">
      <c r="A158" s="320" t="s">
        <v>377</v>
      </c>
      <c r="B158" s="252"/>
      <c r="C158" s="252"/>
      <c r="D158" s="252"/>
      <c r="E158" s="252"/>
      <c r="F158" s="252"/>
      <c r="G158" s="252"/>
      <c r="H158" s="252"/>
      <c r="I158" s="252"/>
      <c r="N158" s="78"/>
    </row>
    <row r="159" spans="1:21" s="76" customFormat="1" x14ac:dyDescent="0.2">
      <c r="A159" s="320" t="s">
        <v>379</v>
      </c>
      <c r="B159" s="252"/>
      <c r="C159" s="252"/>
      <c r="D159" s="252"/>
      <c r="E159" s="252"/>
      <c r="F159" s="252"/>
      <c r="G159" s="252"/>
      <c r="H159" s="252"/>
      <c r="I159" s="252"/>
      <c r="N159" s="78"/>
    </row>
    <row r="160" spans="1:21" s="76" customFormat="1" x14ac:dyDescent="0.2">
      <c r="A160" s="385" t="s">
        <v>378</v>
      </c>
      <c r="B160" s="252"/>
      <c r="C160" s="252"/>
      <c r="D160" s="252"/>
      <c r="E160" s="252"/>
      <c r="F160" s="252"/>
      <c r="G160" s="252"/>
      <c r="H160" s="252"/>
      <c r="I160" s="252"/>
      <c r="N160" s="78"/>
    </row>
    <row r="161" spans="1:14" s="76" customFormat="1" x14ac:dyDescent="0.2">
      <c r="A161" s="320" t="s">
        <v>380</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383</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385</v>
      </c>
      <c r="B165" s="293"/>
      <c r="C165" s="293"/>
      <c r="D165" s="293"/>
      <c r="E165" s="293"/>
      <c r="F165" s="293"/>
      <c r="G165" s="293"/>
      <c r="H165" s="293"/>
      <c r="I165" s="293"/>
      <c r="N165" s="78"/>
    </row>
    <row r="166" spans="1:14" s="76" customFormat="1" ht="15.75" customHeight="1" x14ac:dyDescent="0.2">
      <c r="A166" s="351" t="s">
        <v>384</v>
      </c>
      <c r="B166" s="293"/>
      <c r="C166" s="293"/>
      <c r="D166" s="293"/>
      <c r="E166" s="293"/>
      <c r="F166" s="293"/>
      <c r="G166" s="293"/>
      <c r="H166" s="293"/>
      <c r="I166" s="293"/>
      <c r="N166" s="78"/>
    </row>
    <row r="167" spans="1:14" s="76" customFormat="1" ht="15.75" customHeight="1" x14ac:dyDescent="0.2">
      <c r="A167" s="320" t="s">
        <v>386</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388</v>
      </c>
      <c r="B169" s="343"/>
      <c r="C169" s="343"/>
      <c r="D169" s="343"/>
      <c r="E169" s="343"/>
      <c r="F169" s="343"/>
      <c r="G169" s="343"/>
      <c r="H169" s="343"/>
      <c r="I169" s="343"/>
      <c r="N169" s="78"/>
    </row>
    <row r="170" spans="1:14" s="76" customFormat="1" ht="15.75" customHeight="1" x14ac:dyDescent="0.2">
      <c r="A170" s="351" t="s">
        <v>387</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389</v>
      </c>
      <c r="B175" s="293"/>
      <c r="C175" s="293"/>
      <c r="D175" s="293"/>
      <c r="E175" s="293"/>
      <c r="F175" s="293"/>
      <c r="G175" s="293"/>
      <c r="H175" s="293"/>
      <c r="I175" s="293"/>
      <c r="J175" s="3"/>
      <c r="K175" s="3"/>
      <c r="L175" s="3"/>
      <c r="M175" s="3"/>
      <c r="N175" s="78"/>
    </row>
    <row r="176" spans="1:14" s="76" customFormat="1" ht="15.75" customHeight="1" x14ac:dyDescent="0.2">
      <c r="A176" s="361" t="s">
        <v>390</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P122:Q122"/>
    <mergeCell ref="R123:S123"/>
    <mergeCell ref="A124:B124"/>
    <mergeCell ref="N124:O124"/>
    <mergeCell ref="N155:U155"/>
    <mergeCell ref="N135:U135"/>
    <mergeCell ref="N126:P126"/>
    <mergeCell ref="A126:C126"/>
    <mergeCell ref="F126:H126"/>
    <mergeCell ref="N130:T130"/>
    <mergeCell ref="A128:H128"/>
    <mergeCell ref="A132:G132"/>
    <mergeCell ref="N136:U136"/>
    <mergeCell ref="A133:G133"/>
    <mergeCell ref="R122:S122"/>
    <mergeCell ref="N132:T132"/>
    <mergeCell ref="N133:T133"/>
    <mergeCell ref="A117:C117"/>
    <mergeCell ref="F117:I117"/>
    <mergeCell ref="N117:U117"/>
    <mergeCell ref="C118:E118"/>
    <mergeCell ref="F119:G119"/>
    <mergeCell ref="A120:B120"/>
    <mergeCell ref="F120:G120"/>
    <mergeCell ref="N120:O120"/>
    <mergeCell ref="P120:Q120"/>
    <mergeCell ref="A121:B121"/>
    <mergeCell ref="F121:G121"/>
    <mergeCell ref="N121:O121"/>
    <mergeCell ref="P121:Q121"/>
    <mergeCell ref="R121:S121"/>
    <mergeCell ref="A122:B122"/>
    <mergeCell ref="F122:G122"/>
    <mergeCell ref="N122:O122"/>
    <mergeCell ref="R120:S120"/>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2">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6" t="s">
        <v>15</v>
      </c>
      <c r="C1" s="567"/>
      <c r="D1" s="567"/>
      <c r="E1" s="567"/>
      <c r="F1" s="567"/>
      <c r="G1" s="567"/>
      <c r="H1" s="567"/>
      <c r="I1" s="567"/>
      <c r="J1" s="135"/>
      <c r="K1" s="135"/>
      <c r="L1" s="135"/>
      <c r="N1" s="82">
        <f>A1</f>
        <v>0</v>
      </c>
      <c r="O1" s="658" t="s">
        <v>15</v>
      </c>
      <c r="P1" s="659"/>
      <c r="Q1" s="659"/>
      <c r="R1" s="659"/>
      <c r="S1" s="659"/>
      <c r="T1" s="659"/>
      <c r="U1" s="659"/>
    </row>
    <row r="2" spans="1:21" ht="21" x14ac:dyDescent="0.35">
      <c r="A2" s="286" t="s">
        <v>126</v>
      </c>
      <c r="B2" s="2"/>
      <c r="C2" s="2"/>
      <c r="D2" s="2"/>
      <c r="E2" s="2"/>
      <c r="F2" s="2"/>
      <c r="G2" s="2"/>
      <c r="H2" s="2"/>
      <c r="I2" s="2"/>
      <c r="N2" s="660" t="s">
        <v>18</v>
      </c>
      <c r="O2" s="660"/>
      <c r="P2" s="660"/>
      <c r="Q2" s="660"/>
      <c r="R2" s="660"/>
      <c r="S2" s="660"/>
      <c r="T2" s="660"/>
      <c r="U2" s="660"/>
    </row>
    <row r="3" spans="1:21" x14ac:dyDescent="0.25">
      <c r="A3" s="81" t="str">
        <f>'1461'!A3</f>
        <v>Based on the FLDOE 2024-25 Conference Calculation</v>
      </c>
      <c r="N3" s="627" t="str">
        <f>A3</f>
        <v>Based on the FLDOE 2024-25 Conference Calculation</v>
      </c>
      <c r="O3" s="627"/>
      <c r="P3" s="627"/>
      <c r="Q3" s="627"/>
      <c r="R3" s="627"/>
      <c r="S3" s="627"/>
      <c r="T3" s="627"/>
      <c r="U3" s="627"/>
    </row>
    <row r="4" spans="1:21" x14ac:dyDescent="0.25">
      <c r="A4" s="568" t="s">
        <v>0</v>
      </c>
      <c r="B4" s="568"/>
      <c r="C4" s="569" t="s">
        <v>9</v>
      </c>
      <c r="D4" s="569"/>
      <c r="E4" s="569"/>
      <c r="F4" s="4" t="str">
        <f>'1461'!F4</f>
        <v>July 2024</v>
      </c>
      <c r="G4" s="4"/>
      <c r="H4" s="4"/>
      <c r="I4" s="4"/>
      <c r="N4" s="661" t="s">
        <v>0</v>
      </c>
      <c r="O4" s="661"/>
      <c r="P4" s="662" t="str">
        <f>C4</f>
        <v>Palm Beach</v>
      </c>
      <c r="Q4" s="662"/>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70" t="s">
        <v>433</v>
      </c>
      <c r="B7" s="664"/>
      <c r="C7" s="664"/>
      <c r="D7" s="664"/>
      <c r="E7" s="664"/>
      <c r="F7" s="664"/>
      <c r="G7" s="664"/>
      <c r="H7" s="664"/>
      <c r="I7" s="664"/>
      <c r="N7" s="661" t="str">
        <f>A7</f>
        <v>1A.   2023-24 FEFP State and Local Funding</v>
      </c>
      <c r="O7" s="661"/>
      <c r="P7" s="661"/>
      <c r="Q7" s="661"/>
      <c r="R7" s="661"/>
      <c r="S7" s="661"/>
      <c r="T7" s="661"/>
      <c r="U7" s="661"/>
    </row>
    <row r="8" spans="1:21" x14ac:dyDescent="0.25">
      <c r="A8" s="84"/>
      <c r="B8" s="85" t="s">
        <v>92</v>
      </c>
      <c r="C8" s="299">
        <f>'1461'!C8</f>
        <v>5330.98</v>
      </c>
      <c r="D8" s="86"/>
      <c r="E8" s="87"/>
      <c r="F8" s="84"/>
      <c r="G8" s="85" t="s">
        <v>393</v>
      </c>
      <c r="H8" s="287">
        <f>'1461'!H8</f>
        <v>1.0407999999999999</v>
      </c>
      <c r="I8" s="75"/>
      <c r="N8" s="665" t="s">
        <v>10</v>
      </c>
      <c r="O8" s="665"/>
      <c r="P8" s="666">
        <f>C8</f>
        <v>5330.98</v>
      </c>
      <c r="Q8" s="666"/>
      <c r="R8" s="648" t="s">
        <v>394</v>
      </c>
      <c r="S8" s="649"/>
      <c r="T8" s="650">
        <f>H8</f>
        <v>1.0407999999999999</v>
      </c>
      <c r="U8" s="650"/>
    </row>
    <row r="9" spans="1:21" x14ac:dyDescent="0.25">
      <c r="A9" s="84"/>
      <c r="B9" s="85"/>
      <c r="C9" s="222"/>
      <c r="D9" s="86"/>
      <c r="E9" s="87"/>
      <c r="F9" s="84"/>
      <c r="G9" s="85" t="s">
        <v>391</v>
      </c>
      <c r="H9" s="287">
        <f>'1461'!H9</f>
        <v>1</v>
      </c>
      <c r="I9" s="75"/>
      <c r="N9" s="12"/>
      <c r="O9" s="12"/>
      <c r="P9" s="13"/>
      <c r="Q9" s="13"/>
      <c r="R9" s="387" t="s">
        <v>392</v>
      </c>
      <c r="S9" s="384"/>
      <c r="T9" s="650">
        <f>H9</f>
        <v>1</v>
      </c>
      <c r="U9" s="650"/>
    </row>
    <row r="10" spans="1:21" x14ac:dyDescent="0.25">
      <c r="A10" s="7"/>
      <c r="B10" s="42" t="s">
        <v>310</v>
      </c>
      <c r="C10" s="456" t="str">
        <f>'1461'!C10</f>
        <v xml:space="preserve"> </v>
      </c>
      <c r="D10" s="88" t="str">
        <f>'1461'!D10</f>
        <v xml:space="preserve"> </v>
      </c>
      <c r="E10" s="8"/>
      <c r="F10" s="9"/>
      <c r="G10" s="9"/>
      <c r="H10" s="10"/>
      <c r="I10" s="305" t="str">
        <f>'1461'!I10</f>
        <v>2024-25</v>
      </c>
      <c r="J10" s="254"/>
      <c r="K10" s="65"/>
      <c r="L10" s="65"/>
      <c r="N10" s="12"/>
      <c r="O10" s="12"/>
      <c r="P10" s="13"/>
      <c r="Q10" s="13"/>
      <c r="R10" s="14"/>
      <c r="S10" s="14"/>
      <c r="T10" s="15"/>
      <c r="U10" s="366" t="str">
        <f>I10</f>
        <v>2024-25</v>
      </c>
    </row>
    <row r="11" spans="1:21" x14ac:dyDescent="0.25">
      <c r="A11" s="7"/>
      <c r="B11" s="7"/>
      <c r="C11" s="88" t="str">
        <f>'1461'!C11</f>
        <v>Oct 2023</v>
      </c>
      <c r="D11" s="333" t="str">
        <f>'1461'!D11</f>
        <v>Feb 2024</v>
      </c>
      <c r="E11" s="89" t="s">
        <v>8</v>
      </c>
      <c r="F11" s="571" t="s">
        <v>1</v>
      </c>
      <c r="G11" s="571"/>
      <c r="H11" s="10" t="s">
        <v>60</v>
      </c>
      <c r="I11" s="11" t="s">
        <v>27</v>
      </c>
      <c r="J11" s="256"/>
      <c r="K11" s="255"/>
      <c r="L11" s="255"/>
      <c r="N11" s="12"/>
      <c r="O11" s="12"/>
      <c r="P11" s="13"/>
      <c r="Q11" s="13"/>
      <c r="R11" s="651" t="s">
        <v>1</v>
      </c>
      <c r="S11" s="651"/>
      <c r="T11" s="15" t="s">
        <v>60</v>
      </c>
      <c r="U11" s="16" t="s">
        <v>27</v>
      </c>
    </row>
    <row r="12" spans="1:21" ht="15.75" customHeight="1" x14ac:dyDescent="0.25">
      <c r="A12" s="572" t="s">
        <v>1</v>
      </c>
      <c r="B12" s="572"/>
      <c r="C12" s="324" t="str">
        <f>'1461'!C12</f>
        <v>FTE</v>
      </c>
      <c r="D12" s="324" t="str">
        <f>'1461'!D12</f>
        <v>FTE</v>
      </c>
      <c r="E12" s="324" t="s">
        <v>2</v>
      </c>
      <c r="F12" s="573" t="s">
        <v>63</v>
      </c>
      <c r="G12" s="573"/>
      <c r="H12" s="17" t="s">
        <v>59</v>
      </c>
      <c r="I12" s="388" t="s">
        <v>395</v>
      </c>
      <c r="J12" s="254"/>
      <c r="K12" s="255"/>
      <c r="L12" s="255"/>
      <c r="N12" s="639" t="s">
        <v>1</v>
      </c>
      <c r="O12" s="639"/>
      <c r="P12" s="652" t="s">
        <v>19</v>
      </c>
      <c r="Q12" s="652"/>
      <c r="R12" s="653" t="s">
        <v>63</v>
      </c>
      <c r="S12" s="653"/>
      <c r="T12" s="18" t="s">
        <v>59</v>
      </c>
      <c r="U12" s="19" t="str">
        <f>I12</f>
        <v>(WFTE x BSA x CWF x SDF)</v>
      </c>
    </row>
    <row r="13" spans="1:21" x14ac:dyDescent="0.25">
      <c r="A13" s="574" t="s">
        <v>36</v>
      </c>
      <c r="B13" s="574"/>
      <c r="C13" s="91"/>
      <c r="D13" s="91"/>
      <c r="E13" s="92" t="s">
        <v>37</v>
      </c>
      <c r="F13" s="575" t="s">
        <v>38</v>
      </c>
      <c r="G13" s="575"/>
      <c r="H13" s="20" t="s">
        <v>39</v>
      </c>
      <c r="I13" s="21" t="s">
        <v>40</v>
      </c>
      <c r="K13" s="255"/>
      <c r="L13" s="255"/>
      <c r="N13" s="654" t="s">
        <v>36</v>
      </c>
      <c r="O13" s="654"/>
      <c r="P13" s="655" t="s">
        <v>37</v>
      </c>
      <c r="Q13" s="655"/>
      <c r="R13" s="656" t="s">
        <v>38</v>
      </c>
      <c r="S13" s="656"/>
      <c r="T13" s="22" t="s">
        <v>39</v>
      </c>
      <c r="U13" s="23" t="s">
        <v>40</v>
      </c>
    </row>
    <row r="14" spans="1:21" x14ac:dyDescent="0.25">
      <c r="A14" s="576" t="s">
        <v>20</v>
      </c>
      <c r="B14" s="576"/>
      <c r="C14" s="143">
        <v>0</v>
      </c>
      <c r="D14" s="141">
        <v>0</v>
      </c>
      <c r="E14" s="187">
        <f>IF(D$30=0,C14*2,C14+D14)</f>
        <v>0</v>
      </c>
      <c r="F14" s="667">
        <f>'1461'!F14:G14</f>
        <v>1.1180000000000001</v>
      </c>
      <c r="G14" s="667"/>
      <c r="H14" s="145">
        <f>ROUND(E14*F14,4)</f>
        <v>0</v>
      </c>
      <c r="I14" s="111">
        <f>ROUND(ROUND(ROUND(H14*$C$8,4)*($H$8),2)*(MAX($H$9,1)),2)</f>
        <v>0</v>
      </c>
      <c r="N14" s="641" t="s">
        <v>20</v>
      </c>
      <c r="O14" s="641"/>
      <c r="P14" s="642">
        <f t="shared" ref="P14:P29" si="0">IF($H$133=1,E14,0)</f>
        <v>0</v>
      </c>
      <c r="Q14" s="642"/>
      <c r="R14" s="657">
        <v>1</v>
      </c>
      <c r="S14" s="657"/>
      <c r="T14" s="95">
        <f>ROUND(P14*R14,4)</f>
        <v>0</v>
      </c>
      <c r="U14" s="473">
        <f>ROUND(ROUND(ROUND(T14*$C$8,4)*($H$8),2)*(MAX($H$9,1)),2)</f>
        <v>0</v>
      </c>
    </row>
    <row r="15" spans="1:21" x14ac:dyDescent="0.25">
      <c r="A15" s="578" t="s">
        <v>21</v>
      </c>
      <c r="B15" s="578"/>
      <c r="C15" s="143">
        <v>0</v>
      </c>
      <c r="D15" s="143">
        <v>0</v>
      </c>
      <c r="E15" s="116">
        <f t="shared" ref="E15:E29" si="1">IF(D$30=0,C15*2,C15+D15)</f>
        <v>0</v>
      </c>
      <c r="F15" s="663">
        <f>'1461'!F15:G15</f>
        <v>1.1180000000000001</v>
      </c>
      <c r="G15" s="663"/>
      <c r="H15" s="80">
        <f t="shared" ref="H15:H29" si="2">ROUND(E15*F15,4)</f>
        <v>0</v>
      </c>
      <c r="I15" s="101">
        <f t="shared" ref="I15:I29" si="3">ROUND(ROUND(ROUND(H15*$C$8,4)*($H$8),2)*(MAX($H$9,1)),2)</f>
        <v>0</v>
      </c>
      <c r="J15" s="65" t="str">
        <f>IF(ROUND(E15,2)=ROUND(SUM(E57:E59),2)," ","CHECK PK-3 LINES BELOW")</f>
        <v xml:space="preserve"> </v>
      </c>
      <c r="N15" s="601" t="s">
        <v>21</v>
      </c>
      <c r="O15" s="601"/>
      <c r="P15" s="642">
        <f t="shared" si="0"/>
        <v>0</v>
      </c>
      <c r="Q15" s="642"/>
      <c r="R15" s="647">
        <v>1</v>
      </c>
      <c r="S15" s="647"/>
      <c r="T15" s="95">
        <f t="shared" ref="T15:T29" si="4">ROUND(P15*R15,4)</f>
        <v>0</v>
      </c>
      <c r="U15" s="473">
        <f t="shared" ref="U15:U29" si="5">ROUND(ROUND(ROUND(T15*$C$8,4)*($H$8),2)*(MAX($H$9,1)),2)</f>
        <v>0</v>
      </c>
    </row>
    <row r="16" spans="1:21" x14ac:dyDescent="0.25">
      <c r="A16" s="578" t="s">
        <v>22</v>
      </c>
      <c r="B16" s="578"/>
      <c r="C16" s="143">
        <v>224.3</v>
      </c>
      <c r="D16" s="143">
        <v>223.55</v>
      </c>
      <c r="E16" s="116">
        <f t="shared" si="1"/>
        <v>447.85</v>
      </c>
      <c r="F16" s="663">
        <f>'1461'!F16:G16</f>
        <v>1</v>
      </c>
      <c r="G16" s="663"/>
      <c r="H16" s="80">
        <f t="shared" si="2"/>
        <v>447.85</v>
      </c>
      <c r="I16" s="101">
        <f t="shared" si="3"/>
        <v>2484888.5499999998</v>
      </c>
      <c r="N16" s="601" t="s">
        <v>22</v>
      </c>
      <c r="O16" s="601"/>
      <c r="P16" s="642">
        <f t="shared" si="0"/>
        <v>0</v>
      </c>
      <c r="Q16" s="642"/>
      <c r="R16" s="647">
        <v>1</v>
      </c>
      <c r="S16" s="647"/>
      <c r="T16" s="95">
        <f t="shared" si="4"/>
        <v>0</v>
      </c>
      <c r="U16" s="473">
        <f t="shared" si="5"/>
        <v>0</v>
      </c>
    </row>
    <row r="17" spans="1:21" x14ac:dyDescent="0.25">
      <c r="A17" s="578" t="s">
        <v>23</v>
      </c>
      <c r="B17" s="578"/>
      <c r="C17" s="143">
        <v>34.5</v>
      </c>
      <c r="D17" s="143">
        <v>34.99</v>
      </c>
      <c r="E17" s="116">
        <f t="shared" si="1"/>
        <v>69.490000000000009</v>
      </c>
      <c r="F17" s="663">
        <f>'1461'!F17:G17</f>
        <v>1</v>
      </c>
      <c r="G17" s="663"/>
      <c r="H17" s="80">
        <f t="shared" si="2"/>
        <v>69.489999999999995</v>
      </c>
      <c r="I17" s="101">
        <f t="shared" si="3"/>
        <v>385564.15</v>
      </c>
      <c r="J17" s="65" t="str">
        <f>IF(ROUND(E17,2)=ROUND(SUM(E60:E62),2)," ","CHECK 4-8 LINES BELOW")</f>
        <v xml:space="preserve"> </v>
      </c>
      <c r="N17" s="601" t="s">
        <v>23</v>
      </c>
      <c r="O17" s="601"/>
      <c r="P17" s="642">
        <f t="shared" si="0"/>
        <v>0</v>
      </c>
      <c r="Q17" s="642"/>
      <c r="R17" s="647">
        <v>1</v>
      </c>
      <c r="S17" s="647"/>
      <c r="T17" s="95">
        <f t="shared" si="4"/>
        <v>0</v>
      </c>
      <c r="U17" s="473">
        <f t="shared" si="5"/>
        <v>0</v>
      </c>
    </row>
    <row r="18" spans="1:21" x14ac:dyDescent="0.25">
      <c r="A18" s="578" t="s">
        <v>24</v>
      </c>
      <c r="B18" s="578"/>
      <c r="C18" s="143">
        <v>0</v>
      </c>
      <c r="D18" s="143">
        <v>0</v>
      </c>
      <c r="E18" s="116">
        <f t="shared" si="1"/>
        <v>0</v>
      </c>
      <c r="F18" s="663">
        <f>'1461'!F18:G18</f>
        <v>0.97799999999999998</v>
      </c>
      <c r="G18" s="663"/>
      <c r="H18" s="80">
        <f t="shared" si="2"/>
        <v>0</v>
      </c>
      <c r="I18" s="101">
        <f t="shared" si="3"/>
        <v>0</v>
      </c>
      <c r="N18" s="601" t="s">
        <v>24</v>
      </c>
      <c r="O18" s="601"/>
      <c r="P18" s="642">
        <f t="shared" si="0"/>
        <v>0</v>
      </c>
      <c r="Q18" s="642"/>
      <c r="R18" s="647">
        <v>1</v>
      </c>
      <c r="S18" s="647"/>
      <c r="T18" s="95">
        <f t="shared" si="4"/>
        <v>0</v>
      </c>
      <c r="U18" s="473">
        <f t="shared" si="5"/>
        <v>0</v>
      </c>
    </row>
    <row r="19" spans="1:21" x14ac:dyDescent="0.25">
      <c r="A19" s="578" t="s">
        <v>25</v>
      </c>
      <c r="B19" s="578"/>
      <c r="C19" s="143">
        <v>0</v>
      </c>
      <c r="D19" s="143">
        <v>0</v>
      </c>
      <c r="E19" s="116">
        <f t="shared" si="1"/>
        <v>0</v>
      </c>
      <c r="F19" s="663">
        <f>'1461'!F19:G19</f>
        <v>0.97799999999999998</v>
      </c>
      <c r="G19" s="663"/>
      <c r="H19" s="80">
        <f t="shared" si="2"/>
        <v>0</v>
      </c>
      <c r="I19" s="101">
        <f t="shared" si="3"/>
        <v>0</v>
      </c>
      <c r="J19" s="65" t="str">
        <f>IF(ROUND(E19,2)=ROUND(SUM(E63:E65),2)," ","CHECK 4-8 LINES BELOW")</f>
        <v xml:space="preserve"> </v>
      </c>
      <c r="N19" s="601" t="s">
        <v>25</v>
      </c>
      <c r="O19" s="601"/>
      <c r="P19" s="642">
        <f t="shared" si="0"/>
        <v>0</v>
      </c>
      <c r="Q19" s="642"/>
      <c r="R19" s="647">
        <v>1</v>
      </c>
      <c r="S19" s="647"/>
      <c r="T19" s="95">
        <f t="shared" si="4"/>
        <v>0</v>
      </c>
      <c r="U19" s="472">
        <f t="shared" si="5"/>
        <v>0</v>
      </c>
    </row>
    <row r="20" spans="1:21" x14ac:dyDescent="0.25">
      <c r="A20" s="578" t="s">
        <v>79</v>
      </c>
      <c r="B20" s="578"/>
      <c r="C20" s="143">
        <v>0</v>
      </c>
      <c r="D20" s="143">
        <v>0</v>
      </c>
      <c r="E20" s="116">
        <f t="shared" si="1"/>
        <v>0</v>
      </c>
      <c r="F20" s="663">
        <f>'1461'!F20:G20</f>
        <v>3.6970000000000001</v>
      </c>
      <c r="G20" s="663"/>
      <c r="H20" s="80">
        <f t="shared" si="2"/>
        <v>0</v>
      </c>
      <c r="I20" s="101">
        <f t="shared" si="3"/>
        <v>0</v>
      </c>
      <c r="N20" s="601" t="s">
        <v>79</v>
      </c>
      <c r="O20" s="601"/>
      <c r="P20" s="642">
        <f t="shared" si="0"/>
        <v>0</v>
      </c>
      <c r="Q20" s="642"/>
      <c r="R20" s="647">
        <v>1</v>
      </c>
      <c r="S20" s="647"/>
      <c r="T20" s="95">
        <f t="shared" si="4"/>
        <v>0</v>
      </c>
      <c r="U20" s="473">
        <f t="shared" si="5"/>
        <v>0</v>
      </c>
    </row>
    <row r="21" spans="1:21" x14ac:dyDescent="0.25">
      <c r="A21" s="578" t="s">
        <v>80</v>
      </c>
      <c r="B21" s="578"/>
      <c r="C21" s="143">
        <v>0</v>
      </c>
      <c r="D21" s="143">
        <v>0</v>
      </c>
      <c r="E21" s="116">
        <f t="shared" si="1"/>
        <v>0</v>
      </c>
      <c r="F21" s="663">
        <f>'1461'!F21:G21</f>
        <v>3.6970000000000001</v>
      </c>
      <c r="G21" s="663"/>
      <c r="H21" s="80">
        <f t="shared" si="2"/>
        <v>0</v>
      </c>
      <c r="I21" s="101">
        <f t="shared" si="3"/>
        <v>0</v>
      </c>
      <c r="N21" s="601" t="s">
        <v>80</v>
      </c>
      <c r="O21" s="601"/>
      <c r="P21" s="642">
        <f t="shared" si="0"/>
        <v>0</v>
      </c>
      <c r="Q21" s="642"/>
      <c r="R21" s="647">
        <v>1</v>
      </c>
      <c r="S21" s="647"/>
      <c r="T21" s="95">
        <f t="shared" si="4"/>
        <v>0</v>
      </c>
      <c r="U21" s="473">
        <f t="shared" si="5"/>
        <v>0</v>
      </c>
    </row>
    <row r="22" spans="1:21" x14ac:dyDescent="0.25">
      <c r="A22" s="578" t="s">
        <v>81</v>
      </c>
      <c r="B22" s="578"/>
      <c r="C22" s="143">
        <v>0</v>
      </c>
      <c r="D22" s="143">
        <v>0</v>
      </c>
      <c r="E22" s="116">
        <f t="shared" si="1"/>
        <v>0</v>
      </c>
      <c r="F22" s="663">
        <f>'1461'!F22:G22</f>
        <v>3.6970000000000001</v>
      </c>
      <c r="G22" s="663"/>
      <c r="H22" s="80">
        <f t="shared" si="2"/>
        <v>0</v>
      </c>
      <c r="I22" s="101">
        <f t="shared" si="3"/>
        <v>0</v>
      </c>
      <c r="N22" s="601" t="s">
        <v>81</v>
      </c>
      <c r="O22" s="601"/>
      <c r="P22" s="642">
        <f t="shared" si="0"/>
        <v>0</v>
      </c>
      <c r="Q22" s="642"/>
      <c r="R22" s="647">
        <v>1</v>
      </c>
      <c r="S22" s="647"/>
      <c r="T22" s="95">
        <f t="shared" si="4"/>
        <v>0</v>
      </c>
      <c r="U22" s="473">
        <f t="shared" si="5"/>
        <v>0</v>
      </c>
    </row>
    <row r="23" spans="1:21" x14ac:dyDescent="0.25">
      <c r="A23" s="578" t="s">
        <v>82</v>
      </c>
      <c r="B23" s="578"/>
      <c r="C23" s="143">
        <v>0</v>
      </c>
      <c r="D23" s="143">
        <v>0</v>
      </c>
      <c r="E23" s="116">
        <f t="shared" si="1"/>
        <v>0</v>
      </c>
      <c r="F23" s="663">
        <f>'1461'!F23:G23</f>
        <v>5.992</v>
      </c>
      <c r="G23" s="663"/>
      <c r="H23" s="80">
        <f t="shared" si="2"/>
        <v>0</v>
      </c>
      <c r="I23" s="101">
        <f t="shared" si="3"/>
        <v>0</v>
      </c>
      <c r="N23" s="601" t="s">
        <v>82</v>
      </c>
      <c r="O23" s="601"/>
      <c r="P23" s="642">
        <f t="shared" si="0"/>
        <v>0</v>
      </c>
      <c r="Q23" s="642"/>
      <c r="R23" s="647">
        <v>1</v>
      </c>
      <c r="S23" s="647"/>
      <c r="T23" s="95">
        <f t="shared" si="4"/>
        <v>0</v>
      </c>
      <c r="U23" s="473">
        <f t="shared" si="5"/>
        <v>0</v>
      </c>
    </row>
    <row r="24" spans="1:21" x14ac:dyDescent="0.25">
      <c r="A24" s="578" t="s">
        <v>83</v>
      </c>
      <c r="B24" s="578"/>
      <c r="C24" s="143">
        <v>0</v>
      </c>
      <c r="D24" s="143">
        <v>0</v>
      </c>
      <c r="E24" s="116">
        <f t="shared" si="1"/>
        <v>0</v>
      </c>
      <c r="F24" s="663">
        <f>'1461'!F24:G24</f>
        <v>5.992</v>
      </c>
      <c r="G24" s="663"/>
      <c r="H24" s="80">
        <f t="shared" si="2"/>
        <v>0</v>
      </c>
      <c r="I24" s="101">
        <f t="shared" si="3"/>
        <v>0</v>
      </c>
      <c r="N24" s="601" t="s">
        <v>83</v>
      </c>
      <c r="O24" s="601"/>
      <c r="P24" s="642">
        <f t="shared" si="0"/>
        <v>0</v>
      </c>
      <c r="Q24" s="642"/>
      <c r="R24" s="647">
        <v>1</v>
      </c>
      <c r="S24" s="647"/>
      <c r="T24" s="95">
        <f t="shared" si="4"/>
        <v>0</v>
      </c>
      <c r="U24" s="473">
        <f t="shared" si="5"/>
        <v>0</v>
      </c>
    </row>
    <row r="25" spans="1:21" x14ac:dyDescent="0.25">
      <c r="A25" s="578" t="s">
        <v>84</v>
      </c>
      <c r="B25" s="578"/>
      <c r="C25" s="143">
        <v>0</v>
      </c>
      <c r="D25" s="143">
        <v>0</v>
      </c>
      <c r="E25" s="116">
        <f t="shared" si="1"/>
        <v>0</v>
      </c>
      <c r="F25" s="663">
        <f>'1461'!F25:G25</f>
        <v>5.992</v>
      </c>
      <c r="G25" s="663"/>
      <c r="H25" s="80">
        <f t="shared" si="2"/>
        <v>0</v>
      </c>
      <c r="I25" s="101">
        <f t="shared" si="3"/>
        <v>0</v>
      </c>
      <c r="N25" s="601" t="s">
        <v>84</v>
      </c>
      <c r="O25" s="601"/>
      <c r="P25" s="642">
        <f t="shared" si="0"/>
        <v>0</v>
      </c>
      <c r="Q25" s="642"/>
      <c r="R25" s="647">
        <v>1</v>
      </c>
      <c r="S25" s="647"/>
      <c r="T25" s="95">
        <f t="shared" si="4"/>
        <v>0</v>
      </c>
      <c r="U25" s="473">
        <f t="shared" si="5"/>
        <v>0</v>
      </c>
    </row>
    <row r="26" spans="1:21" x14ac:dyDescent="0.25">
      <c r="A26" s="578" t="s">
        <v>85</v>
      </c>
      <c r="B26" s="578"/>
      <c r="C26" s="143">
        <v>0</v>
      </c>
      <c r="D26" s="143">
        <v>0</v>
      </c>
      <c r="E26" s="116">
        <f t="shared" si="1"/>
        <v>0</v>
      </c>
      <c r="F26" s="663">
        <f>'1461'!F26:G26</f>
        <v>1.1919999999999999</v>
      </c>
      <c r="G26" s="663"/>
      <c r="H26" s="80">
        <f t="shared" si="2"/>
        <v>0</v>
      </c>
      <c r="I26" s="101">
        <f t="shared" si="3"/>
        <v>0</v>
      </c>
      <c r="N26" s="601" t="s">
        <v>85</v>
      </c>
      <c r="O26" s="601"/>
      <c r="P26" s="642">
        <f t="shared" si="0"/>
        <v>0</v>
      </c>
      <c r="Q26" s="642"/>
      <c r="R26" s="647">
        <v>1</v>
      </c>
      <c r="S26" s="647"/>
      <c r="T26" s="95">
        <f t="shared" si="4"/>
        <v>0</v>
      </c>
      <c r="U26" s="473">
        <f t="shared" si="5"/>
        <v>0</v>
      </c>
    </row>
    <row r="27" spans="1:21" x14ac:dyDescent="0.25">
      <c r="A27" s="578" t="s">
        <v>86</v>
      </c>
      <c r="B27" s="578"/>
      <c r="C27" s="143">
        <v>4.01</v>
      </c>
      <c r="D27" s="143">
        <v>2.91</v>
      </c>
      <c r="E27" s="116">
        <f t="shared" si="1"/>
        <v>6.92</v>
      </c>
      <c r="F27" s="663">
        <f>'1461'!F27:G27</f>
        <v>1.1919999999999999</v>
      </c>
      <c r="G27" s="663"/>
      <c r="H27" s="80">
        <f t="shared" si="2"/>
        <v>8.2485999999999997</v>
      </c>
      <c r="I27" s="101">
        <f t="shared" si="3"/>
        <v>45767.22</v>
      </c>
      <c r="N27" s="601" t="s">
        <v>86</v>
      </c>
      <c r="O27" s="601"/>
      <c r="P27" s="642">
        <f t="shared" si="0"/>
        <v>0</v>
      </c>
      <c r="Q27" s="642"/>
      <c r="R27" s="647">
        <v>1</v>
      </c>
      <c r="S27" s="647"/>
      <c r="T27" s="95">
        <f t="shared" si="4"/>
        <v>0</v>
      </c>
      <c r="U27" s="473">
        <f t="shared" si="5"/>
        <v>0</v>
      </c>
    </row>
    <row r="28" spans="1:21" x14ac:dyDescent="0.25">
      <c r="A28" s="578" t="s">
        <v>87</v>
      </c>
      <c r="B28" s="578"/>
      <c r="C28" s="143">
        <v>0</v>
      </c>
      <c r="D28" s="143">
        <v>0</v>
      </c>
      <c r="E28" s="116">
        <f t="shared" si="1"/>
        <v>0</v>
      </c>
      <c r="F28" s="663">
        <f>'1461'!F28:G28</f>
        <v>1.1919999999999999</v>
      </c>
      <c r="G28" s="663"/>
      <c r="H28" s="80">
        <f t="shared" si="2"/>
        <v>0</v>
      </c>
      <c r="I28" s="101">
        <f t="shared" si="3"/>
        <v>0</v>
      </c>
      <c r="N28" s="601" t="s">
        <v>87</v>
      </c>
      <c r="O28" s="601"/>
      <c r="P28" s="642">
        <f t="shared" si="0"/>
        <v>0</v>
      </c>
      <c r="Q28" s="642"/>
      <c r="R28" s="647">
        <v>1</v>
      </c>
      <c r="S28" s="647"/>
      <c r="T28" s="95">
        <f t="shared" si="4"/>
        <v>0</v>
      </c>
      <c r="U28" s="473">
        <f t="shared" si="5"/>
        <v>0</v>
      </c>
    </row>
    <row r="29" spans="1:21" x14ac:dyDescent="0.25">
      <c r="A29" s="578" t="s">
        <v>88</v>
      </c>
      <c r="B29" s="578"/>
      <c r="C29" s="110">
        <v>0</v>
      </c>
      <c r="D29" s="110">
        <v>0</v>
      </c>
      <c r="E29" s="154">
        <f t="shared" si="1"/>
        <v>0</v>
      </c>
      <c r="F29" s="663">
        <f>'1461'!F29:G29</f>
        <v>1.079</v>
      </c>
      <c r="G29" s="663"/>
      <c r="H29" s="93">
        <f t="shared" si="2"/>
        <v>0</v>
      </c>
      <c r="I29" s="94">
        <f t="shared" si="3"/>
        <v>0</v>
      </c>
      <c r="N29" s="616" t="s">
        <v>88</v>
      </c>
      <c r="O29" s="616"/>
      <c r="P29" s="642">
        <f t="shared" si="0"/>
        <v>0</v>
      </c>
      <c r="Q29" s="642"/>
      <c r="R29" s="643">
        <v>1</v>
      </c>
      <c r="S29" s="643"/>
      <c r="T29" s="95">
        <f t="shared" si="4"/>
        <v>0</v>
      </c>
      <c r="U29" s="473">
        <f t="shared" si="5"/>
        <v>0</v>
      </c>
    </row>
    <row r="30" spans="1:21" x14ac:dyDescent="0.25">
      <c r="A30" s="590" t="s">
        <v>5</v>
      </c>
      <c r="B30" s="590"/>
      <c r="C30" s="94">
        <f>SUM(C14:C29)</f>
        <v>262.81</v>
      </c>
      <c r="D30" s="94">
        <f>SUM(D14:D29)</f>
        <v>261.45000000000005</v>
      </c>
      <c r="E30" s="94">
        <f>SUM(E14:E29)</f>
        <v>524.26</v>
      </c>
      <c r="F30" s="582"/>
      <c r="G30" s="582"/>
      <c r="H30" s="99">
        <f>SUM(H14:H29)</f>
        <v>525.58860000000004</v>
      </c>
      <c r="I30" s="94">
        <f>SUM(I14:I29)</f>
        <v>2916219.92</v>
      </c>
      <c r="N30" s="644" t="s">
        <v>5</v>
      </c>
      <c r="O30" s="644"/>
      <c r="P30" s="645">
        <f>SUM(P14:P29)</f>
        <v>0</v>
      </c>
      <c r="Q30" s="645"/>
      <c r="R30" s="617"/>
      <c r="S30" s="617"/>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0" t="s">
        <v>233</v>
      </c>
      <c r="G34" s="670"/>
      <c r="H34" s="670"/>
      <c r="I34" s="101"/>
      <c r="N34" s="28"/>
      <c r="O34" s="28"/>
      <c r="P34" s="29"/>
      <c r="Q34" s="29"/>
      <c r="R34" s="30"/>
      <c r="S34" s="30"/>
      <c r="T34" s="102"/>
      <c r="U34" s="103"/>
    </row>
    <row r="35" spans="1:21" hidden="1" x14ac:dyDescent="0.25">
      <c r="A35" s="3"/>
      <c r="B35" s="69"/>
      <c r="C35" s="69"/>
      <c r="D35" s="69"/>
      <c r="E35" s="69"/>
      <c r="F35" s="670"/>
      <c r="G35" s="670"/>
      <c r="H35" s="670"/>
      <c r="I35" s="24" t="s">
        <v>61</v>
      </c>
      <c r="N35" s="627" t="s">
        <v>26</v>
      </c>
      <c r="O35" s="627"/>
      <c r="P35" s="627"/>
      <c r="Q35" s="627"/>
      <c r="R35" s="627"/>
      <c r="S35" s="627"/>
      <c r="T35" s="627"/>
      <c r="U35" s="25" t="str">
        <f>I35</f>
        <v>2015-16</v>
      </c>
    </row>
    <row r="36" spans="1:21" hidden="1" x14ac:dyDescent="0.25">
      <c r="A36" s="26"/>
      <c r="B36" s="26"/>
      <c r="C36" s="88" t="s">
        <v>93</v>
      </c>
      <c r="D36" s="88" t="s">
        <v>94</v>
      </c>
      <c r="E36" s="89" t="s">
        <v>8</v>
      </c>
      <c r="F36" s="670"/>
      <c r="G36" s="670"/>
      <c r="H36" s="670"/>
      <c r="I36" s="24" t="s">
        <v>27</v>
      </c>
      <c r="N36" s="28"/>
      <c r="O36" s="28"/>
      <c r="P36" s="29"/>
      <c r="Q36" s="29"/>
      <c r="R36" s="30"/>
      <c r="S36" s="30"/>
      <c r="T36" s="102"/>
      <c r="U36" s="25" t="s">
        <v>27</v>
      </c>
    </row>
    <row r="37" spans="1:21" ht="26.25" hidden="1" x14ac:dyDescent="0.25">
      <c r="A37" s="572" t="s">
        <v>50</v>
      </c>
      <c r="B37" s="572"/>
      <c r="C37" s="90" t="s">
        <v>2</v>
      </c>
      <c r="D37" s="90" t="s">
        <v>2</v>
      </c>
      <c r="E37" s="90" t="s">
        <v>2</v>
      </c>
      <c r="F37" s="671"/>
      <c r="G37" s="671"/>
      <c r="H37" s="671"/>
      <c r="I37" s="31" t="s">
        <v>395</v>
      </c>
      <c r="N37" s="639" t="s">
        <v>50</v>
      </c>
      <c r="O37" s="639"/>
      <c r="P37" s="640" t="s">
        <v>19</v>
      </c>
      <c r="Q37" s="640"/>
      <c r="R37" s="640"/>
      <c r="S37" s="640"/>
      <c r="T37" s="640"/>
      <c r="U37" s="19" t="str">
        <f>I37</f>
        <v>(WFTE x BSA x CWF x SDF)</v>
      </c>
    </row>
    <row r="38" spans="1:21" hidden="1" x14ac:dyDescent="0.25">
      <c r="A38" s="576" t="s">
        <v>45</v>
      </c>
      <c r="B38" s="576"/>
      <c r="C38" s="147">
        <v>0</v>
      </c>
      <c r="D38" s="147">
        <v>0</v>
      </c>
      <c r="E38" s="187">
        <f t="shared" ref="E38:E43" si="6">IF(D$44=0,C38*2,C38+D38)</f>
        <v>0</v>
      </c>
      <c r="F38" s="148"/>
      <c r="G38" s="148"/>
      <c r="H38" s="148"/>
      <c r="I38" s="111">
        <f>ROUND(ROUND(ROUND(E38*$C$8,4)*($H$8),2)*(MAX($H$9,1)),2)</f>
        <v>0</v>
      </c>
      <c r="N38" s="641" t="s">
        <v>45</v>
      </c>
      <c r="O38" s="641"/>
      <c r="P38" s="608">
        <f t="shared" ref="P38:P43" si="7">IF($H$133=1,E38,0)</f>
        <v>0</v>
      </c>
      <c r="Q38" s="608"/>
      <c r="R38" s="608"/>
      <c r="S38" s="608"/>
      <c r="T38" s="608"/>
      <c r="U38" s="98">
        <f>ROUND(ROUND(ROUND(P38*$C$8,4)*($H$8),2)*(MAX($H$9,1)),2)</f>
        <v>0</v>
      </c>
    </row>
    <row r="39" spans="1:21" hidden="1" x14ac:dyDescent="0.25">
      <c r="A39" s="578" t="s">
        <v>46</v>
      </c>
      <c r="B39" s="578"/>
      <c r="C39" s="150">
        <v>0</v>
      </c>
      <c r="D39" s="150">
        <v>0</v>
      </c>
      <c r="E39" s="116">
        <f t="shared" si="6"/>
        <v>0</v>
      </c>
      <c r="F39" s="151"/>
      <c r="G39" s="151"/>
      <c r="H39" s="151"/>
      <c r="I39" s="101">
        <f t="shared" ref="I39:I43" si="8">ROUND(ROUND(ROUND(E39*$C$8,4)*($H$8),2)*(MAX($H$9,1)),2)</f>
        <v>0</v>
      </c>
      <c r="N39" s="601" t="s">
        <v>46</v>
      </c>
      <c r="O39" s="601"/>
      <c r="P39" s="608">
        <f t="shared" si="7"/>
        <v>0</v>
      </c>
      <c r="Q39" s="608"/>
      <c r="R39" s="608"/>
      <c r="S39" s="608"/>
      <c r="T39" s="608"/>
      <c r="U39" s="98">
        <f t="shared" ref="U39:U43" si="9">ROUND(ROUND(ROUND(P39*$C$8,4)*($H$8),2)*(MAX($H$9,1)),2)</f>
        <v>0</v>
      </c>
    </row>
    <row r="40" spans="1:21" hidden="1" x14ac:dyDescent="0.25">
      <c r="A40" s="583" t="s">
        <v>47</v>
      </c>
      <c r="B40" s="583"/>
      <c r="C40" s="150">
        <v>0</v>
      </c>
      <c r="D40" s="150">
        <v>0</v>
      </c>
      <c r="E40" s="116">
        <f t="shared" si="6"/>
        <v>0</v>
      </c>
      <c r="F40" s="151"/>
      <c r="G40" s="151"/>
      <c r="H40" s="151"/>
      <c r="I40" s="101">
        <f t="shared" si="8"/>
        <v>0</v>
      </c>
      <c r="N40" s="646" t="s">
        <v>47</v>
      </c>
      <c r="O40" s="646"/>
      <c r="P40" s="608">
        <f t="shared" si="7"/>
        <v>0</v>
      </c>
      <c r="Q40" s="608"/>
      <c r="R40" s="608"/>
      <c r="S40" s="608"/>
      <c r="T40" s="608"/>
      <c r="U40" s="98">
        <f t="shared" si="9"/>
        <v>0</v>
      </c>
    </row>
    <row r="41" spans="1:21" hidden="1" x14ac:dyDescent="0.25">
      <c r="A41" s="578" t="s">
        <v>48</v>
      </c>
      <c r="B41" s="578"/>
      <c r="C41" s="150">
        <v>0</v>
      </c>
      <c r="D41" s="150">
        <v>0</v>
      </c>
      <c r="E41" s="116">
        <f t="shared" si="6"/>
        <v>0</v>
      </c>
      <c r="F41" s="151"/>
      <c r="G41" s="151"/>
      <c r="H41" s="151"/>
      <c r="I41" s="101">
        <f t="shared" si="8"/>
        <v>0</v>
      </c>
      <c r="N41" s="601" t="s">
        <v>48</v>
      </c>
      <c r="O41" s="601"/>
      <c r="P41" s="608">
        <f t="shared" si="7"/>
        <v>0</v>
      </c>
      <c r="Q41" s="608"/>
      <c r="R41" s="608"/>
      <c r="S41" s="608"/>
      <c r="T41" s="608"/>
      <c r="U41" s="98">
        <f t="shared" si="9"/>
        <v>0</v>
      </c>
    </row>
    <row r="42" spans="1:21" hidden="1" x14ac:dyDescent="0.25">
      <c r="A42" s="578" t="s">
        <v>49</v>
      </c>
      <c r="B42" s="578"/>
      <c r="C42" s="150">
        <v>0</v>
      </c>
      <c r="D42" s="150">
        <v>0</v>
      </c>
      <c r="E42" s="116">
        <f t="shared" si="6"/>
        <v>0</v>
      </c>
      <c r="F42" s="151"/>
      <c r="G42" s="151"/>
      <c r="H42" s="151"/>
      <c r="I42" s="101">
        <f t="shared" si="8"/>
        <v>0</v>
      </c>
      <c r="N42" s="601" t="s">
        <v>49</v>
      </c>
      <c r="O42" s="601"/>
      <c r="P42" s="608">
        <f t="shared" si="7"/>
        <v>0</v>
      </c>
      <c r="Q42" s="608"/>
      <c r="R42" s="608"/>
      <c r="S42" s="608"/>
      <c r="T42" s="608"/>
      <c r="U42" s="98">
        <f t="shared" si="9"/>
        <v>0</v>
      </c>
    </row>
    <row r="43" spans="1:21" hidden="1" x14ac:dyDescent="0.25">
      <c r="A43" s="578" t="s">
        <v>41</v>
      </c>
      <c r="B43" s="578"/>
      <c r="C43" s="149">
        <v>0</v>
      </c>
      <c r="D43" s="149">
        <v>0</v>
      </c>
      <c r="E43" s="154">
        <f t="shared" si="6"/>
        <v>0</v>
      </c>
      <c r="F43" s="151"/>
      <c r="G43" s="151"/>
      <c r="H43" s="151"/>
      <c r="I43" s="94">
        <f t="shared" si="8"/>
        <v>0</v>
      </c>
      <c r="N43" s="616" t="s">
        <v>41</v>
      </c>
      <c r="O43" s="616"/>
      <c r="P43" s="608">
        <f t="shared" si="7"/>
        <v>0</v>
      </c>
      <c r="Q43" s="608"/>
      <c r="R43" s="608"/>
      <c r="S43" s="608"/>
      <c r="T43" s="60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3" t="s">
        <v>43</v>
      </c>
      <c r="O44" s="603"/>
      <c r="P44" s="603"/>
      <c r="Q44" s="603"/>
      <c r="R44" s="33">
        <f>SUM(P38:R43)</f>
        <v>0</v>
      </c>
      <c r="S44" s="617" t="s">
        <v>51</v>
      </c>
      <c r="T44" s="617"/>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525.58860000000004</v>
      </c>
      <c r="F46" s="34"/>
      <c r="G46" s="106"/>
      <c r="H46" s="107" t="s">
        <v>98</v>
      </c>
      <c r="I46" s="94">
        <f>SUM(I44,I30)</f>
        <v>2916219.92</v>
      </c>
      <c r="N46" s="603" t="s">
        <v>44</v>
      </c>
      <c r="O46" s="603"/>
      <c r="P46" s="603"/>
      <c r="Q46" s="603"/>
      <c r="R46" s="35">
        <f>R44+T30</f>
        <v>0</v>
      </c>
      <c r="S46" s="617" t="s">
        <v>42</v>
      </c>
      <c r="T46" s="617"/>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396</v>
      </c>
      <c r="B48" s="26"/>
      <c r="C48" s="26"/>
      <c r="D48" s="26"/>
      <c r="E48" s="26"/>
      <c r="F48" s="34"/>
      <c r="G48" s="27"/>
      <c r="H48" s="27"/>
      <c r="I48" s="101"/>
      <c r="N48" s="383" t="s">
        <v>396</v>
      </c>
      <c r="O48" s="28"/>
      <c r="P48" s="28"/>
      <c r="Q48" s="28"/>
      <c r="R48" s="35"/>
      <c r="S48" s="30"/>
      <c r="T48" s="30"/>
      <c r="U48" s="402"/>
    </row>
    <row r="49" spans="1:22" s="391" customFormat="1" ht="9" customHeight="1" x14ac:dyDescent="0.2">
      <c r="A49" s="481" t="s">
        <v>397</v>
      </c>
      <c r="F49" s="392"/>
      <c r="G49" s="393"/>
      <c r="H49" s="393"/>
      <c r="I49" s="394"/>
      <c r="N49" s="403" t="s">
        <v>397</v>
      </c>
      <c r="O49" s="395"/>
      <c r="P49" s="395"/>
      <c r="Q49" s="395"/>
      <c r="R49" s="396"/>
      <c r="S49" s="397"/>
      <c r="T49" s="397"/>
      <c r="U49" s="404"/>
    </row>
    <row r="50" spans="1:22" s="391" customFormat="1" ht="11.25" customHeight="1" x14ac:dyDescent="0.2">
      <c r="A50" s="483" t="s">
        <v>398</v>
      </c>
      <c r="F50" s="392"/>
      <c r="G50" s="393"/>
      <c r="H50" s="393"/>
      <c r="I50" s="394"/>
      <c r="N50" s="405" t="s">
        <v>398</v>
      </c>
      <c r="O50" s="395"/>
      <c r="P50" s="395"/>
      <c r="Q50" s="395"/>
      <c r="R50" s="396"/>
      <c r="S50" s="397"/>
      <c r="T50" s="397"/>
      <c r="U50" s="404"/>
    </row>
    <row r="51" spans="1:22" x14ac:dyDescent="0.25">
      <c r="A51" s="389"/>
      <c r="B51" s="399" t="s">
        <v>399</v>
      </c>
      <c r="C51" s="26"/>
      <c r="D51" s="26"/>
      <c r="E51" s="43" t="s">
        <v>400</v>
      </c>
      <c r="F51" s="400">
        <f>I46</f>
        <v>2916219.92</v>
      </c>
      <c r="G51" s="109" t="s">
        <v>6</v>
      </c>
      <c r="H51" s="401">
        <v>4.5199999999999997E-2</v>
      </c>
      <c r="I51" s="101">
        <f>ROUND(F51*H51,2)</f>
        <v>131813.14000000001</v>
      </c>
      <c r="N51" s="406"/>
      <c r="O51" s="407" t="s">
        <v>399</v>
      </c>
      <c r="P51" s="28"/>
      <c r="Q51" s="44" t="s">
        <v>400</v>
      </c>
      <c r="R51" s="408">
        <f>U30</f>
        <v>0</v>
      </c>
      <c r="S51" s="409" t="s">
        <v>6</v>
      </c>
      <c r="T51" s="410">
        <v>4.5199999999999997E-2</v>
      </c>
      <c r="U51" s="402">
        <f>ROUND(R51*T51,2)</f>
        <v>0</v>
      </c>
    </row>
    <row r="52" spans="1:22" x14ac:dyDescent="0.25">
      <c r="A52" s="26"/>
      <c r="B52" s="81" t="s">
        <v>401</v>
      </c>
      <c r="C52" s="26"/>
      <c r="D52" s="26"/>
      <c r="E52" s="43" t="s">
        <v>400</v>
      </c>
      <c r="F52" s="400">
        <f>I46</f>
        <v>2916219.92</v>
      </c>
      <c r="G52" s="109" t="s">
        <v>6</v>
      </c>
      <c r="H52" s="401">
        <v>1.41E-2</v>
      </c>
      <c r="I52" s="101">
        <f>ROUND(F52*H52,2)</f>
        <v>41118.699999999997</v>
      </c>
      <c r="N52" s="28"/>
      <c r="O52" s="383" t="s">
        <v>401</v>
      </c>
      <c r="P52" s="28"/>
      <c r="Q52" s="44" t="s">
        <v>400</v>
      </c>
      <c r="R52" s="408">
        <f>U30</f>
        <v>0</v>
      </c>
      <c r="S52" s="409" t="s">
        <v>6</v>
      </c>
      <c r="T52" s="410">
        <v>1.41E-2</v>
      </c>
      <c r="U52" s="411">
        <f>ROUND(R52*T52,2)</f>
        <v>0</v>
      </c>
    </row>
    <row r="53" spans="1:22" x14ac:dyDescent="0.25">
      <c r="A53" s="26"/>
      <c r="B53" s="81" t="s">
        <v>402</v>
      </c>
      <c r="C53" s="26"/>
      <c r="D53" s="26"/>
      <c r="E53" s="43"/>
      <c r="F53" s="400"/>
      <c r="G53" s="109"/>
      <c r="H53" s="401"/>
      <c r="I53" s="97">
        <f>SUM(I51:I52)</f>
        <v>172931.84000000003</v>
      </c>
      <c r="N53" s="28"/>
      <c r="O53" s="383" t="s">
        <v>402</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440</v>
      </c>
      <c r="G55" s="109" t="s">
        <v>441</v>
      </c>
      <c r="H55" s="454" t="s">
        <v>442</v>
      </c>
      <c r="I55" s="101"/>
      <c r="N55" s="448"/>
      <c r="O55" s="448"/>
      <c r="P55" s="464"/>
      <c r="Q55" s="465"/>
      <c r="R55" s="466"/>
      <c r="S55" s="468" t="s">
        <v>441</v>
      </c>
      <c r="T55" s="469" t="s">
        <v>442</v>
      </c>
      <c r="U55" s="467"/>
      <c r="V55" s="424"/>
    </row>
    <row r="56" spans="1:22" x14ac:dyDescent="0.25">
      <c r="A56" s="36" t="s">
        <v>443</v>
      </c>
      <c r="B56" s="36"/>
      <c r="C56" s="324" t="str">
        <f>'1461'!C56</f>
        <v>FTE</v>
      </c>
      <c r="D56" s="324" t="str">
        <f>'1461'!D56</f>
        <v>FTE</v>
      </c>
      <c r="E56" s="90" t="s">
        <v>2</v>
      </c>
      <c r="F56" s="439" t="s">
        <v>444</v>
      </c>
      <c r="G56" s="441" t="s">
        <v>444</v>
      </c>
      <c r="H56" s="455" t="s">
        <v>445</v>
      </c>
      <c r="I56" s="36"/>
      <c r="N56" s="459" t="s">
        <v>443</v>
      </c>
      <c r="O56" s="459"/>
      <c r="P56" s="620" t="s">
        <v>2</v>
      </c>
      <c r="Q56" s="620"/>
      <c r="R56" s="459" t="s">
        <v>449</v>
      </c>
      <c r="S56" s="450" t="s">
        <v>444</v>
      </c>
      <c r="T56" s="470" t="s">
        <v>445</v>
      </c>
      <c r="U56" s="459"/>
      <c r="V56" s="458"/>
    </row>
    <row r="57" spans="1:22" x14ac:dyDescent="0.25">
      <c r="A57" s="588" t="s">
        <v>447</v>
      </c>
      <c r="B57" s="588"/>
      <c r="C57" s="143">
        <v>0</v>
      </c>
      <c r="D57" s="143">
        <v>0</v>
      </c>
      <c r="E57" s="116">
        <f t="shared" ref="E57:E65" si="10">IF(D$66=0,C57*2,C57+D57)</f>
        <v>0</v>
      </c>
      <c r="F57" s="443" t="s">
        <v>439</v>
      </c>
      <c r="G57" s="443">
        <v>251</v>
      </c>
      <c r="H57" s="457">
        <f>'1461'!H57</f>
        <v>1047</v>
      </c>
      <c r="I57" s="101">
        <f>ROUND(E57*H57,2)</f>
        <v>0</v>
      </c>
      <c r="N57" s="618" t="s">
        <v>447</v>
      </c>
      <c r="O57" s="618"/>
      <c r="P57" s="621"/>
      <c r="Q57" s="621"/>
      <c r="R57" s="449" t="s">
        <v>439</v>
      </c>
      <c r="S57" s="449">
        <v>251</v>
      </c>
      <c r="T57" s="460">
        <f>H57</f>
        <v>1047</v>
      </c>
      <c r="U57" s="474">
        <f>ROUND(P57*T57,2)</f>
        <v>0</v>
      </c>
      <c r="V57" s="424"/>
    </row>
    <row r="58" spans="1:22" x14ac:dyDescent="0.25">
      <c r="A58" s="589"/>
      <c r="B58" s="589"/>
      <c r="C58" s="143">
        <v>0</v>
      </c>
      <c r="D58" s="143">
        <v>0</v>
      </c>
      <c r="E58" s="116">
        <f t="shared" si="10"/>
        <v>0</v>
      </c>
      <c r="F58" s="443" t="s">
        <v>439</v>
      </c>
      <c r="G58" s="443">
        <v>252</v>
      </c>
      <c r="H58" s="457">
        <f>'1461'!H58</f>
        <v>3380</v>
      </c>
      <c r="I58" s="101">
        <f t="shared" ref="I58:I65" si="11">ROUND(E58*H58,2)</f>
        <v>0</v>
      </c>
      <c r="N58" s="619"/>
      <c r="O58" s="619"/>
      <c r="P58" s="622"/>
      <c r="Q58" s="622"/>
      <c r="R58" s="449" t="s">
        <v>439</v>
      </c>
      <c r="S58" s="449">
        <v>252</v>
      </c>
      <c r="T58" s="460">
        <f t="shared" ref="T58:T65" si="12">H58</f>
        <v>3380</v>
      </c>
      <c r="U58" s="474">
        <f t="shared" ref="U58:U65" si="13">ROUND(P58*T58,2)</f>
        <v>0</v>
      </c>
      <c r="V58" s="424"/>
    </row>
    <row r="59" spans="1:22" x14ac:dyDescent="0.25">
      <c r="A59" s="589"/>
      <c r="B59" s="589"/>
      <c r="C59" s="143">
        <v>0</v>
      </c>
      <c r="D59" s="143">
        <v>0</v>
      </c>
      <c r="E59" s="116">
        <f t="shared" si="10"/>
        <v>0</v>
      </c>
      <c r="F59" s="443" t="s">
        <v>439</v>
      </c>
      <c r="G59" s="443">
        <v>253</v>
      </c>
      <c r="H59" s="457">
        <f>'1461'!H59</f>
        <v>6896</v>
      </c>
      <c r="I59" s="101">
        <f t="shared" si="11"/>
        <v>0</v>
      </c>
      <c r="N59" s="619"/>
      <c r="O59" s="619"/>
      <c r="P59" s="622"/>
      <c r="Q59" s="622"/>
      <c r="R59" s="449" t="s">
        <v>439</v>
      </c>
      <c r="S59" s="449">
        <v>253</v>
      </c>
      <c r="T59" s="460">
        <f t="shared" si="12"/>
        <v>6896</v>
      </c>
      <c r="U59" s="474">
        <f t="shared" si="13"/>
        <v>0</v>
      </c>
      <c r="V59" s="424"/>
    </row>
    <row r="60" spans="1:22" x14ac:dyDescent="0.25">
      <c r="A60" s="589"/>
      <c r="B60" s="589"/>
      <c r="C60" s="143">
        <v>34</v>
      </c>
      <c r="D60" s="143">
        <v>34.49</v>
      </c>
      <c r="E60" s="116">
        <f t="shared" si="10"/>
        <v>68.490000000000009</v>
      </c>
      <c r="F60" s="444" t="s">
        <v>13</v>
      </c>
      <c r="G60" s="443">
        <v>251</v>
      </c>
      <c r="H60" s="457">
        <f>'1461'!H60</f>
        <v>1173</v>
      </c>
      <c r="I60" s="101">
        <f t="shared" si="11"/>
        <v>80338.77</v>
      </c>
      <c r="N60" s="619"/>
      <c r="O60" s="619"/>
      <c r="P60" s="622"/>
      <c r="Q60" s="622"/>
      <c r="R60" s="40" t="s">
        <v>13</v>
      </c>
      <c r="S60" s="449">
        <v>251</v>
      </c>
      <c r="T60" s="460">
        <f t="shared" si="12"/>
        <v>1173</v>
      </c>
      <c r="U60" s="474">
        <f t="shared" si="13"/>
        <v>0</v>
      </c>
      <c r="V60" s="424"/>
    </row>
    <row r="61" spans="1:22" x14ac:dyDescent="0.25">
      <c r="A61" s="589"/>
      <c r="B61" s="589"/>
      <c r="C61" s="143">
        <v>0.5</v>
      </c>
      <c r="D61" s="143">
        <v>0.5</v>
      </c>
      <c r="E61" s="116">
        <f t="shared" si="10"/>
        <v>1</v>
      </c>
      <c r="F61" s="444" t="s">
        <v>13</v>
      </c>
      <c r="G61" s="443">
        <v>252</v>
      </c>
      <c r="H61" s="457">
        <f>'1461'!H61</f>
        <v>3506</v>
      </c>
      <c r="I61" s="101">
        <f t="shared" si="11"/>
        <v>3506</v>
      </c>
      <c r="N61" s="619"/>
      <c r="O61" s="619"/>
      <c r="P61" s="622"/>
      <c r="Q61" s="622"/>
      <c r="R61" s="40" t="s">
        <v>13</v>
      </c>
      <c r="S61" s="449">
        <v>252</v>
      </c>
      <c r="T61" s="460">
        <f t="shared" si="12"/>
        <v>3506</v>
      </c>
      <c r="U61" s="474">
        <f t="shared" si="13"/>
        <v>0</v>
      </c>
      <c r="V61" s="424"/>
    </row>
    <row r="62" spans="1:22" x14ac:dyDescent="0.25">
      <c r="A62" s="589"/>
      <c r="B62" s="589"/>
      <c r="C62" s="143">
        <v>0</v>
      </c>
      <c r="D62" s="143">
        <v>0</v>
      </c>
      <c r="E62" s="116">
        <f t="shared" si="10"/>
        <v>0</v>
      </c>
      <c r="F62" s="444" t="s">
        <v>13</v>
      </c>
      <c r="G62" s="443">
        <v>253</v>
      </c>
      <c r="H62" s="457">
        <f>'1461'!H62</f>
        <v>7023</v>
      </c>
      <c r="I62" s="101">
        <f t="shared" si="11"/>
        <v>0</v>
      </c>
      <c r="N62" s="619"/>
      <c r="O62" s="619"/>
      <c r="P62" s="622"/>
      <c r="Q62" s="622"/>
      <c r="R62" s="40" t="s">
        <v>13</v>
      </c>
      <c r="S62" s="449">
        <v>253</v>
      </c>
      <c r="T62" s="460">
        <f t="shared" si="12"/>
        <v>7023</v>
      </c>
      <c r="U62" s="474">
        <f t="shared" si="13"/>
        <v>0</v>
      </c>
      <c r="V62" s="424"/>
    </row>
    <row r="63" spans="1:22" x14ac:dyDescent="0.25">
      <c r="A63" s="589"/>
      <c r="B63" s="589"/>
      <c r="C63" s="143">
        <v>0</v>
      </c>
      <c r="D63" s="143">
        <v>0</v>
      </c>
      <c r="E63" s="116">
        <f t="shared" si="10"/>
        <v>0</v>
      </c>
      <c r="F63" s="444" t="s">
        <v>14</v>
      </c>
      <c r="G63" s="443">
        <v>251</v>
      </c>
      <c r="H63" s="457">
        <f>'1461'!H63</f>
        <v>835</v>
      </c>
      <c r="I63" s="101">
        <f t="shared" si="11"/>
        <v>0</v>
      </c>
      <c r="N63" s="619"/>
      <c r="O63" s="619"/>
      <c r="P63" s="622"/>
      <c r="Q63" s="622"/>
      <c r="R63" s="40" t="s">
        <v>14</v>
      </c>
      <c r="S63" s="449">
        <v>251</v>
      </c>
      <c r="T63" s="460">
        <f t="shared" si="12"/>
        <v>835</v>
      </c>
      <c r="U63" s="474">
        <f t="shared" si="13"/>
        <v>0</v>
      </c>
      <c r="V63" s="424"/>
    </row>
    <row r="64" spans="1:22" x14ac:dyDescent="0.25">
      <c r="A64" s="589"/>
      <c r="B64" s="589"/>
      <c r="C64" s="143">
        <v>0</v>
      </c>
      <c r="D64" s="143">
        <v>0</v>
      </c>
      <c r="E64" s="116">
        <f t="shared" si="10"/>
        <v>0</v>
      </c>
      <c r="F64" s="444" t="s">
        <v>14</v>
      </c>
      <c r="G64" s="443">
        <v>252</v>
      </c>
      <c r="H64" s="457">
        <f>'1461'!H64</f>
        <v>3168</v>
      </c>
      <c r="I64" s="101">
        <f t="shared" si="11"/>
        <v>0</v>
      </c>
      <c r="N64" s="619"/>
      <c r="O64" s="619"/>
      <c r="P64" s="622"/>
      <c r="Q64" s="622"/>
      <c r="R64" s="40" t="s">
        <v>14</v>
      </c>
      <c r="S64" s="449">
        <v>252</v>
      </c>
      <c r="T64" s="460">
        <f t="shared" si="12"/>
        <v>3168</v>
      </c>
      <c r="U64" s="474">
        <f t="shared" si="13"/>
        <v>0</v>
      </c>
      <c r="V64" s="424"/>
    </row>
    <row r="65" spans="1:22" ht="16.5" thickBot="1" x14ac:dyDescent="0.3">
      <c r="A65" s="589"/>
      <c r="B65" s="589"/>
      <c r="C65" s="143">
        <v>0</v>
      </c>
      <c r="D65" s="143">
        <v>0</v>
      </c>
      <c r="E65" s="116">
        <f t="shared" si="10"/>
        <v>0</v>
      </c>
      <c r="F65" s="444" t="s">
        <v>14</v>
      </c>
      <c r="G65" s="443">
        <v>253</v>
      </c>
      <c r="H65" s="457">
        <f>'1461'!H65</f>
        <v>6685</v>
      </c>
      <c r="I65" s="101">
        <f t="shared" si="11"/>
        <v>0</v>
      </c>
      <c r="N65" s="619"/>
      <c r="O65" s="619"/>
      <c r="P65" s="623"/>
      <c r="Q65" s="623"/>
      <c r="R65" s="40" t="s">
        <v>14</v>
      </c>
      <c r="S65" s="449">
        <v>253</v>
      </c>
      <c r="T65" s="460">
        <f t="shared" si="12"/>
        <v>6685</v>
      </c>
      <c r="U65" s="475">
        <f t="shared" si="13"/>
        <v>0</v>
      </c>
      <c r="V65" s="424"/>
    </row>
    <row r="66" spans="1:22" ht="16.5" thickBot="1" x14ac:dyDescent="0.3">
      <c r="A66" s="440"/>
      <c r="C66" s="97">
        <f>SUM(C57:C65)</f>
        <v>34.5</v>
      </c>
      <c r="D66" s="97">
        <f>SUM(D57:D65)</f>
        <v>34.99</v>
      </c>
      <c r="E66" s="97">
        <f>SUM(E57:E65)</f>
        <v>69.490000000000009</v>
      </c>
      <c r="F66" s="590" t="s">
        <v>448</v>
      </c>
      <c r="G66" s="590"/>
      <c r="H66" s="590"/>
      <c r="I66" s="97">
        <f>SUM(I57:I65)</f>
        <v>83844.77</v>
      </c>
      <c r="N66" s="446"/>
      <c r="O66" s="51"/>
      <c r="P66" s="602">
        <f>SUM(P57:P65)</f>
        <v>0</v>
      </c>
      <c r="Q66" s="602"/>
      <c r="R66" s="603" t="s">
        <v>448</v>
      </c>
      <c r="S66" s="603"/>
      <c r="T66" s="603"/>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450</v>
      </c>
      <c r="N68" s="453" t="s">
        <v>458</v>
      </c>
      <c r="O68" s="51"/>
      <c r="P68" s="51"/>
      <c r="Q68" s="51"/>
      <c r="R68" s="51"/>
      <c r="S68" s="51"/>
      <c r="T68" s="51"/>
      <c r="U68" s="51"/>
    </row>
    <row r="69" spans="1:22" x14ac:dyDescent="0.25">
      <c r="A69" s="584" t="s">
        <v>403</v>
      </c>
      <c r="B69" s="578"/>
      <c r="C69" s="112">
        <f>E30</f>
        <v>524.26</v>
      </c>
      <c r="D69" s="565" t="s">
        <v>414</v>
      </c>
      <c r="E69" s="565"/>
      <c r="F69" s="565"/>
      <c r="G69" s="565"/>
      <c r="H69" s="300">
        <f>'1461'!H69</f>
        <v>210228.91</v>
      </c>
      <c r="I69" s="113"/>
      <c r="N69" s="600" t="s">
        <v>407</v>
      </c>
      <c r="O69" s="601"/>
      <c r="P69" s="41">
        <f>P30</f>
        <v>0</v>
      </c>
      <c r="Q69" s="606" t="s">
        <v>409</v>
      </c>
      <c r="R69" s="607"/>
      <c r="S69" s="607"/>
      <c r="T69" s="604">
        <f>H69</f>
        <v>210228.91</v>
      </c>
      <c r="U69" s="604"/>
    </row>
    <row r="70" spans="1:22" x14ac:dyDescent="0.25">
      <c r="B70" s="69"/>
      <c r="G70" s="42" t="s">
        <v>12</v>
      </c>
      <c r="H70" s="114">
        <f>ROUND(C69/H69,6)</f>
        <v>2.4940000000000001E-3</v>
      </c>
      <c r="I70" s="115"/>
      <c r="N70" s="601"/>
      <c r="O70" s="601"/>
      <c r="P70" s="601"/>
      <c r="Q70" s="601"/>
      <c r="R70" s="601"/>
      <c r="S70" s="601"/>
      <c r="T70" s="605">
        <f>ROUND(P69/T69,6)</f>
        <v>0</v>
      </c>
      <c r="U70" s="605"/>
    </row>
    <row r="71" spans="1:22" x14ac:dyDescent="0.25">
      <c r="A71" s="442" t="s">
        <v>451</v>
      </c>
      <c r="N71" s="453" t="s">
        <v>459</v>
      </c>
      <c r="O71" s="51"/>
      <c r="P71" s="51"/>
      <c r="Q71" s="51"/>
      <c r="R71" s="51"/>
      <c r="S71" s="51"/>
      <c r="T71" s="51"/>
      <c r="U71" s="51"/>
    </row>
    <row r="72" spans="1:22" x14ac:dyDescent="0.25">
      <c r="A72" s="584" t="s">
        <v>404</v>
      </c>
      <c r="B72" s="578"/>
      <c r="C72" s="112">
        <f>H30</f>
        <v>525.58860000000004</v>
      </c>
      <c r="D72" s="565" t="s">
        <v>415</v>
      </c>
      <c r="E72" s="565"/>
      <c r="F72" s="565"/>
      <c r="G72" s="565"/>
      <c r="H72" s="301">
        <f>'1461'!H72</f>
        <v>234891.44</v>
      </c>
      <c r="I72" s="116"/>
      <c r="N72" s="600" t="s">
        <v>408</v>
      </c>
      <c r="O72" s="601"/>
      <c r="P72" s="41">
        <f>T30</f>
        <v>0</v>
      </c>
      <c r="Q72" s="606" t="s">
        <v>410</v>
      </c>
      <c r="R72" s="607"/>
      <c r="S72" s="607"/>
      <c r="T72" s="604">
        <f>H72</f>
        <v>234891.44</v>
      </c>
      <c r="U72" s="604"/>
    </row>
    <row r="73" spans="1:22" x14ac:dyDescent="0.25">
      <c r="G73" s="42" t="s">
        <v>12</v>
      </c>
      <c r="H73" s="114">
        <f>ROUND(C72/H72,6)</f>
        <v>2.238E-3</v>
      </c>
      <c r="I73" s="114"/>
      <c r="N73" s="601"/>
      <c r="O73" s="601"/>
      <c r="P73" s="601"/>
      <c r="Q73" s="601"/>
      <c r="R73" s="601"/>
      <c r="S73" s="601"/>
      <c r="T73" s="605">
        <f>ROUND(P72/T72,6)</f>
        <v>0</v>
      </c>
      <c r="U73" s="605"/>
    </row>
    <row r="74" spans="1:22" x14ac:dyDescent="0.25">
      <c r="A74" s="417" t="s">
        <v>452</v>
      </c>
      <c r="B74" s="414"/>
      <c r="C74" s="414"/>
      <c r="D74" s="414"/>
      <c r="E74" s="414"/>
      <c r="F74" s="414"/>
      <c r="G74" s="414"/>
      <c r="H74" s="414"/>
      <c r="I74" s="414"/>
      <c r="N74" s="416" t="s">
        <v>460</v>
      </c>
      <c r="O74" s="415"/>
      <c r="P74" s="415"/>
      <c r="Q74" s="415"/>
      <c r="R74" s="415"/>
      <c r="S74" s="415"/>
      <c r="T74" s="415"/>
      <c r="U74" s="415"/>
      <c r="V74" s="414"/>
    </row>
    <row r="75" spans="1:22" x14ac:dyDescent="0.25">
      <c r="A75" s="584" t="s">
        <v>405</v>
      </c>
      <c r="B75" s="578"/>
      <c r="C75" s="112">
        <f>E30</f>
        <v>524.26</v>
      </c>
      <c r="D75" s="557" t="s">
        <v>416</v>
      </c>
      <c r="E75" s="557"/>
      <c r="F75" s="557"/>
      <c r="G75" s="557"/>
      <c r="H75" s="300">
        <f>'1461'!H75</f>
        <v>187665.41</v>
      </c>
      <c r="I75" s="113"/>
      <c r="N75" s="600" t="s">
        <v>406</v>
      </c>
      <c r="O75" s="601"/>
      <c r="P75" s="41">
        <f>P30</f>
        <v>0</v>
      </c>
      <c r="Q75" s="636" t="s">
        <v>411</v>
      </c>
      <c r="R75" s="637"/>
      <c r="S75" s="637"/>
      <c r="T75" s="604">
        <f>H75</f>
        <v>187665.41</v>
      </c>
      <c r="U75" s="604"/>
    </row>
    <row r="76" spans="1:22" x14ac:dyDescent="0.25">
      <c r="B76" s="69"/>
      <c r="G76" s="42" t="s">
        <v>12</v>
      </c>
      <c r="H76" s="114">
        <f>ROUND(C75/H75,6)</f>
        <v>2.794E-3</v>
      </c>
      <c r="I76" s="115"/>
      <c r="N76" s="601"/>
      <c r="O76" s="601"/>
      <c r="P76" s="601"/>
      <c r="Q76" s="601"/>
      <c r="R76" s="601"/>
      <c r="S76" s="601"/>
      <c r="T76" s="605">
        <f>ROUND(P75/T75,6)</f>
        <v>0</v>
      </c>
      <c r="U76" s="605"/>
    </row>
    <row r="77" spans="1:22" x14ac:dyDescent="0.25">
      <c r="A77" s="417" t="s">
        <v>453</v>
      </c>
      <c r="B77" s="414"/>
      <c r="C77" s="414"/>
      <c r="D77" s="414"/>
      <c r="E77" s="414"/>
      <c r="F77" s="414"/>
      <c r="G77" s="414"/>
      <c r="H77" s="414"/>
      <c r="I77" s="414"/>
      <c r="N77" s="416" t="s">
        <v>461</v>
      </c>
      <c r="O77" s="415"/>
      <c r="P77" s="415"/>
      <c r="Q77" s="415"/>
      <c r="R77" s="415"/>
      <c r="S77" s="415"/>
      <c r="T77" s="415"/>
      <c r="U77" s="415"/>
      <c r="V77" s="414"/>
    </row>
    <row r="78" spans="1:22" x14ac:dyDescent="0.25">
      <c r="A78" s="584" t="s">
        <v>405</v>
      </c>
      <c r="B78" s="578"/>
      <c r="C78" s="112">
        <f>E30</f>
        <v>524.26</v>
      </c>
      <c r="D78" s="585" t="s">
        <v>417</v>
      </c>
      <c r="E78" s="585"/>
      <c r="F78" s="585"/>
      <c r="G78" s="585"/>
      <c r="H78" s="300">
        <f>'1461'!H78</f>
        <v>209892.26</v>
      </c>
      <c r="I78" s="113"/>
      <c r="N78" s="600" t="s">
        <v>406</v>
      </c>
      <c r="O78" s="601"/>
      <c r="P78" s="41">
        <f>P30</f>
        <v>0</v>
      </c>
      <c r="Q78" s="634" t="s">
        <v>412</v>
      </c>
      <c r="R78" s="635"/>
      <c r="S78" s="635"/>
      <c r="T78" s="604">
        <f>H78</f>
        <v>209892.26</v>
      </c>
      <c r="U78" s="604"/>
    </row>
    <row r="79" spans="1:22" x14ac:dyDescent="0.25">
      <c r="B79" s="69"/>
      <c r="G79" s="42" t="s">
        <v>12</v>
      </c>
      <c r="H79" s="114">
        <f>ROUND(C78/H78,6)</f>
        <v>2.4979999999999998E-3</v>
      </c>
      <c r="I79" s="115"/>
      <c r="N79" s="601"/>
      <c r="O79" s="601"/>
      <c r="P79" s="601"/>
      <c r="Q79" s="601"/>
      <c r="R79" s="601"/>
      <c r="S79" s="601"/>
      <c r="T79" s="605">
        <f>ROUND(P78/T78,6)</f>
        <v>0</v>
      </c>
      <c r="U79" s="605"/>
    </row>
    <row r="80" spans="1:22" x14ac:dyDescent="0.25">
      <c r="A80" s="417" t="s">
        <v>454</v>
      </c>
      <c r="B80" s="414"/>
      <c r="C80" s="414"/>
      <c r="D80" s="414"/>
      <c r="E80" s="414"/>
      <c r="F80" s="414"/>
      <c r="G80" s="414"/>
      <c r="H80" s="414"/>
      <c r="I80" s="414"/>
      <c r="N80" s="416" t="s">
        <v>462</v>
      </c>
      <c r="O80" s="415"/>
      <c r="P80" s="415"/>
      <c r="Q80" s="415"/>
      <c r="R80" s="415"/>
      <c r="S80" s="415"/>
      <c r="T80" s="415"/>
      <c r="U80" s="415"/>
      <c r="V80" s="414"/>
    </row>
    <row r="81" spans="1:21" x14ac:dyDescent="0.25">
      <c r="A81" s="584" t="s">
        <v>413</v>
      </c>
      <c r="B81" s="578"/>
      <c r="C81" s="112">
        <f>E30</f>
        <v>524.26</v>
      </c>
      <c r="D81" s="557" t="s">
        <v>418</v>
      </c>
      <c r="E81" s="557"/>
      <c r="F81" s="557"/>
      <c r="G81" s="557"/>
      <c r="H81" s="300">
        <f>'1461'!H81</f>
        <v>187328.76</v>
      </c>
      <c r="I81" s="113"/>
      <c r="N81" s="600" t="s">
        <v>419</v>
      </c>
      <c r="O81" s="601"/>
      <c r="P81" s="41">
        <f>P30</f>
        <v>0</v>
      </c>
      <c r="Q81" s="636" t="s">
        <v>420</v>
      </c>
      <c r="R81" s="637"/>
      <c r="S81" s="637"/>
      <c r="T81" s="604">
        <f>H81</f>
        <v>187328.76</v>
      </c>
      <c r="U81" s="604"/>
    </row>
    <row r="82" spans="1:21" x14ac:dyDescent="0.25">
      <c r="B82" s="69"/>
      <c r="G82" s="42" t="s">
        <v>12</v>
      </c>
      <c r="H82" s="114">
        <f>ROUND(C81/H81,6)</f>
        <v>2.7989999999999998E-3</v>
      </c>
      <c r="I82" s="115"/>
      <c r="N82" s="601"/>
      <c r="O82" s="601"/>
      <c r="P82" s="601"/>
      <c r="Q82" s="601"/>
      <c r="R82" s="601"/>
      <c r="S82" s="601"/>
      <c r="T82" s="605">
        <f>ROUND(P81/T81,6)</f>
        <v>0</v>
      </c>
      <c r="U82" s="605"/>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455</v>
      </c>
      <c r="D85" s="69"/>
      <c r="E85" s="43" t="s">
        <v>299</v>
      </c>
      <c r="F85" s="302">
        <f>'1461'!F85</f>
        <v>46163704</v>
      </c>
      <c r="G85" s="37" t="s">
        <v>6</v>
      </c>
      <c r="H85" s="422">
        <f>H79</f>
        <v>2.4979999999999998E-3</v>
      </c>
      <c r="I85" s="101">
        <f>ROUND(F85*H85,2)</f>
        <v>115316.93</v>
      </c>
      <c r="N85" s="453" t="s">
        <v>455</v>
      </c>
      <c r="O85" s="51"/>
      <c r="P85" s="51"/>
      <c r="Q85" s="44"/>
      <c r="R85" s="419">
        <f>F85</f>
        <v>46163704</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87" t="s">
        <v>71</v>
      </c>
      <c r="B87" s="578"/>
      <c r="C87" s="578"/>
      <c r="D87" s="69"/>
      <c r="E87" s="43"/>
      <c r="F87" s="117"/>
      <c r="G87" s="37"/>
      <c r="H87" s="422"/>
      <c r="I87" s="101"/>
      <c r="N87" s="600" t="s">
        <v>463</v>
      </c>
      <c r="O87" s="601"/>
      <c r="P87" s="601"/>
      <c r="Q87" s="51"/>
      <c r="R87" s="420"/>
      <c r="S87" s="51"/>
      <c r="T87" s="38"/>
      <c r="U87" s="478"/>
    </row>
    <row r="88" spans="1:21" x14ac:dyDescent="0.25">
      <c r="A88" s="587" t="s">
        <v>99</v>
      </c>
      <c r="B88" s="578"/>
      <c r="C88" s="578"/>
      <c r="D88" s="69"/>
      <c r="E88" s="43" t="s">
        <v>3</v>
      </c>
      <c r="F88" s="302">
        <f>'1461'!F88</f>
        <v>0</v>
      </c>
      <c r="G88" s="37" t="s">
        <v>6</v>
      </c>
      <c r="H88" s="422">
        <f>H70</f>
        <v>2.4940000000000001E-3</v>
      </c>
      <c r="I88" s="101">
        <f>ROUND(F88*H88,2)</f>
        <v>0</v>
      </c>
      <c r="N88" s="638" t="s">
        <v>99</v>
      </c>
      <c r="O88" s="601"/>
      <c r="P88" s="601"/>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456</v>
      </c>
      <c r="D90" s="69"/>
      <c r="E90" s="43" t="s">
        <v>421</v>
      </c>
      <c r="F90" s="302">
        <f>'1461'!F90</f>
        <v>19042026</v>
      </c>
      <c r="G90" s="37" t="s">
        <v>6</v>
      </c>
      <c r="H90" s="422">
        <f>H82</f>
        <v>2.7989999999999998E-3</v>
      </c>
      <c r="I90" s="101">
        <f>ROUND(F90*H90,2)</f>
        <v>53298.63</v>
      </c>
      <c r="N90" s="453" t="s">
        <v>456</v>
      </c>
      <c r="O90" s="51"/>
      <c r="P90" s="51"/>
      <c r="Q90" s="44"/>
      <c r="R90" s="419">
        <f>F90</f>
        <v>19042026</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457</v>
      </c>
      <c r="D92" s="69"/>
      <c r="E92" s="43" t="s">
        <v>3</v>
      </c>
      <c r="F92" s="302">
        <f>'1461'!F92</f>
        <v>11441151</v>
      </c>
      <c r="G92" s="37" t="s">
        <v>6</v>
      </c>
      <c r="H92" s="422">
        <f>H76</f>
        <v>2.794E-3</v>
      </c>
      <c r="I92" s="101">
        <f t="shared" ref="I92:I96" si="14">ROUND(F92*H92,2)</f>
        <v>31966.58</v>
      </c>
      <c r="N92" s="453" t="s">
        <v>457</v>
      </c>
      <c r="O92" s="51"/>
      <c r="P92" s="51"/>
      <c r="Q92" s="44"/>
      <c r="R92" s="419">
        <f t="shared" ref="R92:R96" si="15">F92</f>
        <v>11441151</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84" t="s">
        <v>422</v>
      </c>
      <c r="B94" s="578"/>
      <c r="C94" s="578"/>
      <c r="D94" s="69"/>
      <c r="E94" s="43" t="s">
        <v>4</v>
      </c>
      <c r="F94" s="302">
        <f>'1461'!F94</f>
        <v>247265670</v>
      </c>
      <c r="G94" s="37" t="s">
        <v>6</v>
      </c>
      <c r="H94" s="422">
        <f>H73</f>
        <v>2.238E-3</v>
      </c>
      <c r="I94" s="101">
        <f t="shared" si="14"/>
        <v>553380.56999999995</v>
      </c>
      <c r="N94" s="601" t="s">
        <v>422</v>
      </c>
      <c r="O94" s="601"/>
      <c r="P94" s="601"/>
      <c r="Q94" s="44"/>
      <c r="R94" s="419">
        <f t="shared" si="15"/>
        <v>247265670</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4" t="s">
        <v>423</v>
      </c>
      <c r="B96" s="578"/>
      <c r="C96" s="578"/>
      <c r="D96" s="69"/>
      <c r="E96" s="43" t="s">
        <v>4</v>
      </c>
      <c r="F96" s="302">
        <f>'1461'!F96</f>
        <v>0</v>
      </c>
      <c r="G96" s="37" t="s">
        <v>6</v>
      </c>
      <c r="H96" s="422">
        <f>H73</f>
        <v>2.238E-3</v>
      </c>
      <c r="I96" s="101">
        <f t="shared" si="14"/>
        <v>0</v>
      </c>
      <c r="N96" s="600" t="s">
        <v>423</v>
      </c>
      <c r="O96" s="601"/>
      <c r="P96" s="601"/>
      <c r="Q96" s="44"/>
      <c r="R96" s="419">
        <f t="shared" si="15"/>
        <v>0</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530" t="s">
        <v>497</v>
      </c>
      <c r="B98" s="529"/>
      <c r="C98" s="529"/>
      <c r="D98" s="529"/>
      <c r="E98" s="527" t="s">
        <v>3</v>
      </c>
      <c r="F98" s="290">
        <v>0</v>
      </c>
      <c r="G98" s="528" t="s">
        <v>6</v>
      </c>
      <c r="H98" s="422">
        <f>H70</f>
        <v>2.4940000000000001E-3</v>
      </c>
      <c r="I98" s="101">
        <f t="shared" ref="I98" si="16">ROUND(F98*H98,2)</f>
        <v>0</v>
      </c>
      <c r="N98" s="533" t="s">
        <v>497</v>
      </c>
      <c r="O98" s="533"/>
      <c r="P98" s="533"/>
      <c r="Q98" s="44"/>
      <c r="R98" s="536">
        <f>F98</f>
        <v>0</v>
      </c>
      <c r="S98" s="534" t="s">
        <v>6</v>
      </c>
      <c r="T98" s="421">
        <f>T70</f>
        <v>0</v>
      </c>
      <c r="U98" s="473">
        <f>ROUND(R98*T98,2)</f>
        <v>0</v>
      </c>
    </row>
    <row r="99" spans="1:21" x14ac:dyDescent="0.25">
      <c r="A99" s="530"/>
      <c r="B99" s="529"/>
      <c r="C99" s="529"/>
      <c r="D99" s="529"/>
      <c r="E99" s="527"/>
      <c r="F99" s="276"/>
      <c r="G99" s="528"/>
      <c r="H99" s="422"/>
      <c r="I99" s="101"/>
      <c r="N99" s="533"/>
      <c r="O99" s="533"/>
      <c r="P99" s="533"/>
      <c r="Q99" s="44"/>
      <c r="R99" s="535"/>
      <c r="S99" s="534"/>
      <c r="T99" s="421"/>
      <c r="U99" s="477"/>
    </row>
    <row r="100" spans="1:21" x14ac:dyDescent="0.25">
      <c r="A100" s="530"/>
      <c r="B100" s="529"/>
      <c r="C100" s="529"/>
      <c r="D100" s="529"/>
      <c r="E100" s="527"/>
      <c r="F100" s="276"/>
      <c r="G100" s="528"/>
      <c r="H100" s="422"/>
      <c r="I100" s="101"/>
      <c r="N100" s="533"/>
      <c r="O100" s="533"/>
      <c r="P100" s="533"/>
      <c r="Q100" s="44"/>
      <c r="R100" s="420"/>
      <c r="S100" s="534"/>
      <c r="T100" s="421"/>
      <c r="U100" s="103"/>
    </row>
    <row r="101" spans="1:21" x14ac:dyDescent="0.25">
      <c r="A101" s="399" t="s">
        <v>498</v>
      </c>
      <c r="N101" s="407" t="s">
        <v>498</v>
      </c>
      <c r="O101" s="51"/>
      <c r="P101" s="51"/>
      <c r="Q101" s="51"/>
      <c r="R101" s="51"/>
      <c r="S101" s="51"/>
      <c r="T101" s="51"/>
      <c r="U101" s="51"/>
    </row>
    <row r="102" spans="1:21" x14ac:dyDescent="0.25">
      <c r="B102" s="69"/>
      <c r="C102" s="563" t="s">
        <v>60</v>
      </c>
      <c r="D102" s="563"/>
      <c r="E102" s="69"/>
      <c r="F102" s="39" t="s">
        <v>28</v>
      </c>
      <c r="G102" s="69"/>
      <c r="H102" s="69"/>
      <c r="I102" s="69"/>
      <c r="N102" s="45"/>
      <c r="O102" s="45"/>
      <c r="P102" s="45"/>
      <c r="Q102" s="45"/>
      <c r="R102" s="45"/>
      <c r="S102" s="45"/>
      <c r="T102" s="45"/>
      <c r="U102" s="45"/>
    </row>
    <row r="103" spans="1:21" x14ac:dyDescent="0.25">
      <c r="A103" s="3"/>
      <c r="B103" s="118"/>
      <c r="C103" s="564" t="s">
        <v>101</v>
      </c>
      <c r="D103" s="564"/>
      <c r="E103" s="423" t="s">
        <v>426</v>
      </c>
      <c r="F103" s="120" t="s">
        <v>106</v>
      </c>
      <c r="G103" s="121"/>
      <c r="H103" s="121"/>
      <c r="I103" s="121"/>
      <c r="N103" s="631" t="s">
        <v>35</v>
      </c>
      <c r="O103" s="631"/>
      <c r="P103" s="672" t="s">
        <v>428</v>
      </c>
      <c r="Q103" s="633"/>
      <c r="R103" s="604" t="s">
        <v>31</v>
      </c>
      <c r="S103" s="604"/>
      <c r="T103" s="604"/>
      <c r="U103" s="604"/>
    </row>
    <row r="104" spans="1:21" x14ac:dyDescent="0.25">
      <c r="A104" s="26"/>
      <c r="B104" s="52" t="s">
        <v>105</v>
      </c>
      <c r="C104" s="596">
        <f>H14+H15+H20+H23+H26</f>
        <v>0</v>
      </c>
      <c r="D104" s="596"/>
      <c r="E104" s="46">
        <f>H8</f>
        <v>1.0407999999999999</v>
      </c>
      <c r="F104" s="303">
        <f>'1461'!F104</f>
        <v>950.92</v>
      </c>
      <c r="G104" s="39" t="s">
        <v>12</v>
      </c>
      <c r="H104" s="101">
        <f>ROUND(C104*E104*F104,2)</f>
        <v>0</v>
      </c>
      <c r="I104" s="104"/>
      <c r="N104" s="28" t="s">
        <v>17</v>
      </c>
      <c r="O104" s="47">
        <f>T14+T15+T20+T23+T26</f>
        <v>0</v>
      </c>
      <c r="P104" s="611">
        <f>T8</f>
        <v>1.0407999999999999</v>
      </c>
      <c r="Q104" s="611"/>
      <c r="R104" s="48">
        <f>F104</f>
        <v>950.92</v>
      </c>
      <c r="S104" s="40" t="s">
        <v>12</v>
      </c>
      <c r="T104" s="479">
        <f>ROUND(O104*P104*R104,2)</f>
        <v>0</v>
      </c>
      <c r="U104" s="102"/>
    </row>
    <row r="105" spans="1:21" x14ac:dyDescent="0.25">
      <c r="A105" s="49"/>
      <c r="B105" s="49" t="s">
        <v>104</v>
      </c>
      <c r="C105" s="596">
        <f>H16+H17+H21+H24+H27</f>
        <v>525.58860000000004</v>
      </c>
      <c r="D105" s="596"/>
      <c r="E105" s="46">
        <f>H8</f>
        <v>1.0407999999999999</v>
      </c>
      <c r="F105" s="303">
        <f>'1461'!F105</f>
        <v>907.92</v>
      </c>
      <c r="G105" s="39" t="s">
        <v>12</v>
      </c>
      <c r="H105" s="101">
        <f>ROUND(C105*E105*F105,2)</f>
        <v>496661.85</v>
      </c>
      <c r="N105" s="50" t="s">
        <v>13</v>
      </c>
      <c r="O105" s="47">
        <f>T16+T17+T21+T24+T27</f>
        <v>0</v>
      </c>
      <c r="P105" s="611">
        <f>T8</f>
        <v>1.0407999999999999</v>
      </c>
      <c r="Q105" s="611"/>
      <c r="R105" s="48">
        <f>F105</f>
        <v>907.92</v>
      </c>
      <c r="S105" s="40" t="s">
        <v>12</v>
      </c>
      <c r="T105" s="479">
        <f>ROUND(O105*P105*R105,2)</f>
        <v>0</v>
      </c>
      <c r="U105" s="51"/>
    </row>
    <row r="106" spans="1:21" ht="16.5" thickBot="1" x14ac:dyDescent="0.3">
      <c r="A106" s="52"/>
      <c r="B106" s="52" t="s">
        <v>103</v>
      </c>
      <c r="C106" s="596">
        <f>H18+H19+H22+H25+H28+H29</f>
        <v>0</v>
      </c>
      <c r="D106" s="596"/>
      <c r="E106" s="46">
        <f>H8</f>
        <v>1.0407999999999999</v>
      </c>
      <c r="F106" s="303">
        <f>'1461'!F106</f>
        <v>910.12</v>
      </c>
      <c r="G106" s="39" t="s">
        <v>12</v>
      </c>
      <c r="H106" s="94">
        <f>ROUND(C106*E106*F106,2)</f>
        <v>0</v>
      </c>
      <c r="N106" s="53" t="s">
        <v>14</v>
      </c>
      <c r="O106" s="54">
        <f>T18+T19+T22+T25+T28+T29</f>
        <v>0</v>
      </c>
      <c r="P106" s="611">
        <f>T8</f>
        <v>1.0407999999999999</v>
      </c>
      <c r="Q106" s="611"/>
      <c r="R106" s="48">
        <f>F106</f>
        <v>910.12</v>
      </c>
      <c r="S106" s="40" t="s">
        <v>12</v>
      </c>
      <c r="T106" s="479">
        <f>ROUND(O106*P106*R106,2)</f>
        <v>0</v>
      </c>
      <c r="U106" s="51"/>
    </row>
    <row r="107" spans="1:21" ht="16.5" thickBot="1" x14ac:dyDescent="0.3">
      <c r="A107" s="55"/>
      <c r="B107" s="122" t="s">
        <v>102</v>
      </c>
      <c r="C107" s="586">
        <f>SUM(C104:C106)</f>
        <v>525.58860000000004</v>
      </c>
      <c r="D107" s="586"/>
      <c r="E107" s="123"/>
      <c r="F107" s="123"/>
      <c r="G107" s="123"/>
      <c r="H107" s="124" t="s">
        <v>100</v>
      </c>
      <c r="I107" s="101">
        <f>IF(A1=75,0,H106+H105+H104)</f>
        <v>496661.85</v>
      </c>
      <c r="N107" s="56" t="s">
        <v>89</v>
      </c>
      <c r="O107" s="57">
        <f>SUM(O104:O106)</f>
        <v>0</v>
      </c>
      <c r="P107" s="612" t="s">
        <v>16</v>
      </c>
      <c r="Q107" s="613"/>
      <c r="R107" s="613"/>
      <c r="S107" s="613"/>
      <c r="T107" s="613"/>
      <c r="U107" s="473">
        <f>IF(N1=75,0,T106+T105+T104)</f>
        <v>0</v>
      </c>
    </row>
    <row r="108" spans="1:21" ht="16.5" thickTop="1" x14ac:dyDescent="0.25">
      <c r="A108" s="555" t="s">
        <v>65</v>
      </c>
      <c r="B108" s="555"/>
      <c r="C108" s="555"/>
      <c r="D108" s="555"/>
      <c r="E108" s="555"/>
      <c r="F108" s="555"/>
      <c r="G108" s="555"/>
      <c r="H108" s="555"/>
      <c r="I108" s="555"/>
      <c r="N108" s="614" t="s">
        <v>65</v>
      </c>
      <c r="O108" s="614"/>
      <c r="P108" s="614"/>
      <c r="Q108" s="614"/>
      <c r="R108" s="614"/>
      <c r="S108" s="614"/>
      <c r="T108" s="614"/>
      <c r="U108" s="614"/>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0" t="s">
        <v>499</v>
      </c>
      <c r="C110" s="43"/>
      <c r="D110" s="69"/>
      <c r="E110" s="43" t="s">
        <v>32</v>
      </c>
      <c r="F110" s="556"/>
      <c r="G110" s="556"/>
      <c r="H110" s="556"/>
      <c r="I110" s="556"/>
      <c r="N110" s="600" t="s">
        <v>499</v>
      </c>
      <c r="O110" s="601"/>
      <c r="P110" s="601"/>
      <c r="Q110" s="615"/>
      <c r="R110" s="615"/>
      <c r="S110" s="615"/>
      <c r="T110" s="615"/>
      <c r="U110" s="103"/>
    </row>
    <row r="111" spans="1:21" x14ac:dyDescent="0.25">
      <c r="B111" s="69"/>
      <c r="C111" s="88" t="s">
        <v>494</v>
      </c>
      <c r="D111" s="333" t="s">
        <v>495</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57" t="s">
        <v>381</v>
      </c>
      <c r="B113" s="558"/>
      <c r="C113" s="143">
        <v>345</v>
      </c>
      <c r="D113" s="143">
        <v>343</v>
      </c>
      <c r="E113" s="116">
        <f>(C113+D113)/2</f>
        <v>344</v>
      </c>
      <c r="F113" s="126" t="s">
        <v>30</v>
      </c>
      <c r="G113" s="304">
        <f>'1461'!G113</f>
        <v>576</v>
      </c>
      <c r="I113" s="101">
        <f>ROUND(G113*E113,2)</f>
        <v>198144</v>
      </c>
      <c r="N113" s="630" t="s">
        <v>52</v>
      </c>
      <c r="O113" s="630"/>
      <c r="P113" s="610">
        <f>IF(H133=1,E113,0)</f>
        <v>0</v>
      </c>
      <c r="Q113" s="610"/>
      <c r="R113" s="610"/>
      <c r="S113" s="83" t="s">
        <v>30</v>
      </c>
      <c r="T113" s="58">
        <f>G113</f>
        <v>576</v>
      </c>
      <c r="U113" s="473">
        <f>ROUND(T113*P113,2)</f>
        <v>0</v>
      </c>
    </row>
    <row r="114" spans="1:21" x14ac:dyDescent="0.25">
      <c r="A114" s="557" t="s">
        <v>382</v>
      </c>
      <c r="B114" s="558"/>
      <c r="C114" s="143">
        <v>0</v>
      </c>
      <c r="D114" s="143">
        <v>0</v>
      </c>
      <c r="E114" s="116">
        <f>(C114+D114)/2</f>
        <v>0</v>
      </c>
      <c r="F114" s="126" t="s">
        <v>30</v>
      </c>
      <c r="G114" s="304">
        <f>'1461'!G114</f>
        <v>1823</v>
      </c>
      <c r="I114" s="101">
        <f>ROUND(G114*E114,2)</f>
        <v>0</v>
      </c>
      <c r="N114" s="630" t="s">
        <v>64</v>
      </c>
      <c r="O114" s="630"/>
      <c r="P114" s="608"/>
      <c r="Q114" s="608"/>
      <c r="R114" s="608"/>
      <c r="S114" s="83" t="s">
        <v>30</v>
      </c>
      <c r="T114" s="58">
        <f>G114</f>
        <v>1823</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4" t="s">
        <v>430</v>
      </c>
      <c r="B117" s="578"/>
      <c r="C117" s="578"/>
      <c r="D117" s="69"/>
      <c r="E117" s="39" t="s">
        <v>300</v>
      </c>
      <c r="F117" s="563"/>
      <c r="G117" s="563"/>
      <c r="H117" s="563"/>
      <c r="I117" s="563"/>
      <c r="N117" s="600" t="s">
        <v>431</v>
      </c>
      <c r="O117" s="601"/>
      <c r="P117" s="601"/>
      <c r="Q117" s="601"/>
      <c r="R117" s="601"/>
      <c r="S117" s="601"/>
      <c r="T117" s="601"/>
      <c r="U117" s="601"/>
    </row>
    <row r="118" spans="1:21" hidden="1" x14ac:dyDescent="0.25">
      <c r="B118" s="69"/>
      <c r="C118" s="564" t="s">
        <v>66</v>
      </c>
      <c r="D118" s="564"/>
      <c r="E118" s="564"/>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5" t="s">
        <v>109</v>
      </c>
      <c r="G119" s="563"/>
      <c r="H119" s="37" t="s">
        <v>29</v>
      </c>
      <c r="I119" s="37"/>
      <c r="N119" s="45"/>
      <c r="O119" s="45"/>
      <c r="P119" s="45"/>
      <c r="Q119" s="45"/>
      <c r="R119" s="45"/>
      <c r="S119" s="45"/>
      <c r="T119" s="45"/>
      <c r="U119" s="45"/>
    </row>
    <row r="120" spans="1:21" hidden="1" x14ac:dyDescent="0.25">
      <c r="A120" s="564" t="s">
        <v>69</v>
      </c>
      <c r="B120" s="564"/>
      <c r="C120" s="90" t="s">
        <v>2</v>
      </c>
      <c r="D120" s="90" t="s">
        <v>2</v>
      </c>
      <c r="E120" s="59" t="s">
        <v>2</v>
      </c>
      <c r="F120" s="564" t="s">
        <v>28</v>
      </c>
      <c r="G120" s="564"/>
      <c r="H120" s="59" t="s">
        <v>28</v>
      </c>
      <c r="I120" s="59" t="s">
        <v>8</v>
      </c>
      <c r="N120" s="609" t="s">
        <v>53</v>
      </c>
      <c r="O120" s="609"/>
      <c r="P120" s="610" t="s">
        <v>66</v>
      </c>
      <c r="Q120" s="610"/>
      <c r="R120" s="609" t="s">
        <v>54</v>
      </c>
      <c r="S120" s="609"/>
      <c r="T120" s="60" t="s">
        <v>55</v>
      </c>
      <c r="U120" s="60" t="s">
        <v>8</v>
      </c>
    </row>
    <row r="121" spans="1:21" hidden="1" x14ac:dyDescent="0.25">
      <c r="A121" s="561" t="s">
        <v>56</v>
      </c>
      <c r="B121" s="561"/>
      <c r="C121" s="141">
        <v>0</v>
      </c>
      <c r="D121" s="141">
        <v>0</v>
      </c>
      <c r="E121" s="187">
        <f>IF(D30=0,C121*2,C121+D121)</f>
        <v>0</v>
      </c>
      <c r="F121" s="562">
        <v>0</v>
      </c>
      <c r="G121" s="562"/>
      <c r="H121" s="224">
        <f>IF(C121=0,0,125)</f>
        <v>0</v>
      </c>
      <c r="I121" s="101">
        <f>ROUND((H121+F121)*E121,2)</f>
        <v>0</v>
      </c>
      <c r="N121" s="601" t="s">
        <v>56</v>
      </c>
      <c r="O121" s="601"/>
      <c r="P121" s="608">
        <f>IF(H$133=1,C121,0)</f>
        <v>0</v>
      </c>
      <c r="Q121" s="608"/>
      <c r="R121" s="628">
        <f>F121</f>
        <v>0</v>
      </c>
      <c r="S121" s="628"/>
      <c r="T121" s="62">
        <f>H121</f>
        <v>0</v>
      </c>
      <c r="U121" s="96">
        <f>ROUND((T121+R121)*P121,0)</f>
        <v>0</v>
      </c>
    </row>
    <row r="122" spans="1:21" hidden="1" x14ac:dyDescent="0.25">
      <c r="A122" s="581" t="s">
        <v>57</v>
      </c>
      <c r="B122" s="581"/>
      <c r="C122" s="143">
        <v>0</v>
      </c>
      <c r="D122" s="143">
        <v>0</v>
      </c>
      <c r="E122" s="116">
        <f>IF(D31=0,C122*2,C122+D122)</f>
        <v>0</v>
      </c>
      <c r="F122" s="598">
        <f>ROUND(F121/2,2)</f>
        <v>0</v>
      </c>
      <c r="G122" s="598"/>
      <c r="H122" s="224">
        <f>IF(C122=0,0,62.5)</f>
        <v>0</v>
      </c>
      <c r="I122" s="101">
        <f>ROUND((H122+F122)*E122,2)</f>
        <v>0</v>
      </c>
      <c r="N122" s="601" t="s">
        <v>57</v>
      </c>
      <c r="O122" s="601"/>
      <c r="P122" s="608">
        <f>IF(H$133=1,C122,0)</f>
        <v>0</v>
      </c>
      <c r="Q122" s="608"/>
      <c r="R122" s="629">
        <f>ROUND(R121/2,2)</f>
        <v>0</v>
      </c>
      <c r="S122" s="629"/>
      <c r="T122" s="62">
        <f>H122</f>
        <v>0</v>
      </c>
      <c r="U122" s="96">
        <f>ROUND((T122+R122)*P122,0)</f>
        <v>0</v>
      </c>
    </row>
    <row r="123" spans="1:21" ht="16.5" hidden="1" thickBot="1" x14ac:dyDescent="0.3">
      <c r="A123" s="581" t="s">
        <v>58</v>
      </c>
      <c r="B123" s="581"/>
      <c r="C123" s="143">
        <v>0</v>
      </c>
      <c r="D123" s="143">
        <v>0</v>
      </c>
      <c r="E123" s="116">
        <f>IF(D32=0,C123*2,C123+D123)</f>
        <v>0</v>
      </c>
      <c r="F123" s="599"/>
      <c r="G123" s="599"/>
      <c r="H123" s="225">
        <f>IF(H121&gt;0,436,0)</f>
        <v>0</v>
      </c>
      <c r="I123" s="101">
        <f>ROUND(H123*E123,2)</f>
        <v>0</v>
      </c>
      <c r="N123" s="616" t="s">
        <v>58</v>
      </c>
      <c r="O123" s="616"/>
      <c r="P123" s="608">
        <f>IF(H$133=1,C123,0)</f>
        <v>0</v>
      </c>
      <c r="Q123" s="608"/>
      <c r="R123" s="609"/>
      <c r="S123" s="609"/>
      <c r="T123" s="64">
        <f>H123</f>
        <v>0</v>
      </c>
      <c r="U123" s="103">
        <f>ROUND(T123*P123,0)</f>
        <v>0</v>
      </c>
    </row>
    <row r="124" spans="1:21" ht="16.5" hidden="1" thickBot="1" x14ac:dyDescent="0.3">
      <c r="A124" s="563" t="s">
        <v>8</v>
      </c>
      <c r="B124" s="563"/>
      <c r="C124" s="65"/>
      <c r="D124" s="65"/>
      <c r="E124" s="65"/>
      <c r="F124" s="65"/>
      <c r="G124" s="65"/>
      <c r="H124" s="65"/>
      <c r="I124" s="97">
        <f>SUM(I121:I123)</f>
        <v>0</v>
      </c>
      <c r="N124" s="627" t="s">
        <v>8</v>
      </c>
      <c r="O124" s="627"/>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4" t="s">
        <v>432</v>
      </c>
      <c r="B126" s="578"/>
      <c r="C126" s="578"/>
      <c r="D126" s="69"/>
      <c r="E126" s="68" t="s">
        <v>34</v>
      </c>
      <c r="F126" s="597"/>
      <c r="G126" s="597"/>
      <c r="H126" s="597"/>
      <c r="I126" s="154">
        <v>0</v>
      </c>
      <c r="N126" s="600" t="s">
        <v>432</v>
      </c>
      <c r="O126" s="601"/>
      <c r="P126" s="601"/>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90" t="s">
        <v>8</v>
      </c>
      <c r="B128" s="590"/>
      <c r="C128" s="590"/>
      <c r="D128" s="590"/>
      <c r="E128" s="590"/>
      <c r="F128" s="590"/>
      <c r="G128" s="590"/>
      <c r="H128" s="590"/>
      <c r="I128" s="94">
        <f>SUM(I46,I66,I85,I88,I90,I92,I94,I96,I107,I113,I114,I124,I126)</f>
        <v>4448833.25</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434</v>
      </c>
      <c r="B130" s="26"/>
      <c r="C130" s="26"/>
      <c r="D130" s="26"/>
      <c r="E130" s="26"/>
      <c r="F130" s="26"/>
      <c r="G130" s="26"/>
      <c r="H130" s="26"/>
      <c r="I130" s="101">
        <f>I128-I53</f>
        <v>4275901.41</v>
      </c>
      <c r="N130" s="601" t="s">
        <v>434</v>
      </c>
      <c r="O130" s="601"/>
      <c r="P130" s="601"/>
      <c r="Q130" s="601"/>
      <c r="R130" s="601"/>
      <c r="S130" s="601"/>
      <c r="T130" s="601"/>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4" t="s">
        <v>502</v>
      </c>
      <c r="B132" s="578"/>
      <c r="C132" s="578"/>
      <c r="D132" s="578"/>
      <c r="E132" s="578"/>
      <c r="F132" s="578"/>
      <c r="G132" s="578"/>
      <c r="H132" s="81" t="s">
        <v>333</v>
      </c>
      <c r="I132" s="134"/>
      <c r="N132" s="600" t="s">
        <v>502</v>
      </c>
      <c r="O132" s="601"/>
      <c r="P132" s="601"/>
      <c r="Q132" s="601"/>
      <c r="R132" s="601"/>
      <c r="S132" s="601"/>
      <c r="T132" s="601"/>
      <c r="U132" s="138"/>
    </row>
    <row r="133" spans="1:21" x14ac:dyDescent="0.25">
      <c r="A133" s="578" t="s">
        <v>70</v>
      </c>
      <c r="B133" s="578"/>
      <c r="C133" s="578"/>
      <c r="D133" s="578"/>
      <c r="E133" s="578"/>
      <c r="F133" s="578"/>
      <c r="G133" s="578"/>
      <c r="H133" s="70" t="str">
        <f>IF(E30=0,"",IF((E15+E17+SUM(E19:E25))/E30&gt;0.75,1,""))</f>
        <v/>
      </c>
      <c r="I133" s="116">
        <f>U130</f>
        <v>0</v>
      </c>
      <c r="N133" s="601" t="s">
        <v>70</v>
      </c>
      <c r="O133" s="601"/>
      <c r="P133" s="601"/>
      <c r="Q133" s="601"/>
      <c r="R133" s="601"/>
      <c r="S133" s="601"/>
      <c r="T133" s="601"/>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4275901.41</v>
      </c>
      <c r="I135" s="94">
        <f>ROUND(IF(E30=0,0,IF(E30&gt;250,-(((250/E30)*H135)*IF(G135="H",0.02,0.05)),IF(G135="H",-0.02*H135,-0.05*H135))),2)</f>
        <v>-101950.88</v>
      </c>
      <c r="N135" s="626"/>
      <c r="O135" s="626"/>
      <c r="P135" s="626"/>
      <c r="Q135" s="626"/>
      <c r="R135" s="626"/>
      <c r="S135" s="626"/>
      <c r="T135" s="626"/>
      <c r="U135" s="626"/>
    </row>
    <row r="136" spans="1:21" x14ac:dyDescent="0.25">
      <c r="B136" s="69"/>
      <c r="C136" s="69"/>
      <c r="D136" s="69"/>
      <c r="E136" s="69"/>
      <c r="F136" s="69"/>
      <c r="G136" s="69"/>
      <c r="H136" s="65"/>
      <c r="I136" s="101"/>
      <c r="N136" s="624" t="s">
        <v>7</v>
      </c>
      <c r="O136" s="624"/>
      <c r="P136" s="624"/>
      <c r="Q136" s="624"/>
      <c r="R136" s="624"/>
      <c r="S136" s="624"/>
      <c r="T136" s="624"/>
      <c r="U136" s="624"/>
    </row>
    <row r="137" spans="1:21" x14ac:dyDescent="0.25">
      <c r="A137" s="309" t="s">
        <v>74</v>
      </c>
      <c r="B137" s="310"/>
      <c r="C137" s="310"/>
      <c r="D137" s="310"/>
      <c r="E137" s="310"/>
      <c r="F137" s="310"/>
      <c r="G137" s="310"/>
      <c r="H137" s="311"/>
      <c r="I137" s="312">
        <f>I128+I135</f>
        <v>4346882.37</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81" t="s">
        <v>242</v>
      </c>
      <c r="B139" s="69"/>
      <c r="C139" s="140"/>
      <c r="D139" s="69"/>
      <c r="F139" s="69"/>
      <c r="G139" s="69"/>
      <c r="H139" s="65"/>
      <c r="I139" s="272">
        <f>-'Cumulative Payments'!Q90</f>
        <v>0</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4346882.37</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81" t="s">
        <v>241</v>
      </c>
      <c r="B145" s="69"/>
      <c r="C145" s="69"/>
      <c r="D145" s="69"/>
      <c r="E145" s="69"/>
      <c r="F145" s="69"/>
      <c r="G145" s="69"/>
      <c r="H145" s="65"/>
      <c r="I145" s="155">
        <f>ROUND(I141/I143,2)</f>
        <v>362240.2</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111844.19</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372</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373</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374</v>
      </c>
      <c r="B155" s="252"/>
      <c r="C155" s="252"/>
      <c r="D155" s="252"/>
      <c r="E155" s="252"/>
      <c r="F155" s="252"/>
      <c r="G155" s="252"/>
      <c r="H155" s="252"/>
      <c r="I155" s="252"/>
      <c r="N155" s="625"/>
      <c r="O155" s="625"/>
      <c r="P155" s="625"/>
      <c r="Q155" s="625"/>
      <c r="R155" s="625"/>
      <c r="S155" s="625"/>
      <c r="T155" s="625"/>
      <c r="U155" s="625"/>
    </row>
    <row r="156" spans="1:21" s="76" customFormat="1" x14ac:dyDescent="0.2">
      <c r="A156" s="320" t="s">
        <v>375</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376</v>
      </c>
      <c r="B157" s="252"/>
      <c r="C157" s="252"/>
      <c r="D157" s="252"/>
      <c r="E157" s="252"/>
      <c r="F157" s="252"/>
      <c r="G157" s="252"/>
      <c r="H157" s="252"/>
      <c r="I157" s="252"/>
      <c r="N157" s="78"/>
      <c r="O157" s="79"/>
      <c r="P157" s="79"/>
      <c r="Q157" s="79"/>
      <c r="R157" s="79"/>
      <c r="S157" s="79"/>
      <c r="T157" s="79"/>
      <c r="U157" s="79"/>
    </row>
    <row r="158" spans="1:21" s="76" customFormat="1" x14ac:dyDescent="0.2">
      <c r="A158" s="320" t="s">
        <v>377</v>
      </c>
      <c r="B158" s="252"/>
      <c r="C158" s="252"/>
      <c r="D158" s="252"/>
      <c r="E158" s="252"/>
      <c r="F158" s="252"/>
      <c r="G158" s="252"/>
      <c r="H158" s="252"/>
      <c r="I158" s="252"/>
      <c r="N158" s="78"/>
    </row>
    <row r="159" spans="1:21" s="76" customFormat="1" x14ac:dyDescent="0.2">
      <c r="A159" s="320" t="s">
        <v>379</v>
      </c>
      <c r="B159" s="252"/>
      <c r="C159" s="252"/>
      <c r="D159" s="252"/>
      <c r="E159" s="252"/>
      <c r="F159" s="252"/>
      <c r="G159" s="252"/>
      <c r="H159" s="252"/>
      <c r="I159" s="252"/>
      <c r="N159" s="78"/>
    </row>
    <row r="160" spans="1:21" s="76" customFormat="1" x14ac:dyDescent="0.2">
      <c r="A160" s="385" t="s">
        <v>378</v>
      </c>
      <c r="B160" s="252"/>
      <c r="C160" s="252"/>
      <c r="D160" s="252"/>
      <c r="E160" s="252"/>
      <c r="F160" s="252"/>
      <c r="G160" s="252"/>
      <c r="H160" s="252"/>
      <c r="I160" s="252"/>
      <c r="N160" s="78"/>
    </row>
    <row r="161" spans="1:14" s="76" customFormat="1" x14ac:dyDescent="0.2">
      <c r="A161" s="320" t="s">
        <v>380</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383</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385</v>
      </c>
      <c r="B165" s="293"/>
      <c r="C165" s="293"/>
      <c r="D165" s="293"/>
      <c r="E165" s="293"/>
      <c r="F165" s="293"/>
      <c r="G165" s="293"/>
      <c r="H165" s="293"/>
      <c r="I165" s="293"/>
      <c r="N165" s="78"/>
    </row>
    <row r="166" spans="1:14" s="76" customFormat="1" ht="15.75" customHeight="1" x14ac:dyDescent="0.2">
      <c r="A166" s="351" t="s">
        <v>384</v>
      </c>
      <c r="B166" s="293"/>
      <c r="C166" s="293"/>
      <c r="D166" s="293"/>
      <c r="E166" s="293"/>
      <c r="F166" s="293"/>
      <c r="G166" s="293"/>
      <c r="H166" s="293"/>
      <c r="I166" s="293"/>
      <c r="N166" s="78"/>
    </row>
    <row r="167" spans="1:14" s="76" customFormat="1" ht="15.75" customHeight="1" x14ac:dyDescent="0.2">
      <c r="A167" s="320" t="s">
        <v>386</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388</v>
      </c>
      <c r="B169" s="343"/>
      <c r="C169" s="343"/>
      <c r="D169" s="343"/>
      <c r="E169" s="343"/>
      <c r="F169" s="343"/>
      <c r="G169" s="343"/>
      <c r="H169" s="343"/>
      <c r="I169" s="343"/>
      <c r="N169" s="78"/>
    </row>
    <row r="170" spans="1:14" s="76" customFormat="1" ht="15.75" customHeight="1" x14ac:dyDescent="0.2">
      <c r="A170" s="351" t="s">
        <v>387</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389</v>
      </c>
      <c r="B175" s="293"/>
      <c r="C175" s="293"/>
      <c r="D175" s="293"/>
      <c r="E175" s="293"/>
      <c r="F175" s="293"/>
      <c r="G175" s="293"/>
      <c r="H175" s="293"/>
      <c r="I175" s="293"/>
      <c r="J175" s="3"/>
      <c r="K175" s="3"/>
      <c r="L175" s="3"/>
      <c r="M175" s="3"/>
      <c r="N175" s="78"/>
    </row>
    <row r="176" spans="1:14" s="76" customFormat="1" ht="15.75" customHeight="1" x14ac:dyDescent="0.2">
      <c r="A176" s="361" t="s">
        <v>390</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4">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6" t="s">
        <v>15</v>
      </c>
      <c r="C1" s="567"/>
      <c r="D1" s="567"/>
      <c r="E1" s="567"/>
      <c r="F1" s="567"/>
      <c r="G1" s="567"/>
      <c r="H1" s="567"/>
      <c r="I1" s="567"/>
      <c r="J1" s="135"/>
      <c r="K1" s="135"/>
      <c r="L1" s="135"/>
      <c r="N1" s="82">
        <f>A1</f>
        <v>0</v>
      </c>
      <c r="O1" s="658" t="s">
        <v>15</v>
      </c>
      <c r="P1" s="659"/>
      <c r="Q1" s="659"/>
      <c r="R1" s="659"/>
      <c r="S1" s="659"/>
      <c r="T1" s="659"/>
      <c r="U1" s="659"/>
    </row>
    <row r="2" spans="1:21" ht="21" x14ac:dyDescent="0.35">
      <c r="A2" s="1" t="s">
        <v>363</v>
      </c>
      <c r="B2" s="2"/>
      <c r="C2" s="2"/>
      <c r="D2" s="2"/>
      <c r="E2" s="2"/>
      <c r="F2" s="2"/>
      <c r="G2" s="2"/>
      <c r="H2" s="2"/>
      <c r="I2" s="2"/>
      <c r="N2" s="660" t="s">
        <v>18</v>
      </c>
      <c r="O2" s="660"/>
      <c r="P2" s="660"/>
      <c r="Q2" s="660"/>
      <c r="R2" s="660"/>
      <c r="S2" s="660"/>
      <c r="T2" s="660"/>
      <c r="U2" s="660"/>
    </row>
    <row r="3" spans="1:21" x14ac:dyDescent="0.25">
      <c r="A3" s="81" t="str">
        <f>'1461'!A3</f>
        <v>Based on the FLDOE 2024-25 Conference Calculation</v>
      </c>
      <c r="N3" s="627" t="str">
        <f>A3</f>
        <v>Based on the FLDOE 2024-25 Conference Calculation</v>
      </c>
      <c r="O3" s="627"/>
      <c r="P3" s="627"/>
      <c r="Q3" s="627"/>
      <c r="R3" s="627"/>
      <c r="S3" s="627"/>
      <c r="T3" s="627"/>
      <c r="U3" s="627"/>
    </row>
    <row r="4" spans="1:21" x14ac:dyDescent="0.25">
      <c r="A4" s="568" t="s">
        <v>0</v>
      </c>
      <c r="B4" s="568"/>
      <c r="C4" s="569" t="s">
        <v>9</v>
      </c>
      <c r="D4" s="569"/>
      <c r="E4" s="569"/>
      <c r="F4" s="4" t="str">
        <f>'1461'!F4</f>
        <v>July 2024</v>
      </c>
      <c r="G4" s="4"/>
      <c r="H4" s="4"/>
      <c r="I4" s="4"/>
      <c r="N4" s="661" t="s">
        <v>0</v>
      </c>
      <c r="O4" s="661"/>
      <c r="P4" s="662" t="str">
        <f>C4</f>
        <v>Palm Beach</v>
      </c>
      <c r="Q4" s="662"/>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70" t="s">
        <v>433</v>
      </c>
      <c r="B7" s="664"/>
      <c r="C7" s="664"/>
      <c r="D7" s="664"/>
      <c r="E7" s="664"/>
      <c r="F7" s="664"/>
      <c r="G7" s="664"/>
      <c r="H7" s="664"/>
      <c r="I7" s="664"/>
      <c r="N7" s="661" t="str">
        <f>A7</f>
        <v>1A.   2023-24 FEFP State and Local Funding</v>
      </c>
      <c r="O7" s="661"/>
      <c r="P7" s="661"/>
      <c r="Q7" s="661"/>
      <c r="R7" s="661"/>
      <c r="S7" s="661"/>
      <c r="T7" s="661"/>
      <c r="U7" s="661"/>
    </row>
    <row r="8" spans="1:21" x14ac:dyDescent="0.25">
      <c r="A8" s="84"/>
      <c r="B8" s="85" t="s">
        <v>92</v>
      </c>
      <c r="C8" s="299">
        <f>'1461'!C8</f>
        <v>5330.98</v>
      </c>
      <c r="D8" s="86"/>
      <c r="E8" s="87"/>
      <c r="F8" s="84"/>
      <c r="G8" s="85" t="s">
        <v>393</v>
      </c>
      <c r="H8" s="287">
        <f>'1461'!H8</f>
        <v>1.0407999999999999</v>
      </c>
      <c r="I8" s="75"/>
      <c r="N8" s="665" t="s">
        <v>10</v>
      </c>
      <c r="O8" s="665"/>
      <c r="P8" s="666">
        <f>C8</f>
        <v>5330.98</v>
      </c>
      <c r="Q8" s="666"/>
      <c r="R8" s="648" t="s">
        <v>394</v>
      </c>
      <c r="S8" s="649"/>
      <c r="T8" s="650">
        <f>H8</f>
        <v>1.0407999999999999</v>
      </c>
      <c r="U8" s="650"/>
    </row>
    <row r="9" spans="1:21" x14ac:dyDescent="0.25">
      <c r="A9" s="84"/>
      <c r="B9" s="85"/>
      <c r="C9" s="222"/>
      <c r="D9" s="86"/>
      <c r="E9" s="87"/>
      <c r="F9" s="84"/>
      <c r="G9" s="85" t="s">
        <v>391</v>
      </c>
      <c r="H9" s="287">
        <f>'1461'!H9</f>
        <v>1</v>
      </c>
      <c r="I9" s="75"/>
      <c r="N9" s="12"/>
      <c r="O9" s="12"/>
      <c r="P9" s="13"/>
      <c r="Q9" s="13"/>
      <c r="R9" s="387" t="s">
        <v>392</v>
      </c>
      <c r="S9" s="384"/>
      <c r="T9" s="650">
        <f>H9</f>
        <v>1</v>
      </c>
      <c r="U9" s="650"/>
    </row>
    <row r="10" spans="1:21" x14ac:dyDescent="0.25">
      <c r="A10" s="7"/>
      <c r="B10" s="42" t="s">
        <v>310</v>
      </c>
      <c r="C10" s="334" t="str">
        <f>'1461'!C10</f>
        <v xml:space="preserve"> </v>
      </c>
      <c r="D10" s="334" t="str">
        <f>'1461'!D10</f>
        <v xml:space="preserve"> </v>
      </c>
      <c r="E10" s="8"/>
      <c r="F10" s="9"/>
      <c r="G10" s="9"/>
      <c r="H10" s="10"/>
      <c r="I10" s="305" t="str">
        <f>'1461'!I10</f>
        <v>2024-25</v>
      </c>
      <c r="N10" s="12"/>
      <c r="O10" s="12"/>
      <c r="P10" s="13"/>
      <c r="Q10" s="13"/>
      <c r="R10" s="14"/>
      <c r="S10" s="14"/>
      <c r="T10" s="15"/>
      <c r="U10" s="366" t="str">
        <f>I10</f>
        <v>2024-25</v>
      </c>
    </row>
    <row r="11" spans="1:21" x14ac:dyDescent="0.25">
      <c r="A11" s="7"/>
      <c r="B11" s="7"/>
      <c r="C11" s="88" t="str">
        <f>'1461'!C11</f>
        <v>Oct 2023</v>
      </c>
      <c r="D11" s="333" t="str">
        <f>'1461'!D11</f>
        <v>Feb 2024</v>
      </c>
      <c r="E11" s="89" t="s">
        <v>8</v>
      </c>
      <c r="F11" s="571" t="s">
        <v>1</v>
      </c>
      <c r="G11" s="571"/>
      <c r="H11" s="10" t="s">
        <v>60</v>
      </c>
      <c r="I11" s="11" t="s">
        <v>27</v>
      </c>
      <c r="N11" s="12"/>
      <c r="O11" s="12"/>
      <c r="P11" s="13"/>
      <c r="Q11" s="13"/>
      <c r="R11" s="651" t="s">
        <v>1</v>
      </c>
      <c r="S11" s="651"/>
      <c r="T11" s="15" t="s">
        <v>60</v>
      </c>
      <c r="U11" s="16" t="s">
        <v>27</v>
      </c>
    </row>
    <row r="12" spans="1:21" ht="15.75" customHeight="1" x14ac:dyDescent="0.25">
      <c r="A12" s="572" t="s">
        <v>1</v>
      </c>
      <c r="B12" s="572"/>
      <c r="C12" s="324" t="str">
        <f>'1461'!C12</f>
        <v>FTE</v>
      </c>
      <c r="D12" s="324" t="str">
        <f>'1461'!D12</f>
        <v>FTE</v>
      </c>
      <c r="E12" s="324" t="s">
        <v>2</v>
      </c>
      <c r="F12" s="573" t="s">
        <v>63</v>
      </c>
      <c r="G12" s="573"/>
      <c r="H12" s="17" t="s">
        <v>59</v>
      </c>
      <c r="I12" s="388" t="s">
        <v>395</v>
      </c>
      <c r="N12" s="639" t="s">
        <v>1</v>
      </c>
      <c r="O12" s="639"/>
      <c r="P12" s="652" t="s">
        <v>19</v>
      </c>
      <c r="Q12" s="652"/>
      <c r="R12" s="653" t="s">
        <v>63</v>
      </c>
      <c r="S12" s="653"/>
      <c r="T12" s="18" t="s">
        <v>59</v>
      </c>
      <c r="U12" s="19" t="str">
        <f>I12</f>
        <v>(WFTE x BSA x CWF x SDF)</v>
      </c>
    </row>
    <row r="13" spans="1:21" x14ac:dyDescent="0.25">
      <c r="A13" s="574" t="s">
        <v>36</v>
      </c>
      <c r="B13" s="574"/>
      <c r="C13" s="91"/>
      <c r="D13" s="91"/>
      <c r="E13" s="92" t="s">
        <v>37</v>
      </c>
      <c r="F13" s="575" t="s">
        <v>38</v>
      </c>
      <c r="G13" s="575"/>
      <c r="H13" s="20" t="s">
        <v>39</v>
      </c>
      <c r="I13" s="21" t="s">
        <v>40</v>
      </c>
      <c r="N13" s="654" t="s">
        <v>36</v>
      </c>
      <c r="O13" s="654"/>
      <c r="P13" s="655" t="s">
        <v>37</v>
      </c>
      <c r="Q13" s="655"/>
      <c r="R13" s="656" t="s">
        <v>38</v>
      </c>
      <c r="S13" s="656"/>
      <c r="T13" s="22" t="s">
        <v>39</v>
      </c>
      <c r="U13" s="23" t="s">
        <v>40</v>
      </c>
    </row>
    <row r="14" spans="1:21" x14ac:dyDescent="0.25">
      <c r="A14" s="576" t="s">
        <v>20</v>
      </c>
      <c r="B14" s="576"/>
      <c r="C14" s="143">
        <v>0</v>
      </c>
      <c r="D14" s="141">
        <v>0</v>
      </c>
      <c r="E14" s="187">
        <f>IF(D$30=0,C14*2,C14+D14)</f>
        <v>0</v>
      </c>
      <c r="F14" s="667">
        <f>'1461'!F14:G14</f>
        <v>1.1180000000000001</v>
      </c>
      <c r="G14" s="667"/>
      <c r="H14" s="145">
        <f>ROUND(E14*F14,4)</f>
        <v>0</v>
      </c>
      <c r="I14" s="111">
        <f>ROUND(ROUND(ROUND(H14*$C$8,4)*($H$8),2)*(MAX($H$9,1)),2)</f>
        <v>0</v>
      </c>
      <c r="N14" s="641" t="s">
        <v>20</v>
      </c>
      <c r="O14" s="641"/>
      <c r="P14" s="642">
        <f t="shared" ref="P14:P29" si="0">IF($H$133=1,E14,0)</f>
        <v>0</v>
      </c>
      <c r="Q14" s="642"/>
      <c r="R14" s="657">
        <v>1</v>
      </c>
      <c r="S14" s="657"/>
      <c r="T14" s="95">
        <f>ROUND(P14*R14,4)</f>
        <v>0</v>
      </c>
      <c r="U14" s="473">
        <f>ROUND(ROUND(ROUND(T14*$C$8,4)*($H$8),2)*(MAX($H$9,1)),2)</f>
        <v>0</v>
      </c>
    </row>
    <row r="15" spans="1:21" x14ac:dyDescent="0.25">
      <c r="A15" s="578" t="s">
        <v>21</v>
      </c>
      <c r="B15" s="578"/>
      <c r="C15" s="143">
        <v>0</v>
      </c>
      <c r="D15" s="143">
        <v>0</v>
      </c>
      <c r="E15" s="116">
        <f t="shared" ref="E15:E29" si="1">IF(D$30=0,C15*2,C15+D15)</f>
        <v>0</v>
      </c>
      <c r="F15" s="663">
        <f>'1461'!F15:G15</f>
        <v>1.1180000000000001</v>
      </c>
      <c r="G15" s="663"/>
      <c r="H15" s="80">
        <f t="shared" ref="H15:H29" si="2">ROUND(E15*F15,4)</f>
        <v>0</v>
      </c>
      <c r="I15" s="101">
        <f t="shared" ref="I15:I29" si="3">ROUND(ROUND(ROUND(H15*$C$8,4)*($H$8),2)*(MAX($H$9,1)),2)</f>
        <v>0</v>
      </c>
      <c r="J15" s="65" t="str">
        <f>IF(ROUND(E15,2)=ROUND(SUM(E57:E59),2)," ","CHECK PK-3 LINES BELOW")</f>
        <v xml:space="preserve"> </v>
      </c>
      <c r="N15" s="601" t="s">
        <v>21</v>
      </c>
      <c r="O15" s="601"/>
      <c r="P15" s="642">
        <f t="shared" si="0"/>
        <v>0</v>
      </c>
      <c r="Q15" s="642"/>
      <c r="R15" s="647">
        <v>1</v>
      </c>
      <c r="S15" s="647"/>
      <c r="T15" s="95">
        <f t="shared" ref="T15:T29" si="4">ROUND(P15*R15,4)</f>
        <v>0</v>
      </c>
      <c r="U15" s="473">
        <f t="shared" ref="U15:U29" si="5">ROUND(ROUND(ROUND(T15*$C$8,4)*($H$8),2)*(MAX($H$9,1)),2)</f>
        <v>0</v>
      </c>
    </row>
    <row r="16" spans="1:21" x14ac:dyDescent="0.25">
      <c r="A16" s="578" t="s">
        <v>22</v>
      </c>
      <c r="B16" s="578"/>
      <c r="C16" s="143">
        <v>112.94</v>
      </c>
      <c r="D16" s="143">
        <v>111.44</v>
      </c>
      <c r="E16" s="116">
        <f t="shared" si="1"/>
        <v>224.38</v>
      </c>
      <c r="F16" s="663">
        <f>'1461'!F16:G16</f>
        <v>1</v>
      </c>
      <c r="G16" s="663"/>
      <c r="H16" s="80">
        <f t="shared" si="2"/>
        <v>224.38</v>
      </c>
      <c r="I16" s="101">
        <f t="shared" si="3"/>
        <v>1244968.8400000001</v>
      </c>
      <c r="N16" s="601" t="s">
        <v>22</v>
      </c>
      <c r="O16" s="601"/>
      <c r="P16" s="642">
        <f t="shared" si="0"/>
        <v>0</v>
      </c>
      <c r="Q16" s="642"/>
      <c r="R16" s="647">
        <v>1</v>
      </c>
      <c r="S16" s="647"/>
      <c r="T16" s="95">
        <f t="shared" si="4"/>
        <v>0</v>
      </c>
      <c r="U16" s="473">
        <f t="shared" si="5"/>
        <v>0</v>
      </c>
    </row>
    <row r="17" spans="1:21" x14ac:dyDescent="0.25">
      <c r="A17" s="578" t="s">
        <v>23</v>
      </c>
      <c r="B17" s="578"/>
      <c r="C17" s="143">
        <v>23</v>
      </c>
      <c r="D17" s="143">
        <v>24.48</v>
      </c>
      <c r="E17" s="116">
        <f t="shared" si="1"/>
        <v>47.480000000000004</v>
      </c>
      <c r="F17" s="663">
        <f>'1461'!F17:G17</f>
        <v>1</v>
      </c>
      <c r="G17" s="663"/>
      <c r="H17" s="80">
        <f t="shared" si="2"/>
        <v>47.48</v>
      </c>
      <c r="I17" s="101">
        <f t="shared" si="3"/>
        <v>263442.02</v>
      </c>
      <c r="J17" s="65" t="str">
        <f>IF(ROUND(E17,2)=ROUND(SUM(E60:E62),2)," ","CHECK 4-8 LINES BELOW")</f>
        <v xml:space="preserve"> </v>
      </c>
      <c r="N17" s="601" t="s">
        <v>23</v>
      </c>
      <c r="O17" s="601"/>
      <c r="P17" s="642">
        <f t="shared" si="0"/>
        <v>0</v>
      </c>
      <c r="Q17" s="642"/>
      <c r="R17" s="647">
        <v>1</v>
      </c>
      <c r="S17" s="647"/>
      <c r="T17" s="95">
        <f t="shared" si="4"/>
        <v>0</v>
      </c>
      <c r="U17" s="473">
        <f t="shared" si="5"/>
        <v>0</v>
      </c>
    </row>
    <row r="18" spans="1:21" x14ac:dyDescent="0.25">
      <c r="A18" s="578" t="s">
        <v>24</v>
      </c>
      <c r="B18" s="578"/>
      <c r="C18" s="143">
        <v>60.76</v>
      </c>
      <c r="D18" s="143">
        <v>57.71</v>
      </c>
      <c r="E18" s="116">
        <f t="shared" si="1"/>
        <v>118.47</v>
      </c>
      <c r="F18" s="663">
        <f>'1461'!F18:G18</f>
        <v>0.97799999999999998</v>
      </c>
      <c r="G18" s="663"/>
      <c r="H18" s="80">
        <f t="shared" si="2"/>
        <v>115.86369999999999</v>
      </c>
      <c r="I18" s="101">
        <f t="shared" si="3"/>
        <v>642867.88</v>
      </c>
      <c r="N18" s="601" t="s">
        <v>24</v>
      </c>
      <c r="O18" s="601"/>
      <c r="P18" s="642">
        <f t="shared" si="0"/>
        <v>0</v>
      </c>
      <c r="Q18" s="642"/>
      <c r="R18" s="647">
        <v>1</v>
      </c>
      <c r="S18" s="647"/>
      <c r="T18" s="95">
        <f t="shared" si="4"/>
        <v>0</v>
      </c>
      <c r="U18" s="473">
        <f t="shared" si="5"/>
        <v>0</v>
      </c>
    </row>
    <row r="19" spans="1:21" x14ac:dyDescent="0.25">
      <c r="A19" s="578" t="s">
        <v>25</v>
      </c>
      <c r="B19" s="578"/>
      <c r="C19" s="143">
        <v>11.28</v>
      </c>
      <c r="D19" s="143">
        <v>10.9</v>
      </c>
      <c r="E19" s="116">
        <f t="shared" si="1"/>
        <v>22.18</v>
      </c>
      <c r="F19" s="663">
        <f>'1461'!F19:G19</f>
        <v>0.97799999999999998</v>
      </c>
      <c r="G19" s="663"/>
      <c r="H19" s="80">
        <f t="shared" si="2"/>
        <v>21.692</v>
      </c>
      <c r="I19" s="101">
        <f t="shared" si="3"/>
        <v>120357.71</v>
      </c>
      <c r="J19" s="65" t="str">
        <f>IF(ROUND(E19,2)=ROUND(SUM(E63:E65),2)," ","CHECK 4-8 LINES BELOW")</f>
        <v xml:space="preserve"> </v>
      </c>
      <c r="N19" s="601" t="s">
        <v>25</v>
      </c>
      <c r="O19" s="601"/>
      <c r="P19" s="642">
        <f t="shared" si="0"/>
        <v>0</v>
      </c>
      <c r="Q19" s="642"/>
      <c r="R19" s="647">
        <v>1</v>
      </c>
      <c r="S19" s="647"/>
      <c r="T19" s="95">
        <f t="shared" si="4"/>
        <v>0</v>
      </c>
      <c r="U19" s="472">
        <f t="shared" si="5"/>
        <v>0</v>
      </c>
    </row>
    <row r="20" spans="1:21" x14ac:dyDescent="0.25">
      <c r="A20" s="578" t="s">
        <v>79</v>
      </c>
      <c r="B20" s="578"/>
      <c r="C20" s="143">
        <v>0</v>
      </c>
      <c r="D20" s="143">
        <v>0</v>
      </c>
      <c r="E20" s="116">
        <f t="shared" si="1"/>
        <v>0</v>
      </c>
      <c r="F20" s="663">
        <f>'1461'!F20:G20</f>
        <v>3.6970000000000001</v>
      </c>
      <c r="G20" s="663"/>
      <c r="H20" s="80">
        <f t="shared" si="2"/>
        <v>0</v>
      </c>
      <c r="I20" s="101">
        <f t="shared" si="3"/>
        <v>0</v>
      </c>
      <c r="N20" s="601" t="s">
        <v>79</v>
      </c>
      <c r="O20" s="601"/>
      <c r="P20" s="642">
        <f t="shared" si="0"/>
        <v>0</v>
      </c>
      <c r="Q20" s="642"/>
      <c r="R20" s="647">
        <v>1</v>
      </c>
      <c r="S20" s="647"/>
      <c r="T20" s="95">
        <f t="shared" si="4"/>
        <v>0</v>
      </c>
      <c r="U20" s="473">
        <f t="shared" si="5"/>
        <v>0</v>
      </c>
    </row>
    <row r="21" spans="1:21" x14ac:dyDescent="0.25">
      <c r="A21" s="578" t="s">
        <v>80</v>
      </c>
      <c r="B21" s="578"/>
      <c r="C21" s="143">
        <v>0</v>
      </c>
      <c r="D21" s="143">
        <v>0</v>
      </c>
      <c r="E21" s="116">
        <f t="shared" si="1"/>
        <v>0</v>
      </c>
      <c r="F21" s="663">
        <f>'1461'!F21:G21</f>
        <v>3.6970000000000001</v>
      </c>
      <c r="G21" s="663"/>
      <c r="H21" s="80">
        <f t="shared" si="2"/>
        <v>0</v>
      </c>
      <c r="I21" s="101">
        <f t="shared" si="3"/>
        <v>0</v>
      </c>
      <c r="N21" s="601" t="s">
        <v>80</v>
      </c>
      <c r="O21" s="601"/>
      <c r="P21" s="642">
        <f t="shared" si="0"/>
        <v>0</v>
      </c>
      <c r="Q21" s="642"/>
      <c r="R21" s="647">
        <v>1</v>
      </c>
      <c r="S21" s="647"/>
      <c r="T21" s="95">
        <f t="shared" si="4"/>
        <v>0</v>
      </c>
      <c r="U21" s="473">
        <f t="shared" si="5"/>
        <v>0</v>
      </c>
    </row>
    <row r="22" spans="1:21" x14ac:dyDescent="0.25">
      <c r="A22" s="578" t="s">
        <v>81</v>
      </c>
      <c r="B22" s="578"/>
      <c r="C22" s="143">
        <v>0</v>
      </c>
      <c r="D22" s="143">
        <v>0</v>
      </c>
      <c r="E22" s="116">
        <f t="shared" si="1"/>
        <v>0</v>
      </c>
      <c r="F22" s="663">
        <f>'1461'!F22:G22</f>
        <v>3.6970000000000001</v>
      </c>
      <c r="G22" s="663"/>
      <c r="H22" s="80">
        <f t="shared" si="2"/>
        <v>0</v>
      </c>
      <c r="I22" s="101">
        <f t="shared" si="3"/>
        <v>0</v>
      </c>
      <c r="N22" s="601" t="s">
        <v>81</v>
      </c>
      <c r="O22" s="601"/>
      <c r="P22" s="642">
        <f t="shared" si="0"/>
        <v>0</v>
      </c>
      <c r="Q22" s="642"/>
      <c r="R22" s="647">
        <v>1</v>
      </c>
      <c r="S22" s="647"/>
      <c r="T22" s="95">
        <f t="shared" si="4"/>
        <v>0</v>
      </c>
      <c r="U22" s="473">
        <f t="shared" si="5"/>
        <v>0</v>
      </c>
    </row>
    <row r="23" spans="1:21" x14ac:dyDescent="0.25">
      <c r="A23" s="578" t="s">
        <v>82</v>
      </c>
      <c r="B23" s="578"/>
      <c r="C23" s="143">
        <v>0</v>
      </c>
      <c r="D23" s="143">
        <v>0</v>
      </c>
      <c r="E23" s="116">
        <f t="shared" si="1"/>
        <v>0</v>
      </c>
      <c r="F23" s="663">
        <f>'1461'!F23:G23</f>
        <v>5.992</v>
      </c>
      <c r="G23" s="663"/>
      <c r="H23" s="80">
        <f t="shared" si="2"/>
        <v>0</v>
      </c>
      <c r="I23" s="101">
        <f t="shared" si="3"/>
        <v>0</v>
      </c>
      <c r="N23" s="601" t="s">
        <v>82</v>
      </c>
      <c r="O23" s="601"/>
      <c r="P23" s="642">
        <f t="shared" si="0"/>
        <v>0</v>
      </c>
      <c r="Q23" s="642"/>
      <c r="R23" s="647">
        <v>1</v>
      </c>
      <c r="S23" s="647"/>
      <c r="T23" s="95">
        <f t="shared" si="4"/>
        <v>0</v>
      </c>
      <c r="U23" s="473">
        <f t="shared" si="5"/>
        <v>0</v>
      </c>
    </row>
    <row r="24" spans="1:21" x14ac:dyDescent="0.25">
      <c r="A24" s="578" t="s">
        <v>83</v>
      </c>
      <c r="B24" s="578"/>
      <c r="C24" s="143">
        <v>0</v>
      </c>
      <c r="D24" s="143">
        <v>0</v>
      </c>
      <c r="E24" s="116">
        <f t="shared" si="1"/>
        <v>0</v>
      </c>
      <c r="F24" s="663">
        <f>'1461'!F24:G24</f>
        <v>5.992</v>
      </c>
      <c r="G24" s="663"/>
      <c r="H24" s="80">
        <f t="shared" si="2"/>
        <v>0</v>
      </c>
      <c r="I24" s="101">
        <f t="shared" si="3"/>
        <v>0</v>
      </c>
      <c r="N24" s="601" t="s">
        <v>83</v>
      </c>
      <c r="O24" s="601"/>
      <c r="P24" s="642">
        <f t="shared" si="0"/>
        <v>0</v>
      </c>
      <c r="Q24" s="642"/>
      <c r="R24" s="647">
        <v>1</v>
      </c>
      <c r="S24" s="647"/>
      <c r="T24" s="95">
        <f t="shared" si="4"/>
        <v>0</v>
      </c>
      <c r="U24" s="473">
        <f t="shared" si="5"/>
        <v>0</v>
      </c>
    </row>
    <row r="25" spans="1:21" x14ac:dyDescent="0.25">
      <c r="A25" s="578" t="s">
        <v>84</v>
      </c>
      <c r="B25" s="578"/>
      <c r="C25" s="143">
        <v>0</v>
      </c>
      <c r="D25" s="143">
        <v>0</v>
      </c>
      <c r="E25" s="116">
        <f t="shared" si="1"/>
        <v>0</v>
      </c>
      <c r="F25" s="663">
        <f>'1461'!F25:G25</f>
        <v>5.992</v>
      </c>
      <c r="G25" s="663"/>
      <c r="H25" s="80">
        <f t="shared" si="2"/>
        <v>0</v>
      </c>
      <c r="I25" s="101">
        <f t="shared" si="3"/>
        <v>0</v>
      </c>
      <c r="N25" s="601" t="s">
        <v>84</v>
      </c>
      <c r="O25" s="601"/>
      <c r="P25" s="642">
        <f t="shared" si="0"/>
        <v>0</v>
      </c>
      <c r="Q25" s="642"/>
      <c r="R25" s="647">
        <v>1</v>
      </c>
      <c r="S25" s="647"/>
      <c r="T25" s="95">
        <f t="shared" si="4"/>
        <v>0</v>
      </c>
      <c r="U25" s="473">
        <f t="shared" si="5"/>
        <v>0</v>
      </c>
    </row>
    <row r="26" spans="1:21" x14ac:dyDescent="0.25">
      <c r="A26" s="578" t="s">
        <v>85</v>
      </c>
      <c r="B26" s="578"/>
      <c r="C26" s="143">
        <v>0</v>
      </c>
      <c r="D26" s="143">
        <v>0</v>
      </c>
      <c r="E26" s="116">
        <f t="shared" si="1"/>
        <v>0</v>
      </c>
      <c r="F26" s="663">
        <f>'1461'!F26:G26</f>
        <v>1.1919999999999999</v>
      </c>
      <c r="G26" s="663"/>
      <c r="H26" s="80">
        <f t="shared" si="2"/>
        <v>0</v>
      </c>
      <c r="I26" s="101">
        <f t="shared" si="3"/>
        <v>0</v>
      </c>
      <c r="N26" s="601" t="s">
        <v>85</v>
      </c>
      <c r="O26" s="601"/>
      <c r="P26" s="642">
        <f t="shared" si="0"/>
        <v>0</v>
      </c>
      <c r="Q26" s="642"/>
      <c r="R26" s="647">
        <v>1</v>
      </c>
      <c r="S26" s="647"/>
      <c r="T26" s="95">
        <f t="shared" si="4"/>
        <v>0</v>
      </c>
      <c r="U26" s="473">
        <f t="shared" si="5"/>
        <v>0</v>
      </c>
    </row>
    <row r="27" spans="1:21" x14ac:dyDescent="0.25">
      <c r="A27" s="578" t="s">
        <v>86</v>
      </c>
      <c r="B27" s="578"/>
      <c r="C27" s="143">
        <v>19.559999999999999</v>
      </c>
      <c r="D27" s="143">
        <v>20.57</v>
      </c>
      <c r="E27" s="116">
        <f t="shared" si="1"/>
        <v>40.129999999999995</v>
      </c>
      <c r="F27" s="663">
        <f>'1461'!F27:G27</f>
        <v>1.1919999999999999</v>
      </c>
      <c r="G27" s="663"/>
      <c r="H27" s="80">
        <f t="shared" si="2"/>
        <v>47.835000000000001</v>
      </c>
      <c r="I27" s="101">
        <f t="shared" si="3"/>
        <v>265411.73</v>
      </c>
      <c r="N27" s="601" t="s">
        <v>86</v>
      </c>
      <c r="O27" s="601"/>
      <c r="P27" s="642">
        <f t="shared" si="0"/>
        <v>0</v>
      </c>
      <c r="Q27" s="642"/>
      <c r="R27" s="647">
        <v>1</v>
      </c>
      <c r="S27" s="647"/>
      <c r="T27" s="95">
        <f t="shared" si="4"/>
        <v>0</v>
      </c>
      <c r="U27" s="473">
        <f t="shared" si="5"/>
        <v>0</v>
      </c>
    </row>
    <row r="28" spans="1:21" x14ac:dyDescent="0.25">
      <c r="A28" s="578" t="s">
        <v>87</v>
      </c>
      <c r="B28" s="578"/>
      <c r="C28" s="143">
        <v>4.5</v>
      </c>
      <c r="D28" s="143">
        <v>4.6100000000000003</v>
      </c>
      <c r="E28" s="116">
        <f t="shared" si="1"/>
        <v>9.11</v>
      </c>
      <c r="F28" s="663">
        <f>'1461'!F28:G28</f>
        <v>1.1919999999999999</v>
      </c>
      <c r="G28" s="663"/>
      <c r="H28" s="80">
        <f t="shared" si="2"/>
        <v>10.8591</v>
      </c>
      <c r="I28" s="101">
        <f t="shared" si="3"/>
        <v>60251.54</v>
      </c>
      <c r="N28" s="601" t="s">
        <v>87</v>
      </c>
      <c r="O28" s="601"/>
      <c r="P28" s="642">
        <f t="shared" si="0"/>
        <v>0</v>
      </c>
      <c r="Q28" s="642"/>
      <c r="R28" s="647">
        <v>1</v>
      </c>
      <c r="S28" s="647"/>
      <c r="T28" s="95">
        <f t="shared" si="4"/>
        <v>0</v>
      </c>
      <c r="U28" s="473">
        <f t="shared" si="5"/>
        <v>0</v>
      </c>
    </row>
    <row r="29" spans="1:21" x14ac:dyDescent="0.25">
      <c r="A29" s="578" t="s">
        <v>88</v>
      </c>
      <c r="B29" s="578"/>
      <c r="C29" s="110">
        <v>0.99</v>
      </c>
      <c r="D29" s="110">
        <v>0.93</v>
      </c>
      <c r="E29" s="154">
        <f t="shared" si="1"/>
        <v>1.92</v>
      </c>
      <c r="F29" s="663">
        <f>'1461'!F29:G29</f>
        <v>1.079</v>
      </c>
      <c r="G29" s="663"/>
      <c r="H29" s="93">
        <f t="shared" si="2"/>
        <v>2.0716999999999999</v>
      </c>
      <c r="I29" s="94">
        <f t="shared" si="3"/>
        <v>11494.79</v>
      </c>
      <c r="N29" s="616" t="s">
        <v>88</v>
      </c>
      <c r="O29" s="616"/>
      <c r="P29" s="642">
        <f t="shared" si="0"/>
        <v>0</v>
      </c>
      <c r="Q29" s="642"/>
      <c r="R29" s="643">
        <v>1</v>
      </c>
      <c r="S29" s="643"/>
      <c r="T29" s="95">
        <f t="shared" si="4"/>
        <v>0</v>
      </c>
      <c r="U29" s="473">
        <f t="shared" si="5"/>
        <v>0</v>
      </c>
    </row>
    <row r="30" spans="1:21" x14ac:dyDescent="0.25">
      <c r="A30" s="590" t="s">
        <v>5</v>
      </c>
      <c r="B30" s="590"/>
      <c r="C30" s="94">
        <f>SUM(C14:C29)</f>
        <v>233.03</v>
      </c>
      <c r="D30" s="94">
        <f>SUM(D14:D29)</f>
        <v>230.64000000000001</v>
      </c>
      <c r="E30" s="94">
        <f>SUM(E14:E29)</f>
        <v>463.67000000000007</v>
      </c>
      <c r="F30" s="582"/>
      <c r="G30" s="582"/>
      <c r="H30" s="99">
        <f>SUM(H14:H29)</f>
        <v>470.18150000000003</v>
      </c>
      <c r="I30" s="94">
        <f>SUM(I14:I29)</f>
        <v>2608794.5100000002</v>
      </c>
      <c r="N30" s="644" t="s">
        <v>5</v>
      </c>
      <c r="O30" s="644"/>
      <c r="P30" s="645">
        <f>SUM(P14:P29)</f>
        <v>0</v>
      </c>
      <c r="Q30" s="645"/>
      <c r="R30" s="617"/>
      <c r="S30" s="617"/>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0" t="s">
        <v>233</v>
      </c>
      <c r="G34" s="670"/>
      <c r="H34" s="670"/>
      <c r="I34" s="101"/>
      <c r="N34" s="28"/>
      <c r="O34" s="28"/>
      <c r="P34" s="29"/>
      <c r="Q34" s="29"/>
      <c r="R34" s="30"/>
      <c r="S34" s="30"/>
      <c r="T34" s="102"/>
      <c r="U34" s="103"/>
    </row>
    <row r="35" spans="1:21" hidden="1" x14ac:dyDescent="0.25">
      <c r="A35" s="3"/>
      <c r="B35" s="69"/>
      <c r="C35" s="69"/>
      <c r="D35" s="69"/>
      <c r="E35" s="69"/>
      <c r="F35" s="670"/>
      <c r="G35" s="670"/>
      <c r="H35" s="670"/>
      <c r="I35" s="24" t="s">
        <v>61</v>
      </c>
      <c r="N35" s="627" t="s">
        <v>26</v>
      </c>
      <c r="O35" s="627"/>
      <c r="P35" s="627"/>
      <c r="Q35" s="627"/>
      <c r="R35" s="627"/>
      <c r="S35" s="627"/>
      <c r="T35" s="627"/>
      <c r="U35" s="25" t="str">
        <f>I35</f>
        <v>2015-16</v>
      </c>
    </row>
    <row r="36" spans="1:21" hidden="1" x14ac:dyDescent="0.25">
      <c r="A36" s="26"/>
      <c r="B36" s="26"/>
      <c r="C36" s="88" t="s">
        <v>93</v>
      </c>
      <c r="D36" s="88" t="s">
        <v>94</v>
      </c>
      <c r="E36" s="89" t="s">
        <v>8</v>
      </c>
      <c r="F36" s="670"/>
      <c r="G36" s="670"/>
      <c r="H36" s="670"/>
      <c r="I36" s="24" t="s">
        <v>27</v>
      </c>
      <c r="N36" s="28"/>
      <c r="O36" s="28"/>
      <c r="P36" s="29"/>
      <c r="Q36" s="29"/>
      <c r="R36" s="30"/>
      <c r="S36" s="30"/>
      <c r="T36" s="102"/>
      <c r="U36" s="25" t="s">
        <v>27</v>
      </c>
    </row>
    <row r="37" spans="1:21" ht="26.25" hidden="1" x14ac:dyDescent="0.25">
      <c r="A37" s="572" t="s">
        <v>50</v>
      </c>
      <c r="B37" s="572"/>
      <c r="C37" s="90" t="s">
        <v>2</v>
      </c>
      <c r="D37" s="90" t="s">
        <v>2</v>
      </c>
      <c r="E37" s="90" t="s">
        <v>2</v>
      </c>
      <c r="F37" s="671"/>
      <c r="G37" s="671"/>
      <c r="H37" s="671"/>
      <c r="I37" s="31" t="s">
        <v>395</v>
      </c>
      <c r="N37" s="639" t="s">
        <v>50</v>
      </c>
      <c r="O37" s="639"/>
      <c r="P37" s="640" t="s">
        <v>19</v>
      </c>
      <c r="Q37" s="640"/>
      <c r="R37" s="640"/>
      <c r="S37" s="640"/>
      <c r="T37" s="640"/>
      <c r="U37" s="19" t="str">
        <f>I37</f>
        <v>(WFTE x BSA x CWF x SDF)</v>
      </c>
    </row>
    <row r="38" spans="1:21" hidden="1" x14ac:dyDescent="0.25">
      <c r="A38" s="576" t="s">
        <v>45</v>
      </c>
      <c r="B38" s="576"/>
      <c r="C38" s="147">
        <v>0</v>
      </c>
      <c r="D38" s="147">
        <v>0</v>
      </c>
      <c r="E38" s="187">
        <f t="shared" ref="E38:E43" si="6">IF(D$44=0,C38*2,C38+D38)</f>
        <v>0</v>
      </c>
      <c r="F38" s="148"/>
      <c r="G38" s="148"/>
      <c r="H38" s="148"/>
      <c r="I38" s="111">
        <f>ROUND(ROUND(ROUND(E38*$C$8,4)*($H$8),2)*(MAX($H$9,1)),2)</f>
        <v>0</v>
      </c>
      <c r="N38" s="641" t="s">
        <v>45</v>
      </c>
      <c r="O38" s="641"/>
      <c r="P38" s="608">
        <f t="shared" ref="P38:P43" si="7">IF($H$133=1,E38,0)</f>
        <v>0</v>
      </c>
      <c r="Q38" s="608"/>
      <c r="R38" s="608"/>
      <c r="S38" s="608"/>
      <c r="T38" s="608"/>
      <c r="U38" s="98">
        <f>ROUND(ROUND(ROUND(P38*$C$8,4)*($H$8),2)*(MAX($H$9,1)),2)</f>
        <v>0</v>
      </c>
    </row>
    <row r="39" spans="1:21" hidden="1" x14ac:dyDescent="0.25">
      <c r="A39" s="578" t="s">
        <v>46</v>
      </c>
      <c r="B39" s="578"/>
      <c r="C39" s="150">
        <v>0</v>
      </c>
      <c r="D39" s="150">
        <v>0</v>
      </c>
      <c r="E39" s="116">
        <f t="shared" si="6"/>
        <v>0</v>
      </c>
      <c r="F39" s="151"/>
      <c r="G39" s="151"/>
      <c r="H39" s="151"/>
      <c r="I39" s="101">
        <f t="shared" ref="I39:I43" si="8">ROUND(ROUND(ROUND(E39*$C$8,4)*($H$8),2)*(MAX($H$9,1)),2)</f>
        <v>0</v>
      </c>
      <c r="N39" s="601" t="s">
        <v>46</v>
      </c>
      <c r="O39" s="601"/>
      <c r="P39" s="608">
        <f t="shared" si="7"/>
        <v>0</v>
      </c>
      <c r="Q39" s="608"/>
      <c r="R39" s="608"/>
      <c r="S39" s="608"/>
      <c r="T39" s="608"/>
      <c r="U39" s="98">
        <f t="shared" ref="U39:U43" si="9">ROUND(ROUND(ROUND(P39*$C$8,4)*($H$8),2)*(MAX($H$9,1)),2)</f>
        <v>0</v>
      </c>
    </row>
    <row r="40" spans="1:21" hidden="1" x14ac:dyDescent="0.25">
      <c r="A40" s="583" t="s">
        <v>47</v>
      </c>
      <c r="B40" s="583"/>
      <c r="C40" s="150">
        <v>0</v>
      </c>
      <c r="D40" s="150">
        <v>0</v>
      </c>
      <c r="E40" s="116">
        <f t="shared" si="6"/>
        <v>0</v>
      </c>
      <c r="F40" s="151"/>
      <c r="G40" s="151"/>
      <c r="H40" s="151"/>
      <c r="I40" s="101">
        <f t="shared" si="8"/>
        <v>0</v>
      </c>
      <c r="N40" s="646" t="s">
        <v>47</v>
      </c>
      <c r="O40" s="646"/>
      <c r="P40" s="608">
        <f t="shared" si="7"/>
        <v>0</v>
      </c>
      <c r="Q40" s="608"/>
      <c r="R40" s="608"/>
      <c r="S40" s="608"/>
      <c r="T40" s="608"/>
      <c r="U40" s="98">
        <f t="shared" si="9"/>
        <v>0</v>
      </c>
    </row>
    <row r="41" spans="1:21" hidden="1" x14ac:dyDescent="0.25">
      <c r="A41" s="578" t="s">
        <v>48</v>
      </c>
      <c r="B41" s="578"/>
      <c r="C41" s="150">
        <v>0</v>
      </c>
      <c r="D41" s="150">
        <v>0</v>
      </c>
      <c r="E41" s="116">
        <f t="shared" si="6"/>
        <v>0</v>
      </c>
      <c r="F41" s="151"/>
      <c r="G41" s="151"/>
      <c r="H41" s="151"/>
      <c r="I41" s="101">
        <f t="shared" si="8"/>
        <v>0</v>
      </c>
      <c r="N41" s="601" t="s">
        <v>48</v>
      </c>
      <c r="O41" s="601"/>
      <c r="P41" s="608">
        <f t="shared" si="7"/>
        <v>0</v>
      </c>
      <c r="Q41" s="608"/>
      <c r="R41" s="608"/>
      <c r="S41" s="608"/>
      <c r="T41" s="608"/>
      <c r="U41" s="98">
        <f t="shared" si="9"/>
        <v>0</v>
      </c>
    </row>
    <row r="42" spans="1:21" hidden="1" x14ac:dyDescent="0.25">
      <c r="A42" s="578" t="s">
        <v>49</v>
      </c>
      <c r="B42" s="578"/>
      <c r="C42" s="150">
        <v>0</v>
      </c>
      <c r="D42" s="150">
        <v>0</v>
      </c>
      <c r="E42" s="116">
        <f t="shared" si="6"/>
        <v>0</v>
      </c>
      <c r="F42" s="151"/>
      <c r="G42" s="151"/>
      <c r="H42" s="151"/>
      <c r="I42" s="101">
        <f t="shared" si="8"/>
        <v>0</v>
      </c>
      <c r="N42" s="601" t="s">
        <v>49</v>
      </c>
      <c r="O42" s="601"/>
      <c r="P42" s="608">
        <f t="shared" si="7"/>
        <v>0</v>
      </c>
      <c r="Q42" s="608"/>
      <c r="R42" s="608"/>
      <c r="S42" s="608"/>
      <c r="T42" s="608"/>
      <c r="U42" s="98">
        <f t="shared" si="9"/>
        <v>0</v>
      </c>
    </row>
    <row r="43" spans="1:21" hidden="1" x14ac:dyDescent="0.25">
      <c r="A43" s="578" t="s">
        <v>41</v>
      </c>
      <c r="B43" s="578"/>
      <c r="C43" s="149">
        <v>0</v>
      </c>
      <c r="D43" s="149">
        <v>0</v>
      </c>
      <c r="E43" s="154">
        <f t="shared" si="6"/>
        <v>0</v>
      </c>
      <c r="F43" s="151"/>
      <c r="G43" s="151"/>
      <c r="H43" s="151"/>
      <c r="I43" s="94">
        <f t="shared" si="8"/>
        <v>0</v>
      </c>
      <c r="N43" s="616" t="s">
        <v>41</v>
      </c>
      <c r="O43" s="616"/>
      <c r="P43" s="608">
        <f t="shared" si="7"/>
        <v>0</v>
      </c>
      <c r="Q43" s="608"/>
      <c r="R43" s="608"/>
      <c r="S43" s="608"/>
      <c r="T43" s="60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3" t="s">
        <v>43</v>
      </c>
      <c r="O44" s="603"/>
      <c r="P44" s="603"/>
      <c r="Q44" s="603"/>
      <c r="R44" s="33">
        <f>SUM(P38:R43)</f>
        <v>0</v>
      </c>
      <c r="S44" s="617" t="s">
        <v>51</v>
      </c>
      <c r="T44" s="617"/>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470.18150000000003</v>
      </c>
      <c r="F46" s="34"/>
      <c r="G46" s="106"/>
      <c r="H46" s="107" t="s">
        <v>98</v>
      </c>
      <c r="I46" s="94">
        <f>SUM(I44,I30)</f>
        <v>2608794.5100000002</v>
      </c>
      <c r="N46" s="603" t="s">
        <v>44</v>
      </c>
      <c r="O46" s="603"/>
      <c r="P46" s="603"/>
      <c r="Q46" s="603"/>
      <c r="R46" s="35">
        <f>R44+T30</f>
        <v>0</v>
      </c>
      <c r="S46" s="617" t="s">
        <v>42</v>
      </c>
      <c r="T46" s="617"/>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396</v>
      </c>
      <c r="B48" s="26"/>
      <c r="C48" s="26"/>
      <c r="D48" s="26"/>
      <c r="E48" s="26"/>
      <c r="F48" s="34"/>
      <c r="G48" s="27"/>
      <c r="H48" s="27"/>
      <c r="I48" s="101"/>
      <c r="N48" s="383" t="s">
        <v>396</v>
      </c>
      <c r="O48" s="28"/>
      <c r="P48" s="28"/>
      <c r="Q48" s="28"/>
      <c r="R48" s="35"/>
      <c r="S48" s="30"/>
      <c r="T48" s="30"/>
      <c r="U48" s="402"/>
    </row>
    <row r="49" spans="1:22" s="391" customFormat="1" ht="9" customHeight="1" x14ac:dyDescent="0.2">
      <c r="A49" s="481" t="s">
        <v>397</v>
      </c>
      <c r="F49" s="392"/>
      <c r="G49" s="393"/>
      <c r="H49" s="393"/>
      <c r="I49" s="394"/>
      <c r="N49" s="403" t="s">
        <v>397</v>
      </c>
      <c r="O49" s="395"/>
      <c r="P49" s="395"/>
      <c r="Q49" s="395"/>
      <c r="R49" s="396"/>
      <c r="S49" s="397"/>
      <c r="T49" s="397"/>
      <c r="U49" s="404"/>
    </row>
    <row r="50" spans="1:22" s="391" customFormat="1" ht="11.25" customHeight="1" x14ac:dyDescent="0.2">
      <c r="A50" s="483" t="s">
        <v>398</v>
      </c>
      <c r="F50" s="392"/>
      <c r="G50" s="393"/>
      <c r="H50" s="393"/>
      <c r="I50" s="394"/>
      <c r="N50" s="405" t="s">
        <v>398</v>
      </c>
      <c r="O50" s="395"/>
      <c r="P50" s="395"/>
      <c r="Q50" s="395"/>
      <c r="R50" s="396"/>
      <c r="S50" s="397"/>
      <c r="T50" s="397"/>
      <c r="U50" s="404"/>
    </row>
    <row r="51" spans="1:22" x14ac:dyDescent="0.25">
      <c r="A51" s="389"/>
      <c r="B51" s="399" t="s">
        <v>399</v>
      </c>
      <c r="C51" s="26"/>
      <c r="D51" s="26"/>
      <c r="E51" s="43" t="s">
        <v>400</v>
      </c>
      <c r="F51" s="400">
        <f>I46</f>
        <v>2608794.5100000002</v>
      </c>
      <c r="G51" s="109" t="s">
        <v>6</v>
      </c>
      <c r="H51" s="401">
        <v>4.5199999999999997E-2</v>
      </c>
      <c r="I51" s="101">
        <f>ROUND(F51*H51,2)</f>
        <v>117917.51</v>
      </c>
      <c r="N51" s="406"/>
      <c r="O51" s="407" t="s">
        <v>399</v>
      </c>
      <c r="P51" s="28"/>
      <c r="Q51" s="44" t="s">
        <v>400</v>
      </c>
      <c r="R51" s="408">
        <f>U30</f>
        <v>0</v>
      </c>
      <c r="S51" s="409" t="s">
        <v>6</v>
      </c>
      <c r="T51" s="410">
        <v>4.5199999999999997E-2</v>
      </c>
      <c r="U51" s="402">
        <f>ROUND(R51*T51,2)</f>
        <v>0</v>
      </c>
    </row>
    <row r="52" spans="1:22" x14ac:dyDescent="0.25">
      <c r="A52" s="26"/>
      <c r="B52" s="81" t="s">
        <v>401</v>
      </c>
      <c r="C52" s="26"/>
      <c r="D52" s="26"/>
      <c r="E52" s="43" t="s">
        <v>400</v>
      </c>
      <c r="F52" s="400">
        <f>I46</f>
        <v>2608794.5100000002</v>
      </c>
      <c r="G52" s="109" t="s">
        <v>6</v>
      </c>
      <c r="H52" s="401">
        <v>1.41E-2</v>
      </c>
      <c r="I52" s="101">
        <f>ROUND(F52*H52,2)</f>
        <v>36784</v>
      </c>
      <c r="N52" s="28"/>
      <c r="O52" s="383" t="s">
        <v>401</v>
      </c>
      <c r="P52" s="28"/>
      <c r="Q52" s="44" t="s">
        <v>400</v>
      </c>
      <c r="R52" s="408">
        <f>U30</f>
        <v>0</v>
      </c>
      <c r="S52" s="409" t="s">
        <v>6</v>
      </c>
      <c r="T52" s="410">
        <v>1.41E-2</v>
      </c>
      <c r="U52" s="411">
        <f>ROUND(R52*T52,2)</f>
        <v>0</v>
      </c>
    </row>
    <row r="53" spans="1:22" x14ac:dyDescent="0.25">
      <c r="A53" s="26"/>
      <c r="B53" s="81" t="s">
        <v>402</v>
      </c>
      <c r="C53" s="26"/>
      <c r="D53" s="26"/>
      <c r="E53" s="43"/>
      <c r="F53" s="400"/>
      <c r="G53" s="109"/>
      <c r="H53" s="401"/>
      <c r="I53" s="97">
        <f>SUM(I51:I52)</f>
        <v>154701.51</v>
      </c>
      <c r="N53" s="28"/>
      <c r="O53" s="383" t="s">
        <v>402</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440</v>
      </c>
      <c r="G55" s="109" t="s">
        <v>441</v>
      </c>
      <c r="H55" s="454" t="s">
        <v>442</v>
      </c>
      <c r="I55" s="101"/>
      <c r="N55" s="448"/>
      <c r="O55" s="448"/>
      <c r="P55" s="464"/>
      <c r="Q55" s="465"/>
      <c r="R55" s="466"/>
      <c r="S55" s="468" t="s">
        <v>441</v>
      </c>
      <c r="T55" s="469" t="s">
        <v>442</v>
      </c>
      <c r="U55" s="467"/>
      <c r="V55" s="424"/>
    </row>
    <row r="56" spans="1:22" x14ac:dyDescent="0.25">
      <c r="A56" s="36" t="s">
        <v>443</v>
      </c>
      <c r="B56" s="36"/>
      <c r="C56" s="324" t="str">
        <f>'1461'!C56</f>
        <v>FTE</v>
      </c>
      <c r="D56" s="324" t="str">
        <f>'1461'!D56</f>
        <v>FTE</v>
      </c>
      <c r="E56" s="90" t="s">
        <v>2</v>
      </c>
      <c r="F56" s="439" t="s">
        <v>444</v>
      </c>
      <c r="G56" s="441" t="s">
        <v>444</v>
      </c>
      <c r="H56" s="455" t="s">
        <v>445</v>
      </c>
      <c r="I56" s="36"/>
      <c r="N56" s="459" t="s">
        <v>443</v>
      </c>
      <c r="O56" s="459"/>
      <c r="P56" s="620" t="s">
        <v>2</v>
      </c>
      <c r="Q56" s="620"/>
      <c r="R56" s="459" t="s">
        <v>449</v>
      </c>
      <c r="S56" s="450" t="s">
        <v>444</v>
      </c>
      <c r="T56" s="470" t="s">
        <v>445</v>
      </c>
      <c r="U56" s="459"/>
      <c r="V56" s="458"/>
    </row>
    <row r="57" spans="1:22" x14ac:dyDescent="0.25">
      <c r="A57" s="588" t="s">
        <v>447</v>
      </c>
      <c r="B57" s="588"/>
      <c r="C57" s="143">
        <v>0</v>
      </c>
      <c r="D57" s="143">
        <v>0</v>
      </c>
      <c r="E57" s="116">
        <f t="shared" ref="E57:E65" si="10">IF(D$66=0,C57*2,C57+D57)</f>
        <v>0</v>
      </c>
      <c r="F57" s="443" t="s">
        <v>439</v>
      </c>
      <c r="G57" s="443">
        <v>251</v>
      </c>
      <c r="H57" s="457">
        <f>'1461'!H57</f>
        <v>1047</v>
      </c>
      <c r="I57" s="101">
        <f>ROUND(E57*H57,2)</f>
        <v>0</v>
      </c>
      <c r="N57" s="618" t="s">
        <v>447</v>
      </c>
      <c r="O57" s="618"/>
      <c r="P57" s="621"/>
      <c r="Q57" s="621"/>
      <c r="R57" s="449" t="s">
        <v>439</v>
      </c>
      <c r="S57" s="449">
        <v>251</v>
      </c>
      <c r="T57" s="460">
        <f>H57</f>
        <v>1047</v>
      </c>
      <c r="U57" s="474">
        <f>ROUND(P57*T57,2)</f>
        <v>0</v>
      </c>
      <c r="V57" s="424"/>
    </row>
    <row r="58" spans="1:22" x14ac:dyDescent="0.25">
      <c r="A58" s="589"/>
      <c r="B58" s="589"/>
      <c r="C58" s="143">
        <v>0</v>
      </c>
      <c r="D58" s="143">
        <v>0</v>
      </c>
      <c r="E58" s="116">
        <f t="shared" si="10"/>
        <v>0</v>
      </c>
      <c r="F58" s="443" t="s">
        <v>439</v>
      </c>
      <c r="G58" s="443">
        <v>252</v>
      </c>
      <c r="H58" s="457">
        <f>'1461'!H58</f>
        <v>3380</v>
      </c>
      <c r="I58" s="101">
        <f t="shared" ref="I58:I65" si="11">ROUND(E58*H58,2)</f>
        <v>0</v>
      </c>
      <c r="N58" s="619"/>
      <c r="O58" s="619"/>
      <c r="P58" s="622"/>
      <c r="Q58" s="622"/>
      <c r="R58" s="449" t="s">
        <v>439</v>
      </c>
      <c r="S58" s="449">
        <v>252</v>
      </c>
      <c r="T58" s="460">
        <f t="shared" ref="T58:T65" si="12">H58</f>
        <v>3380</v>
      </c>
      <c r="U58" s="474">
        <f t="shared" ref="U58:U65" si="13">ROUND(P58*T58,2)</f>
        <v>0</v>
      </c>
      <c r="V58" s="424"/>
    </row>
    <row r="59" spans="1:22" x14ac:dyDescent="0.25">
      <c r="A59" s="589"/>
      <c r="B59" s="589"/>
      <c r="C59" s="143">
        <v>0</v>
      </c>
      <c r="D59" s="143">
        <v>0</v>
      </c>
      <c r="E59" s="116">
        <f t="shared" si="10"/>
        <v>0</v>
      </c>
      <c r="F59" s="443" t="s">
        <v>439</v>
      </c>
      <c r="G59" s="443">
        <v>253</v>
      </c>
      <c r="H59" s="457">
        <f>'1461'!H59</f>
        <v>6896</v>
      </c>
      <c r="I59" s="101">
        <f t="shared" si="11"/>
        <v>0</v>
      </c>
      <c r="N59" s="619"/>
      <c r="O59" s="619"/>
      <c r="P59" s="622"/>
      <c r="Q59" s="622"/>
      <c r="R59" s="449" t="s">
        <v>439</v>
      </c>
      <c r="S59" s="449">
        <v>253</v>
      </c>
      <c r="T59" s="460">
        <f t="shared" si="12"/>
        <v>6896</v>
      </c>
      <c r="U59" s="474">
        <f t="shared" si="13"/>
        <v>0</v>
      </c>
      <c r="V59" s="424"/>
    </row>
    <row r="60" spans="1:22" x14ac:dyDescent="0.25">
      <c r="A60" s="589"/>
      <c r="B60" s="589"/>
      <c r="C60" s="143">
        <v>21.5</v>
      </c>
      <c r="D60" s="143">
        <v>23.07</v>
      </c>
      <c r="E60" s="116">
        <f t="shared" si="10"/>
        <v>44.57</v>
      </c>
      <c r="F60" s="444" t="s">
        <v>13</v>
      </c>
      <c r="G60" s="443">
        <v>251</v>
      </c>
      <c r="H60" s="457">
        <f>'1461'!H60</f>
        <v>1173</v>
      </c>
      <c r="I60" s="101">
        <f t="shared" si="11"/>
        <v>52280.61</v>
      </c>
      <c r="N60" s="619"/>
      <c r="O60" s="619"/>
      <c r="P60" s="622"/>
      <c r="Q60" s="622"/>
      <c r="R60" s="40" t="s">
        <v>13</v>
      </c>
      <c r="S60" s="449">
        <v>251</v>
      </c>
      <c r="T60" s="460">
        <f t="shared" si="12"/>
        <v>1173</v>
      </c>
      <c r="U60" s="474">
        <f t="shared" si="13"/>
        <v>0</v>
      </c>
      <c r="V60" s="424"/>
    </row>
    <row r="61" spans="1:22" x14ac:dyDescent="0.25">
      <c r="A61" s="589"/>
      <c r="B61" s="589"/>
      <c r="C61" s="143">
        <v>1.5</v>
      </c>
      <c r="D61" s="143">
        <v>1.41</v>
      </c>
      <c r="E61" s="116">
        <f t="shared" si="10"/>
        <v>2.91</v>
      </c>
      <c r="F61" s="444" t="s">
        <v>13</v>
      </c>
      <c r="G61" s="443">
        <v>252</v>
      </c>
      <c r="H61" s="457">
        <f>'1461'!H61</f>
        <v>3506</v>
      </c>
      <c r="I61" s="101">
        <f t="shared" si="11"/>
        <v>10202.459999999999</v>
      </c>
      <c r="N61" s="619"/>
      <c r="O61" s="619"/>
      <c r="P61" s="622"/>
      <c r="Q61" s="622"/>
      <c r="R61" s="40" t="s">
        <v>13</v>
      </c>
      <c r="S61" s="449">
        <v>252</v>
      </c>
      <c r="T61" s="460">
        <f t="shared" si="12"/>
        <v>3506</v>
      </c>
      <c r="U61" s="474">
        <f t="shared" si="13"/>
        <v>0</v>
      </c>
      <c r="V61" s="424"/>
    </row>
    <row r="62" spans="1:22" x14ac:dyDescent="0.25">
      <c r="A62" s="589"/>
      <c r="B62" s="589"/>
      <c r="C62" s="143">
        <v>0</v>
      </c>
      <c r="D62" s="143">
        <v>0</v>
      </c>
      <c r="E62" s="116">
        <f t="shared" si="10"/>
        <v>0</v>
      </c>
      <c r="F62" s="444" t="s">
        <v>13</v>
      </c>
      <c r="G62" s="443">
        <v>253</v>
      </c>
      <c r="H62" s="457">
        <f>'1461'!H62</f>
        <v>7023</v>
      </c>
      <c r="I62" s="101">
        <f t="shared" si="11"/>
        <v>0</v>
      </c>
      <c r="N62" s="619"/>
      <c r="O62" s="619"/>
      <c r="P62" s="622"/>
      <c r="Q62" s="622"/>
      <c r="R62" s="40" t="s">
        <v>13</v>
      </c>
      <c r="S62" s="449">
        <v>253</v>
      </c>
      <c r="T62" s="460">
        <f t="shared" si="12"/>
        <v>7023</v>
      </c>
      <c r="U62" s="474">
        <f t="shared" si="13"/>
        <v>0</v>
      </c>
      <c r="V62" s="424"/>
    </row>
    <row r="63" spans="1:22" x14ac:dyDescent="0.25">
      <c r="A63" s="589"/>
      <c r="B63" s="589"/>
      <c r="C63" s="143">
        <v>10.27</v>
      </c>
      <c r="D63" s="143">
        <v>9.98</v>
      </c>
      <c r="E63" s="116">
        <f t="shared" si="10"/>
        <v>20.25</v>
      </c>
      <c r="F63" s="444" t="s">
        <v>14</v>
      </c>
      <c r="G63" s="443">
        <v>251</v>
      </c>
      <c r="H63" s="457">
        <f>'1461'!H63</f>
        <v>835</v>
      </c>
      <c r="I63" s="101">
        <f t="shared" si="11"/>
        <v>16908.75</v>
      </c>
      <c r="N63" s="619"/>
      <c r="O63" s="619"/>
      <c r="P63" s="622"/>
      <c r="Q63" s="622"/>
      <c r="R63" s="40" t="s">
        <v>14</v>
      </c>
      <c r="S63" s="449">
        <v>251</v>
      </c>
      <c r="T63" s="460">
        <f t="shared" si="12"/>
        <v>835</v>
      </c>
      <c r="U63" s="474">
        <f t="shared" si="13"/>
        <v>0</v>
      </c>
      <c r="V63" s="424"/>
    </row>
    <row r="64" spans="1:22" x14ac:dyDescent="0.25">
      <c r="A64" s="589"/>
      <c r="B64" s="589"/>
      <c r="C64" s="143">
        <v>1.01</v>
      </c>
      <c r="D64" s="143">
        <v>0.92</v>
      </c>
      <c r="E64" s="116">
        <f t="shared" si="10"/>
        <v>1.9300000000000002</v>
      </c>
      <c r="F64" s="444" t="s">
        <v>14</v>
      </c>
      <c r="G64" s="443">
        <v>252</v>
      </c>
      <c r="H64" s="457">
        <f>'1461'!H64</f>
        <v>3168</v>
      </c>
      <c r="I64" s="101">
        <f t="shared" si="11"/>
        <v>6114.24</v>
      </c>
      <c r="N64" s="619"/>
      <c r="O64" s="619"/>
      <c r="P64" s="622"/>
      <c r="Q64" s="622"/>
      <c r="R64" s="40" t="s">
        <v>14</v>
      </c>
      <c r="S64" s="449">
        <v>252</v>
      </c>
      <c r="T64" s="460">
        <f t="shared" si="12"/>
        <v>3168</v>
      </c>
      <c r="U64" s="474">
        <f t="shared" si="13"/>
        <v>0</v>
      </c>
      <c r="V64" s="424"/>
    </row>
    <row r="65" spans="1:22" ht="16.5" thickBot="1" x14ac:dyDescent="0.3">
      <c r="A65" s="589"/>
      <c r="B65" s="589"/>
      <c r="C65" s="143">
        <v>0</v>
      </c>
      <c r="D65" s="143">
        <v>0</v>
      </c>
      <c r="E65" s="116">
        <f t="shared" si="10"/>
        <v>0</v>
      </c>
      <c r="F65" s="444" t="s">
        <v>14</v>
      </c>
      <c r="G65" s="443">
        <v>253</v>
      </c>
      <c r="H65" s="457">
        <f>'1461'!H65</f>
        <v>6685</v>
      </c>
      <c r="I65" s="101">
        <f t="shared" si="11"/>
        <v>0</v>
      </c>
      <c r="N65" s="619"/>
      <c r="O65" s="619"/>
      <c r="P65" s="623"/>
      <c r="Q65" s="623"/>
      <c r="R65" s="40" t="s">
        <v>14</v>
      </c>
      <c r="S65" s="449">
        <v>253</v>
      </c>
      <c r="T65" s="460">
        <f t="shared" si="12"/>
        <v>6685</v>
      </c>
      <c r="U65" s="475">
        <f t="shared" si="13"/>
        <v>0</v>
      </c>
      <c r="V65" s="424"/>
    </row>
    <row r="66" spans="1:22" ht="16.5" thickBot="1" x14ac:dyDescent="0.3">
      <c r="A66" s="440"/>
      <c r="C66" s="97">
        <f>SUM(C57:C65)</f>
        <v>34.279999999999994</v>
      </c>
      <c r="D66" s="97">
        <f>SUM(D57:D65)</f>
        <v>35.380000000000003</v>
      </c>
      <c r="E66" s="97">
        <f>SUM(E57:E65)</f>
        <v>69.660000000000011</v>
      </c>
      <c r="F66" s="590" t="s">
        <v>448</v>
      </c>
      <c r="G66" s="590"/>
      <c r="H66" s="590"/>
      <c r="I66" s="97">
        <f>SUM(I57:I65)</f>
        <v>85506.060000000012</v>
      </c>
      <c r="N66" s="446"/>
      <c r="O66" s="51"/>
      <c r="P66" s="602">
        <f>SUM(P57:P65)</f>
        <v>0</v>
      </c>
      <c r="Q66" s="602"/>
      <c r="R66" s="603" t="s">
        <v>448</v>
      </c>
      <c r="S66" s="603"/>
      <c r="T66" s="603"/>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450</v>
      </c>
      <c r="N68" s="453" t="s">
        <v>458</v>
      </c>
      <c r="O68" s="51"/>
      <c r="P68" s="51"/>
      <c r="Q68" s="51"/>
      <c r="R68" s="51"/>
      <c r="S68" s="51"/>
      <c r="T68" s="51"/>
      <c r="U68" s="51"/>
    </row>
    <row r="69" spans="1:22" x14ac:dyDescent="0.25">
      <c r="A69" s="584" t="s">
        <v>403</v>
      </c>
      <c r="B69" s="578"/>
      <c r="C69" s="112">
        <f>E30</f>
        <v>463.67000000000007</v>
      </c>
      <c r="D69" s="565" t="s">
        <v>414</v>
      </c>
      <c r="E69" s="565"/>
      <c r="F69" s="565"/>
      <c r="G69" s="565"/>
      <c r="H69" s="300">
        <f>'1461'!H69</f>
        <v>210228.91</v>
      </c>
      <c r="I69" s="113"/>
      <c r="N69" s="600" t="s">
        <v>407</v>
      </c>
      <c r="O69" s="601"/>
      <c r="P69" s="41">
        <f>P30</f>
        <v>0</v>
      </c>
      <c r="Q69" s="606" t="s">
        <v>409</v>
      </c>
      <c r="R69" s="607"/>
      <c r="S69" s="607"/>
      <c r="T69" s="604">
        <f>H69</f>
        <v>210228.91</v>
      </c>
      <c r="U69" s="604"/>
    </row>
    <row r="70" spans="1:22" x14ac:dyDescent="0.25">
      <c r="B70" s="69"/>
      <c r="G70" s="42" t="s">
        <v>12</v>
      </c>
      <c r="H70" s="114">
        <f>ROUND(C69/H69,6)</f>
        <v>2.2060000000000001E-3</v>
      </c>
      <c r="I70" s="115"/>
      <c r="N70" s="601"/>
      <c r="O70" s="601"/>
      <c r="P70" s="601"/>
      <c r="Q70" s="601"/>
      <c r="R70" s="601"/>
      <c r="S70" s="601"/>
      <c r="T70" s="605">
        <f>ROUND(P69/T69,6)</f>
        <v>0</v>
      </c>
      <c r="U70" s="605"/>
    </row>
    <row r="71" spans="1:22" x14ac:dyDescent="0.25">
      <c r="A71" s="442" t="s">
        <v>451</v>
      </c>
      <c r="N71" s="453" t="s">
        <v>459</v>
      </c>
      <c r="O71" s="51"/>
      <c r="P71" s="51"/>
      <c r="Q71" s="51"/>
      <c r="R71" s="51"/>
      <c r="S71" s="51"/>
      <c r="T71" s="51"/>
      <c r="U71" s="51"/>
    </row>
    <row r="72" spans="1:22" x14ac:dyDescent="0.25">
      <c r="A72" s="584" t="s">
        <v>404</v>
      </c>
      <c r="B72" s="578"/>
      <c r="C72" s="112">
        <f>H30</f>
        <v>470.18150000000003</v>
      </c>
      <c r="D72" s="565" t="s">
        <v>415</v>
      </c>
      <c r="E72" s="565"/>
      <c r="F72" s="565"/>
      <c r="G72" s="565"/>
      <c r="H72" s="301">
        <f>'1461'!H72</f>
        <v>234891.44</v>
      </c>
      <c r="I72" s="116"/>
      <c r="N72" s="600" t="s">
        <v>408</v>
      </c>
      <c r="O72" s="601"/>
      <c r="P72" s="41">
        <f>T30</f>
        <v>0</v>
      </c>
      <c r="Q72" s="606" t="s">
        <v>410</v>
      </c>
      <c r="R72" s="607"/>
      <c r="S72" s="607"/>
      <c r="T72" s="604">
        <f>H72</f>
        <v>234891.44</v>
      </c>
      <c r="U72" s="604"/>
    </row>
    <row r="73" spans="1:22" x14ac:dyDescent="0.25">
      <c r="G73" s="42" t="s">
        <v>12</v>
      </c>
      <c r="H73" s="114">
        <f>ROUND(C72/H72,6)</f>
        <v>2.0019999999999999E-3</v>
      </c>
      <c r="I73" s="114"/>
      <c r="N73" s="601"/>
      <c r="O73" s="601"/>
      <c r="P73" s="601"/>
      <c r="Q73" s="601"/>
      <c r="R73" s="601"/>
      <c r="S73" s="601"/>
      <c r="T73" s="605">
        <f>ROUND(P72/T72,6)</f>
        <v>0</v>
      </c>
      <c r="U73" s="605"/>
    </row>
    <row r="74" spans="1:22" x14ac:dyDescent="0.25">
      <c r="A74" s="417" t="s">
        <v>452</v>
      </c>
      <c r="B74" s="414"/>
      <c r="C74" s="414"/>
      <c r="D74" s="414"/>
      <c r="E74" s="414"/>
      <c r="F74" s="414"/>
      <c r="G74" s="414"/>
      <c r="H74" s="414"/>
      <c r="I74" s="414"/>
      <c r="N74" s="416" t="s">
        <v>460</v>
      </c>
      <c r="O74" s="415"/>
      <c r="P74" s="415"/>
      <c r="Q74" s="415"/>
      <c r="R74" s="415"/>
      <c r="S74" s="415"/>
      <c r="T74" s="415"/>
      <c r="U74" s="415"/>
      <c r="V74" s="414"/>
    </row>
    <row r="75" spans="1:22" x14ac:dyDescent="0.25">
      <c r="A75" s="584" t="s">
        <v>405</v>
      </c>
      <c r="B75" s="578"/>
      <c r="C75" s="112">
        <f>E30</f>
        <v>463.67000000000007</v>
      </c>
      <c r="D75" s="557" t="s">
        <v>416</v>
      </c>
      <c r="E75" s="557"/>
      <c r="F75" s="557"/>
      <c r="G75" s="557"/>
      <c r="H75" s="300">
        <f>'1461'!H75</f>
        <v>187665.41</v>
      </c>
      <c r="I75" s="113"/>
      <c r="N75" s="600" t="s">
        <v>406</v>
      </c>
      <c r="O75" s="601"/>
      <c r="P75" s="41">
        <f>P30</f>
        <v>0</v>
      </c>
      <c r="Q75" s="636" t="s">
        <v>411</v>
      </c>
      <c r="R75" s="637"/>
      <c r="S75" s="637"/>
      <c r="T75" s="604">
        <f>H75</f>
        <v>187665.41</v>
      </c>
      <c r="U75" s="604"/>
    </row>
    <row r="76" spans="1:22" x14ac:dyDescent="0.25">
      <c r="B76" s="69"/>
      <c r="G76" s="42" t="s">
        <v>12</v>
      </c>
      <c r="H76" s="114">
        <f>ROUND(C75/H75,6)</f>
        <v>2.4710000000000001E-3</v>
      </c>
      <c r="I76" s="115"/>
      <c r="N76" s="601"/>
      <c r="O76" s="601"/>
      <c r="P76" s="601"/>
      <c r="Q76" s="601"/>
      <c r="R76" s="601"/>
      <c r="S76" s="601"/>
      <c r="T76" s="605">
        <f>ROUND(P75/T75,6)</f>
        <v>0</v>
      </c>
      <c r="U76" s="605"/>
    </row>
    <row r="77" spans="1:22" x14ac:dyDescent="0.25">
      <c r="A77" s="417" t="s">
        <v>453</v>
      </c>
      <c r="B77" s="414"/>
      <c r="C77" s="414"/>
      <c r="D77" s="414"/>
      <c r="E77" s="414"/>
      <c r="F77" s="414"/>
      <c r="G77" s="414"/>
      <c r="H77" s="414"/>
      <c r="I77" s="414"/>
      <c r="N77" s="416" t="s">
        <v>461</v>
      </c>
      <c r="O77" s="415"/>
      <c r="P77" s="415"/>
      <c r="Q77" s="415"/>
      <c r="R77" s="415"/>
      <c r="S77" s="415"/>
      <c r="T77" s="415"/>
      <c r="U77" s="415"/>
      <c r="V77" s="414"/>
    </row>
    <row r="78" spans="1:22" x14ac:dyDescent="0.25">
      <c r="A78" s="584" t="s">
        <v>405</v>
      </c>
      <c r="B78" s="578"/>
      <c r="C78" s="112">
        <f>E30</f>
        <v>463.67000000000007</v>
      </c>
      <c r="D78" s="585" t="s">
        <v>417</v>
      </c>
      <c r="E78" s="585"/>
      <c r="F78" s="585"/>
      <c r="G78" s="585"/>
      <c r="H78" s="300">
        <f>'1461'!H78</f>
        <v>209892.26</v>
      </c>
      <c r="I78" s="113"/>
      <c r="N78" s="600" t="s">
        <v>406</v>
      </c>
      <c r="O78" s="601"/>
      <c r="P78" s="41">
        <f>P30</f>
        <v>0</v>
      </c>
      <c r="Q78" s="634" t="s">
        <v>412</v>
      </c>
      <c r="R78" s="635"/>
      <c r="S78" s="635"/>
      <c r="T78" s="604">
        <f>H78</f>
        <v>209892.26</v>
      </c>
      <c r="U78" s="604"/>
    </row>
    <row r="79" spans="1:22" x14ac:dyDescent="0.25">
      <c r="B79" s="69"/>
      <c r="G79" s="42" t="s">
        <v>12</v>
      </c>
      <c r="H79" s="114">
        <f>ROUND(C78/H78,6)</f>
        <v>2.209E-3</v>
      </c>
      <c r="I79" s="115"/>
      <c r="N79" s="601"/>
      <c r="O79" s="601"/>
      <c r="P79" s="601"/>
      <c r="Q79" s="601"/>
      <c r="R79" s="601"/>
      <c r="S79" s="601"/>
      <c r="T79" s="605">
        <f>ROUND(P78/T78,6)</f>
        <v>0</v>
      </c>
      <c r="U79" s="605"/>
    </row>
    <row r="80" spans="1:22" x14ac:dyDescent="0.25">
      <c r="A80" s="417" t="s">
        <v>454</v>
      </c>
      <c r="B80" s="414"/>
      <c r="C80" s="414"/>
      <c r="D80" s="414"/>
      <c r="E80" s="414"/>
      <c r="F80" s="414"/>
      <c r="G80" s="414"/>
      <c r="H80" s="414"/>
      <c r="I80" s="414"/>
      <c r="N80" s="416" t="s">
        <v>462</v>
      </c>
      <c r="O80" s="415"/>
      <c r="P80" s="415"/>
      <c r="Q80" s="415"/>
      <c r="R80" s="415"/>
      <c r="S80" s="415"/>
      <c r="T80" s="415"/>
      <c r="U80" s="415"/>
      <c r="V80" s="414"/>
    </row>
    <row r="81" spans="1:21" x14ac:dyDescent="0.25">
      <c r="A81" s="584" t="s">
        <v>413</v>
      </c>
      <c r="B81" s="578"/>
      <c r="C81" s="112">
        <f>E30</f>
        <v>463.67000000000007</v>
      </c>
      <c r="D81" s="557" t="s">
        <v>418</v>
      </c>
      <c r="E81" s="557"/>
      <c r="F81" s="557"/>
      <c r="G81" s="557"/>
      <c r="H81" s="300">
        <f>'1461'!H81</f>
        <v>187328.76</v>
      </c>
      <c r="I81" s="113"/>
      <c r="N81" s="600" t="s">
        <v>419</v>
      </c>
      <c r="O81" s="601"/>
      <c r="P81" s="41">
        <f>P30</f>
        <v>0</v>
      </c>
      <c r="Q81" s="636" t="s">
        <v>420</v>
      </c>
      <c r="R81" s="637"/>
      <c r="S81" s="637"/>
      <c r="T81" s="604">
        <f>H81</f>
        <v>187328.76</v>
      </c>
      <c r="U81" s="604"/>
    </row>
    <row r="82" spans="1:21" x14ac:dyDescent="0.25">
      <c r="B82" s="69"/>
      <c r="G82" s="42" t="s">
        <v>12</v>
      </c>
      <c r="H82" s="114">
        <f>ROUND(C81/H81,6)</f>
        <v>2.4750000000000002E-3</v>
      </c>
      <c r="I82" s="115"/>
      <c r="N82" s="601"/>
      <c r="O82" s="601"/>
      <c r="P82" s="601"/>
      <c r="Q82" s="601"/>
      <c r="R82" s="601"/>
      <c r="S82" s="601"/>
      <c r="T82" s="605">
        <f>ROUND(P81/T81,6)</f>
        <v>0</v>
      </c>
      <c r="U82" s="605"/>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455</v>
      </c>
      <c r="D85" s="69"/>
      <c r="E85" s="43" t="s">
        <v>299</v>
      </c>
      <c r="F85" s="302">
        <f>'1461'!F85</f>
        <v>46163704</v>
      </c>
      <c r="G85" s="37" t="s">
        <v>6</v>
      </c>
      <c r="H85" s="422">
        <f>H79</f>
        <v>2.209E-3</v>
      </c>
      <c r="I85" s="101">
        <f>ROUND(F85*H85,2)</f>
        <v>101975.62</v>
      </c>
      <c r="N85" s="453" t="s">
        <v>455</v>
      </c>
      <c r="O85" s="51"/>
      <c r="P85" s="51"/>
      <c r="Q85" s="44"/>
      <c r="R85" s="419">
        <f>F85</f>
        <v>46163704</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87" t="s">
        <v>71</v>
      </c>
      <c r="B87" s="578"/>
      <c r="C87" s="578"/>
      <c r="D87" s="69"/>
      <c r="E87" s="43"/>
      <c r="F87" s="117"/>
      <c r="G87" s="37"/>
      <c r="H87" s="422"/>
      <c r="I87" s="101"/>
      <c r="N87" s="600" t="s">
        <v>463</v>
      </c>
      <c r="O87" s="601"/>
      <c r="P87" s="601"/>
      <c r="Q87" s="51"/>
      <c r="R87" s="420"/>
      <c r="S87" s="51"/>
      <c r="T87" s="38"/>
      <c r="U87" s="478"/>
    </row>
    <row r="88" spans="1:21" x14ac:dyDescent="0.25">
      <c r="A88" s="587" t="s">
        <v>99</v>
      </c>
      <c r="B88" s="578"/>
      <c r="C88" s="578"/>
      <c r="D88" s="69"/>
      <c r="E88" s="43" t="s">
        <v>3</v>
      </c>
      <c r="F88" s="302">
        <f>'1461'!F88</f>
        <v>0</v>
      </c>
      <c r="G88" s="37" t="s">
        <v>6</v>
      </c>
      <c r="H88" s="422">
        <f>H70</f>
        <v>2.2060000000000001E-3</v>
      </c>
      <c r="I88" s="101">
        <f>ROUND(F88*H88,2)</f>
        <v>0</v>
      </c>
      <c r="N88" s="638" t="s">
        <v>99</v>
      </c>
      <c r="O88" s="601"/>
      <c r="P88" s="601"/>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456</v>
      </c>
      <c r="D90" s="69"/>
      <c r="E90" s="43" t="s">
        <v>421</v>
      </c>
      <c r="F90" s="302">
        <f>'1461'!F90</f>
        <v>19042026</v>
      </c>
      <c r="G90" s="37" t="s">
        <v>6</v>
      </c>
      <c r="H90" s="422">
        <f>H82</f>
        <v>2.4750000000000002E-3</v>
      </c>
      <c r="I90" s="101">
        <f>ROUND(F90*H90,2)</f>
        <v>47129.01</v>
      </c>
      <c r="N90" s="453" t="s">
        <v>456</v>
      </c>
      <c r="O90" s="51"/>
      <c r="P90" s="51"/>
      <c r="Q90" s="44"/>
      <c r="R90" s="419">
        <f>F90</f>
        <v>19042026</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457</v>
      </c>
      <c r="D92" s="69"/>
      <c r="E92" s="43" t="s">
        <v>3</v>
      </c>
      <c r="F92" s="302">
        <f>'1461'!F92</f>
        <v>11441151</v>
      </c>
      <c r="G92" s="37" t="s">
        <v>6</v>
      </c>
      <c r="H92" s="422">
        <f>H76</f>
        <v>2.4710000000000001E-3</v>
      </c>
      <c r="I92" s="101">
        <f t="shared" ref="I92:I96" si="14">ROUND(F92*H92,2)</f>
        <v>28271.08</v>
      </c>
      <c r="N92" s="453" t="s">
        <v>457</v>
      </c>
      <c r="O92" s="51"/>
      <c r="P92" s="51"/>
      <c r="Q92" s="44"/>
      <c r="R92" s="419">
        <f t="shared" ref="R92:R96" si="15">F92</f>
        <v>11441151</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84" t="s">
        <v>422</v>
      </c>
      <c r="B94" s="578"/>
      <c r="C94" s="578"/>
      <c r="D94" s="69"/>
      <c r="E94" s="43" t="s">
        <v>4</v>
      </c>
      <c r="F94" s="302">
        <f>'1461'!F94</f>
        <v>247265670</v>
      </c>
      <c r="G94" s="37" t="s">
        <v>6</v>
      </c>
      <c r="H94" s="422">
        <f>H73</f>
        <v>2.0019999999999999E-3</v>
      </c>
      <c r="I94" s="101">
        <f t="shared" si="14"/>
        <v>495025.87</v>
      </c>
      <c r="N94" s="601" t="s">
        <v>422</v>
      </c>
      <c r="O94" s="601"/>
      <c r="P94" s="601"/>
      <c r="Q94" s="44"/>
      <c r="R94" s="419">
        <f t="shared" si="15"/>
        <v>247265670</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4" t="s">
        <v>423</v>
      </c>
      <c r="B96" s="578"/>
      <c r="C96" s="578"/>
      <c r="D96" s="69"/>
      <c r="E96" s="43" t="s">
        <v>4</v>
      </c>
      <c r="F96" s="302">
        <f>'1461'!F96</f>
        <v>0</v>
      </c>
      <c r="G96" s="37" t="s">
        <v>6</v>
      </c>
      <c r="H96" s="422">
        <f>H73</f>
        <v>2.0019999999999999E-3</v>
      </c>
      <c r="I96" s="101">
        <f t="shared" si="14"/>
        <v>0</v>
      </c>
      <c r="N96" s="600" t="s">
        <v>423</v>
      </c>
      <c r="O96" s="601"/>
      <c r="P96" s="601"/>
      <c r="Q96" s="44"/>
      <c r="R96" s="419">
        <f t="shared" si="15"/>
        <v>0</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530" t="s">
        <v>497</v>
      </c>
      <c r="B98" s="529"/>
      <c r="C98" s="529"/>
      <c r="D98" s="529"/>
      <c r="E98" s="527" t="s">
        <v>3</v>
      </c>
      <c r="F98" s="290">
        <v>0</v>
      </c>
      <c r="G98" s="528" t="s">
        <v>6</v>
      </c>
      <c r="H98" s="422">
        <f>H70</f>
        <v>2.2060000000000001E-3</v>
      </c>
      <c r="I98" s="101">
        <f t="shared" ref="I98" si="16">ROUND(F98*H98,2)</f>
        <v>0</v>
      </c>
      <c r="N98" s="533" t="s">
        <v>497</v>
      </c>
      <c r="O98" s="533"/>
      <c r="P98" s="533"/>
      <c r="Q98" s="44"/>
      <c r="R98" s="536">
        <f>F98</f>
        <v>0</v>
      </c>
      <c r="S98" s="534" t="s">
        <v>6</v>
      </c>
      <c r="T98" s="421">
        <f>T70</f>
        <v>0</v>
      </c>
      <c r="U98" s="473">
        <f>ROUND(R98*T98,2)</f>
        <v>0</v>
      </c>
    </row>
    <row r="99" spans="1:21" x14ac:dyDescent="0.25">
      <c r="A99" s="530"/>
      <c r="B99" s="529"/>
      <c r="C99" s="529"/>
      <c r="D99" s="529"/>
      <c r="E99" s="527"/>
      <c r="F99" s="276"/>
      <c r="G99" s="528"/>
      <c r="H99" s="422"/>
      <c r="I99" s="101"/>
      <c r="N99" s="533"/>
      <c r="O99" s="533"/>
      <c r="P99" s="533"/>
      <c r="Q99" s="44"/>
      <c r="R99" s="535"/>
      <c r="S99" s="534"/>
      <c r="T99" s="421"/>
      <c r="U99" s="477"/>
    </row>
    <row r="100" spans="1:21" x14ac:dyDescent="0.25">
      <c r="A100" s="530"/>
      <c r="B100" s="529"/>
      <c r="C100" s="529"/>
      <c r="D100" s="529"/>
      <c r="E100" s="527"/>
      <c r="F100" s="276"/>
      <c r="G100" s="528"/>
      <c r="H100" s="422"/>
      <c r="I100" s="101"/>
      <c r="N100" s="533"/>
      <c r="O100" s="533"/>
      <c r="P100" s="533"/>
      <c r="Q100" s="44"/>
      <c r="R100" s="420"/>
      <c r="S100" s="534"/>
      <c r="T100" s="421"/>
      <c r="U100" s="103"/>
    </row>
    <row r="101" spans="1:21" x14ac:dyDescent="0.25">
      <c r="A101" s="399" t="s">
        <v>498</v>
      </c>
      <c r="N101" s="407" t="s">
        <v>498</v>
      </c>
      <c r="O101" s="51"/>
      <c r="P101" s="51"/>
      <c r="Q101" s="51"/>
      <c r="R101" s="51"/>
      <c r="S101" s="51"/>
      <c r="T101" s="51"/>
      <c r="U101" s="51"/>
    </row>
    <row r="102" spans="1:21" x14ac:dyDescent="0.25">
      <c r="B102" s="69"/>
      <c r="C102" s="563" t="s">
        <v>60</v>
      </c>
      <c r="D102" s="563"/>
      <c r="E102" s="69"/>
      <c r="F102" s="39" t="s">
        <v>28</v>
      </c>
      <c r="G102" s="69"/>
      <c r="H102" s="69"/>
      <c r="I102" s="69"/>
      <c r="N102" s="45"/>
      <c r="O102" s="45"/>
      <c r="P102" s="45"/>
      <c r="Q102" s="45"/>
      <c r="R102" s="45"/>
      <c r="S102" s="45"/>
      <c r="T102" s="45"/>
      <c r="U102" s="45"/>
    </row>
    <row r="103" spans="1:21" x14ac:dyDescent="0.25">
      <c r="A103" s="3"/>
      <c r="B103" s="118"/>
      <c r="C103" s="564" t="s">
        <v>101</v>
      </c>
      <c r="D103" s="564"/>
      <c r="E103" s="423" t="s">
        <v>426</v>
      </c>
      <c r="F103" s="120" t="s">
        <v>106</v>
      </c>
      <c r="G103" s="121"/>
      <c r="H103" s="121"/>
      <c r="I103" s="121"/>
      <c r="N103" s="631" t="s">
        <v>35</v>
      </c>
      <c r="O103" s="631"/>
      <c r="P103" s="672" t="s">
        <v>428</v>
      </c>
      <c r="Q103" s="633"/>
      <c r="R103" s="604" t="s">
        <v>31</v>
      </c>
      <c r="S103" s="604"/>
      <c r="T103" s="604"/>
      <c r="U103" s="604"/>
    </row>
    <row r="104" spans="1:21" x14ac:dyDescent="0.25">
      <c r="A104" s="26"/>
      <c r="B104" s="52" t="s">
        <v>105</v>
      </c>
      <c r="C104" s="596">
        <f>H14+H15+H20+H23+H26</f>
        <v>0</v>
      </c>
      <c r="D104" s="596"/>
      <c r="E104" s="46">
        <f>H8</f>
        <v>1.0407999999999999</v>
      </c>
      <c r="F104" s="303">
        <f>'1461'!F104</f>
        <v>950.92</v>
      </c>
      <c r="G104" s="39" t="s">
        <v>12</v>
      </c>
      <c r="H104" s="101">
        <f>ROUND(C104*E104*F104,2)</f>
        <v>0</v>
      </c>
      <c r="I104" s="104"/>
      <c r="N104" s="28" t="s">
        <v>17</v>
      </c>
      <c r="O104" s="47">
        <f>T14+T15+T20+T23+T26</f>
        <v>0</v>
      </c>
      <c r="P104" s="611">
        <f>T8</f>
        <v>1.0407999999999999</v>
      </c>
      <c r="Q104" s="611"/>
      <c r="R104" s="48">
        <f>F104</f>
        <v>950.92</v>
      </c>
      <c r="S104" s="40" t="s">
        <v>12</v>
      </c>
      <c r="T104" s="479">
        <f>ROUND(O104*P104*R104,2)</f>
        <v>0</v>
      </c>
      <c r="U104" s="102"/>
    </row>
    <row r="105" spans="1:21" x14ac:dyDescent="0.25">
      <c r="A105" s="49"/>
      <c r="B105" s="49" t="s">
        <v>104</v>
      </c>
      <c r="C105" s="596">
        <f>H16+H17+H21+H24+H27</f>
        <v>319.69499999999999</v>
      </c>
      <c r="D105" s="596"/>
      <c r="E105" s="46">
        <f>H8</f>
        <v>1.0407999999999999</v>
      </c>
      <c r="F105" s="303">
        <f>'1461'!F105</f>
        <v>907.92</v>
      </c>
      <c r="G105" s="39" t="s">
        <v>12</v>
      </c>
      <c r="H105" s="101">
        <f>ROUND(C105*E105*F105,2)</f>
        <v>302099.99</v>
      </c>
      <c r="N105" s="50" t="s">
        <v>13</v>
      </c>
      <c r="O105" s="47">
        <f>T16+T17+T21+T24+T27</f>
        <v>0</v>
      </c>
      <c r="P105" s="611">
        <f>T8</f>
        <v>1.0407999999999999</v>
      </c>
      <c r="Q105" s="611"/>
      <c r="R105" s="48">
        <f>F105</f>
        <v>907.92</v>
      </c>
      <c r="S105" s="40" t="s">
        <v>12</v>
      </c>
      <c r="T105" s="479">
        <f>ROUND(O105*P105*R105,2)</f>
        <v>0</v>
      </c>
      <c r="U105" s="51"/>
    </row>
    <row r="106" spans="1:21" ht="16.5" thickBot="1" x14ac:dyDescent="0.3">
      <c r="A106" s="52"/>
      <c r="B106" s="52" t="s">
        <v>103</v>
      </c>
      <c r="C106" s="596">
        <f>H18+H19+H22+H25+H28+H29</f>
        <v>150.48650000000001</v>
      </c>
      <c r="D106" s="596"/>
      <c r="E106" s="46">
        <f>H8</f>
        <v>1.0407999999999999</v>
      </c>
      <c r="F106" s="303">
        <f>'1461'!F106</f>
        <v>910.12</v>
      </c>
      <c r="G106" s="39" t="s">
        <v>12</v>
      </c>
      <c r="H106" s="94">
        <f>ROUND(C106*E106*F106,2)</f>
        <v>142548.76999999999</v>
      </c>
      <c r="N106" s="53" t="s">
        <v>14</v>
      </c>
      <c r="O106" s="54">
        <f>T18+T19+T22+T25+T28+T29</f>
        <v>0</v>
      </c>
      <c r="P106" s="611">
        <f>T8</f>
        <v>1.0407999999999999</v>
      </c>
      <c r="Q106" s="611"/>
      <c r="R106" s="48">
        <f>F106</f>
        <v>910.12</v>
      </c>
      <c r="S106" s="40" t="s">
        <v>12</v>
      </c>
      <c r="T106" s="479">
        <f>ROUND(O106*P106*R106,2)</f>
        <v>0</v>
      </c>
      <c r="U106" s="51"/>
    </row>
    <row r="107" spans="1:21" ht="16.5" thickBot="1" x14ac:dyDescent="0.3">
      <c r="A107" s="55"/>
      <c r="B107" s="122" t="s">
        <v>102</v>
      </c>
      <c r="C107" s="586">
        <f>SUM(C104:C106)</f>
        <v>470.18150000000003</v>
      </c>
      <c r="D107" s="586"/>
      <c r="E107" s="123"/>
      <c r="F107" s="123"/>
      <c r="G107" s="123"/>
      <c r="H107" s="124" t="s">
        <v>100</v>
      </c>
      <c r="I107" s="101">
        <f>IF(A1=75,0,H106+H105+H104)</f>
        <v>444648.76</v>
      </c>
      <c r="N107" s="56" t="s">
        <v>89</v>
      </c>
      <c r="O107" s="57">
        <f>SUM(O104:O106)</f>
        <v>0</v>
      </c>
      <c r="P107" s="612" t="s">
        <v>16</v>
      </c>
      <c r="Q107" s="613"/>
      <c r="R107" s="613"/>
      <c r="S107" s="613"/>
      <c r="T107" s="613"/>
      <c r="U107" s="473">
        <f>IF(N1=75,0,T106+T105+T104)</f>
        <v>0</v>
      </c>
    </row>
    <row r="108" spans="1:21" ht="16.5" thickTop="1" x14ac:dyDescent="0.25">
      <c r="A108" s="555" t="s">
        <v>65</v>
      </c>
      <c r="B108" s="555"/>
      <c r="C108" s="555"/>
      <c r="D108" s="555"/>
      <c r="E108" s="555"/>
      <c r="F108" s="555"/>
      <c r="G108" s="555"/>
      <c r="H108" s="555"/>
      <c r="I108" s="555"/>
      <c r="N108" s="614" t="s">
        <v>65</v>
      </c>
      <c r="O108" s="614"/>
      <c r="P108" s="614"/>
      <c r="Q108" s="614"/>
      <c r="R108" s="614"/>
      <c r="S108" s="614"/>
      <c r="T108" s="614"/>
      <c r="U108" s="614"/>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0" t="s">
        <v>499</v>
      </c>
      <c r="C110" s="43"/>
      <c r="D110" s="69"/>
      <c r="E110" s="43" t="s">
        <v>32</v>
      </c>
      <c r="F110" s="556"/>
      <c r="G110" s="556"/>
      <c r="H110" s="556"/>
      <c r="I110" s="556"/>
      <c r="N110" s="600" t="s">
        <v>499</v>
      </c>
      <c r="O110" s="601"/>
      <c r="P110" s="601"/>
      <c r="Q110" s="615"/>
      <c r="R110" s="615"/>
      <c r="S110" s="615"/>
      <c r="T110" s="615"/>
      <c r="U110" s="103"/>
    </row>
    <row r="111" spans="1:21" x14ac:dyDescent="0.25">
      <c r="B111" s="69"/>
      <c r="C111" s="88" t="s">
        <v>494</v>
      </c>
      <c r="D111" s="333" t="s">
        <v>495</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57" t="s">
        <v>381</v>
      </c>
      <c r="B113" s="558"/>
      <c r="C113" s="143">
        <v>258</v>
      </c>
      <c r="D113" s="143">
        <v>243</v>
      </c>
      <c r="E113" s="116">
        <f>(C113+D113)/2</f>
        <v>250.5</v>
      </c>
      <c r="F113" s="126" t="s">
        <v>30</v>
      </c>
      <c r="G113" s="304">
        <f>'1461'!G113</f>
        <v>576</v>
      </c>
      <c r="I113" s="101">
        <f>ROUND(G113*E113,2)</f>
        <v>144288</v>
      </c>
      <c r="N113" s="630" t="s">
        <v>52</v>
      </c>
      <c r="O113" s="630"/>
      <c r="P113" s="610">
        <f>IF(H133=1,E113,0)</f>
        <v>0</v>
      </c>
      <c r="Q113" s="610"/>
      <c r="R113" s="610"/>
      <c r="S113" s="83" t="s">
        <v>30</v>
      </c>
      <c r="T113" s="58">
        <f>G113</f>
        <v>576</v>
      </c>
      <c r="U113" s="473">
        <f>ROUND(T113*P113,2)</f>
        <v>0</v>
      </c>
    </row>
    <row r="114" spans="1:21" x14ac:dyDescent="0.25">
      <c r="A114" s="557" t="s">
        <v>382</v>
      </c>
      <c r="B114" s="558"/>
      <c r="C114" s="143">
        <v>0</v>
      </c>
      <c r="D114" s="143">
        <v>0</v>
      </c>
      <c r="E114" s="116">
        <f>(C114+D114)/2</f>
        <v>0</v>
      </c>
      <c r="F114" s="126" t="s">
        <v>30</v>
      </c>
      <c r="G114" s="304">
        <f>'1461'!G114</f>
        <v>1823</v>
      </c>
      <c r="I114" s="101">
        <f>ROUND(G114*E114,2)</f>
        <v>0</v>
      </c>
      <c r="N114" s="630" t="s">
        <v>64</v>
      </c>
      <c r="O114" s="630"/>
      <c r="P114" s="608"/>
      <c r="Q114" s="608"/>
      <c r="R114" s="608"/>
      <c r="S114" s="83" t="s">
        <v>30</v>
      </c>
      <c r="T114" s="58">
        <f>G114</f>
        <v>1823</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4" t="s">
        <v>430</v>
      </c>
      <c r="B117" s="578"/>
      <c r="C117" s="578"/>
      <c r="D117" s="69"/>
      <c r="E117" s="39" t="s">
        <v>300</v>
      </c>
      <c r="F117" s="563"/>
      <c r="G117" s="563"/>
      <c r="H117" s="563"/>
      <c r="I117" s="563"/>
      <c r="N117" s="600" t="s">
        <v>431</v>
      </c>
      <c r="O117" s="601"/>
      <c r="P117" s="601"/>
      <c r="Q117" s="601"/>
      <c r="R117" s="601"/>
      <c r="S117" s="601"/>
      <c r="T117" s="601"/>
      <c r="U117" s="601"/>
    </row>
    <row r="118" spans="1:21" hidden="1" x14ac:dyDescent="0.25">
      <c r="B118" s="69"/>
      <c r="C118" s="564" t="s">
        <v>66</v>
      </c>
      <c r="D118" s="564"/>
      <c r="E118" s="564"/>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5" t="s">
        <v>109</v>
      </c>
      <c r="G119" s="563"/>
      <c r="H119" s="37" t="s">
        <v>29</v>
      </c>
      <c r="I119" s="37"/>
      <c r="N119" s="45"/>
      <c r="O119" s="45"/>
      <c r="P119" s="45"/>
      <c r="Q119" s="45"/>
      <c r="R119" s="45"/>
      <c r="S119" s="45"/>
      <c r="T119" s="45"/>
      <c r="U119" s="45"/>
    </row>
    <row r="120" spans="1:21" hidden="1" x14ac:dyDescent="0.25">
      <c r="A120" s="564" t="s">
        <v>69</v>
      </c>
      <c r="B120" s="564"/>
      <c r="C120" s="90" t="s">
        <v>2</v>
      </c>
      <c r="D120" s="90" t="s">
        <v>2</v>
      </c>
      <c r="E120" s="59" t="s">
        <v>2</v>
      </c>
      <c r="F120" s="564" t="s">
        <v>28</v>
      </c>
      <c r="G120" s="564"/>
      <c r="H120" s="59" t="s">
        <v>28</v>
      </c>
      <c r="I120" s="59" t="s">
        <v>8</v>
      </c>
      <c r="N120" s="609" t="s">
        <v>53</v>
      </c>
      <c r="O120" s="609"/>
      <c r="P120" s="610" t="s">
        <v>66</v>
      </c>
      <c r="Q120" s="610"/>
      <c r="R120" s="609" t="s">
        <v>54</v>
      </c>
      <c r="S120" s="609"/>
      <c r="T120" s="60" t="s">
        <v>55</v>
      </c>
      <c r="U120" s="60" t="s">
        <v>8</v>
      </c>
    </row>
    <row r="121" spans="1:21" hidden="1" x14ac:dyDescent="0.25">
      <c r="A121" s="561" t="s">
        <v>56</v>
      </c>
      <c r="B121" s="561"/>
      <c r="C121" s="141">
        <v>0</v>
      </c>
      <c r="D121" s="141">
        <v>0</v>
      </c>
      <c r="E121" s="187">
        <f>IF(D30=0,C121*2,C121+D121)</f>
        <v>0</v>
      </c>
      <c r="F121" s="562">
        <v>0</v>
      </c>
      <c r="G121" s="562"/>
      <c r="H121" s="224">
        <f>IF(C121=0,0,125)</f>
        <v>0</v>
      </c>
      <c r="I121" s="101">
        <f>ROUND((H121+F121)*E121,2)</f>
        <v>0</v>
      </c>
      <c r="N121" s="601" t="s">
        <v>56</v>
      </c>
      <c r="O121" s="601"/>
      <c r="P121" s="608">
        <f>IF(H$133=1,C121,0)</f>
        <v>0</v>
      </c>
      <c r="Q121" s="608"/>
      <c r="R121" s="628">
        <f>F121</f>
        <v>0</v>
      </c>
      <c r="S121" s="628"/>
      <c r="T121" s="62">
        <f>H121</f>
        <v>0</v>
      </c>
      <c r="U121" s="96">
        <f>ROUND((T121+R121)*P121,0)</f>
        <v>0</v>
      </c>
    </row>
    <row r="122" spans="1:21" hidden="1" x14ac:dyDescent="0.25">
      <c r="A122" s="581" t="s">
        <v>57</v>
      </c>
      <c r="B122" s="581"/>
      <c r="C122" s="143">
        <v>0</v>
      </c>
      <c r="D122" s="143">
        <v>0</v>
      </c>
      <c r="E122" s="116">
        <f>IF(D31=0,C122*2,C122+D122)</f>
        <v>0</v>
      </c>
      <c r="F122" s="598">
        <f>ROUND(F121/2,2)</f>
        <v>0</v>
      </c>
      <c r="G122" s="598"/>
      <c r="H122" s="224">
        <f>IF(C122=0,0,62.5)</f>
        <v>0</v>
      </c>
      <c r="I122" s="101">
        <f>ROUND((H122+F122)*E122,2)</f>
        <v>0</v>
      </c>
      <c r="N122" s="601" t="s">
        <v>57</v>
      </c>
      <c r="O122" s="601"/>
      <c r="P122" s="608">
        <f>IF(H$133=1,C122,0)</f>
        <v>0</v>
      </c>
      <c r="Q122" s="608"/>
      <c r="R122" s="629">
        <f>ROUND(R121/2,2)</f>
        <v>0</v>
      </c>
      <c r="S122" s="629"/>
      <c r="T122" s="62">
        <f>H122</f>
        <v>0</v>
      </c>
      <c r="U122" s="96">
        <f>ROUND((T122+R122)*P122,0)</f>
        <v>0</v>
      </c>
    </row>
    <row r="123" spans="1:21" ht="16.5" hidden="1" thickBot="1" x14ac:dyDescent="0.3">
      <c r="A123" s="581" t="s">
        <v>58</v>
      </c>
      <c r="B123" s="581"/>
      <c r="C123" s="143">
        <v>0</v>
      </c>
      <c r="D123" s="143">
        <v>0</v>
      </c>
      <c r="E123" s="116">
        <f>IF(D32=0,C123*2,C123+D123)</f>
        <v>0</v>
      </c>
      <c r="F123" s="599"/>
      <c r="G123" s="599"/>
      <c r="H123" s="225">
        <f>IF(H121&gt;0,436,0)</f>
        <v>0</v>
      </c>
      <c r="I123" s="101">
        <f>ROUND(H123*E123,2)</f>
        <v>0</v>
      </c>
      <c r="N123" s="616" t="s">
        <v>58</v>
      </c>
      <c r="O123" s="616"/>
      <c r="P123" s="608">
        <f>IF(H$133=1,C123,0)</f>
        <v>0</v>
      </c>
      <c r="Q123" s="608"/>
      <c r="R123" s="609"/>
      <c r="S123" s="609"/>
      <c r="T123" s="64">
        <f>H123</f>
        <v>0</v>
      </c>
      <c r="U123" s="103">
        <f>ROUND(T123*P123,0)</f>
        <v>0</v>
      </c>
    </row>
    <row r="124" spans="1:21" ht="16.5" hidden="1" thickBot="1" x14ac:dyDescent="0.3">
      <c r="A124" s="563" t="s">
        <v>8</v>
      </c>
      <c r="B124" s="563"/>
      <c r="C124" s="65"/>
      <c r="D124" s="65"/>
      <c r="E124" s="65"/>
      <c r="F124" s="65"/>
      <c r="G124" s="65"/>
      <c r="H124" s="65"/>
      <c r="I124" s="97">
        <f>SUM(I121:I123)</f>
        <v>0</v>
      </c>
      <c r="N124" s="627" t="s">
        <v>8</v>
      </c>
      <c r="O124" s="627"/>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4" t="s">
        <v>432</v>
      </c>
      <c r="B126" s="578"/>
      <c r="C126" s="578"/>
      <c r="D126" s="69"/>
      <c r="E126" s="68" t="s">
        <v>34</v>
      </c>
      <c r="F126" s="597"/>
      <c r="G126" s="597"/>
      <c r="H126" s="597"/>
      <c r="I126" s="154">
        <v>0</v>
      </c>
      <c r="N126" s="600" t="s">
        <v>432</v>
      </c>
      <c r="O126" s="601"/>
      <c r="P126" s="601"/>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90" t="s">
        <v>8</v>
      </c>
      <c r="B128" s="590"/>
      <c r="C128" s="590"/>
      <c r="D128" s="590"/>
      <c r="E128" s="590"/>
      <c r="F128" s="590"/>
      <c r="G128" s="590"/>
      <c r="H128" s="590"/>
      <c r="I128" s="94">
        <f>SUM(I46,I66,I85,I88,I90,I92,I94,I96,I107,I113,I114,I124,I126)</f>
        <v>3955638.91</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434</v>
      </c>
      <c r="B130" s="26"/>
      <c r="C130" s="26"/>
      <c r="D130" s="26"/>
      <c r="E130" s="26"/>
      <c r="F130" s="26"/>
      <c r="G130" s="26"/>
      <c r="H130" s="26"/>
      <c r="I130" s="101">
        <f>I128-I53</f>
        <v>3800937.4000000004</v>
      </c>
      <c r="N130" s="601" t="s">
        <v>434</v>
      </c>
      <c r="O130" s="601"/>
      <c r="P130" s="601"/>
      <c r="Q130" s="601"/>
      <c r="R130" s="601"/>
      <c r="S130" s="601"/>
      <c r="T130" s="601"/>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4" t="s">
        <v>502</v>
      </c>
      <c r="B132" s="578"/>
      <c r="C132" s="578"/>
      <c r="D132" s="578"/>
      <c r="E132" s="578"/>
      <c r="F132" s="578"/>
      <c r="G132" s="578"/>
      <c r="H132" s="81" t="s">
        <v>333</v>
      </c>
      <c r="I132" s="134"/>
      <c r="N132" s="600" t="s">
        <v>502</v>
      </c>
      <c r="O132" s="601"/>
      <c r="P132" s="601"/>
      <c r="Q132" s="601"/>
      <c r="R132" s="601"/>
      <c r="S132" s="601"/>
      <c r="T132" s="601"/>
      <c r="U132" s="138"/>
    </row>
    <row r="133" spans="1:21" x14ac:dyDescent="0.25">
      <c r="A133" s="578" t="s">
        <v>70</v>
      </c>
      <c r="B133" s="578"/>
      <c r="C133" s="578"/>
      <c r="D133" s="578"/>
      <c r="E133" s="578"/>
      <c r="F133" s="578"/>
      <c r="G133" s="578"/>
      <c r="H133" s="70" t="str">
        <f>IF(E30=0,"",IF((E15+E17+SUM(E19:E25))/E30&gt;0.75,1,""))</f>
        <v/>
      </c>
      <c r="I133" s="116">
        <f>U130</f>
        <v>0</v>
      </c>
      <c r="N133" s="601" t="s">
        <v>70</v>
      </c>
      <c r="O133" s="601"/>
      <c r="P133" s="601"/>
      <c r="Q133" s="601"/>
      <c r="R133" s="601"/>
      <c r="S133" s="601"/>
      <c r="T133" s="601"/>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3800937.4000000004</v>
      </c>
      <c r="I135" s="94">
        <f>ROUND(IF(E30=0,0,IF(E30&gt;250,-(((250/E30)*H135)*IF(G135="H",0.02,0.05)),IF(G135="H",-0.02*H135,-0.05*H135))),2)</f>
        <v>-102468.82</v>
      </c>
      <c r="N135" s="626"/>
      <c r="O135" s="626"/>
      <c r="P135" s="626"/>
      <c r="Q135" s="626"/>
      <c r="R135" s="626"/>
      <c r="S135" s="626"/>
      <c r="T135" s="626"/>
      <c r="U135" s="626"/>
    </row>
    <row r="136" spans="1:21" x14ac:dyDescent="0.25">
      <c r="B136" s="69"/>
      <c r="C136" s="69"/>
      <c r="D136" s="69"/>
      <c r="E136" s="69"/>
      <c r="F136" s="69"/>
      <c r="G136" s="69"/>
      <c r="H136" s="65"/>
      <c r="I136" s="101"/>
      <c r="N136" s="624" t="s">
        <v>7</v>
      </c>
      <c r="O136" s="624"/>
      <c r="P136" s="624"/>
      <c r="Q136" s="624"/>
      <c r="R136" s="624"/>
      <c r="S136" s="624"/>
      <c r="T136" s="624"/>
      <c r="U136" s="624"/>
    </row>
    <row r="137" spans="1:21" x14ac:dyDescent="0.25">
      <c r="A137" s="309" t="s">
        <v>74</v>
      </c>
      <c r="B137" s="310"/>
      <c r="C137" s="310"/>
      <c r="D137" s="310"/>
      <c r="E137" s="310"/>
      <c r="F137" s="310"/>
      <c r="G137" s="310"/>
      <c r="H137" s="311"/>
      <c r="I137" s="312">
        <f>I128+I135</f>
        <v>3853170.0900000003</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Payments'!Q91</f>
        <v>0</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3853170.0900000003</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321097.51</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87578.05</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372</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373</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374</v>
      </c>
      <c r="B155" s="252"/>
      <c r="C155" s="252"/>
      <c r="D155" s="252"/>
      <c r="E155" s="252"/>
      <c r="F155" s="252"/>
      <c r="G155" s="252"/>
      <c r="H155" s="252"/>
      <c r="I155" s="252"/>
      <c r="N155" s="625"/>
      <c r="O155" s="625"/>
      <c r="P155" s="625"/>
      <c r="Q155" s="625"/>
      <c r="R155" s="625"/>
      <c r="S155" s="625"/>
      <c r="T155" s="625"/>
      <c r="U155" s="625"/>
    </row>
    <row r="156" spans="1:21" s="76" customFormat="1" x14ac:dyDescent="0.2">
      <c r="A156" s="320" t="s">
        <v>375</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376</v>
      </c>
      <c r="B157" s="252"/>
      <c r="C157" s="252"/>
      <c r="D157" s="252"/>
      <c r="E157" s="252"/>
      <c r="F157" s="252"/>
      <c r="G157" s="252"/>
      <c r="H157" s="252"/>
      <c r="I157" s="252"/>
      <c r="N157" s="78"/>
      <c r="O157" s="79"/>
      <c r="P157" s="79"/>
      <c r="Q157" s="79"/>
      <c r="R157" s="79"/>
      <c r="S157" s="79"/>
      <c r="T157" s="79"/>
      <c r="U157" s="79"/>
    </row>
    <row r="158" spans="1:21" s="76" customFormat="1" x14ac:dyDescent="0.2">
      <c r="A158" s="320" t="s">
        <v>377</v>
      </c>
      <c r="B158" s="252"/>
      <c r="C158" s="252"/>
      <c r="D158" s="252"/>
      <c r="E158" s="252"/>
      <c r="F158" s="252"/>
      <c r="G158" s="252"/>
      <c r="H158" s="252"/>
      <c r="I158" s="252"/>
      <c r="N158" s="78"/>
    </row>
    <row r="159" spans="1:21" s="76" customFormat="1" x14ac:dyDescent="0.2">
      <c r="A159" s="320" t="s">
        <v>379</v>
      </c>
      <c r="B159" s="252"/>
      <c r="C159" s="252"/>
      <c r="D159" s="252"/>
      <c r="E159" s="252"/>
      <c r="F159" s="252"/>
      <c r="G159" s="252"/>
      <c r="H159" s="252"/>
      <c r="I159" s="252"/>
      <c r="N159" s="78"/>
    </row>
    <row r="160" spans="1:21" s="76" customFormat="1" x14ac:dyDescent="0.2">
      <c r="A160" s="385" t="s">
        <v>378</v>
      </c>
      <c r="B160" s="252">
        <v>637300</v>
      </c>
      <c r="C160" s="252"/>
      <c r="D160" s="252"/>
      <c r="E160" s="252"/>
      <c r="F160" s="252"/>
      <c r="G160" s="252"/>
      <c r="H160" s="252"/>
      <c r="I160" s="252"/>
      <c r="N160" s="78"/>
    </row>
    <row r="161" spans="1:14" s="76" customFormat="1" x14ac:dyDescent="0.2">
      <c r="A161" s="320" t="s">
        <v>380</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383</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385</v>
      </c>
      <c r="B165" s="293"/>
      <c r="C165" s="293"/>
      <c r="D165" s="293"/>
      <c r="E165" s="293"/>
      <c r="F165" s="293"/>
      <c r="G165" s="293"/>
      <c r="H165" s="293"/>
      <c r="I165" s="293"/>
      <c r="N165" s="78"/>
    </row>
    <row r="166" spans="1:14" s="76" customFormat="1" ht="15.75" customHeight="1" x14ac:dyDescent="0.2">
      <c r="A166" s="351" t="s">
        <v>384</v>
      </c>
      <c r="B166" s="293"/>
      <c r="C166" s="293"/>
      <c r="D166" s="293"/>
      <c r="E166" s="293"/>
      <c r="F166" s="293"/>
      <c r="G166" s="293"/>
      <c r="H166" s="293"/>
      <c r="I166" s="293"/>
      <c r="N166" s="78"/>
    </row>
    <row r="167" spans="1:14" s="76" customFormat="1" ht="15.75" customHeight="1" x14ac:dyDescent="0.2">
      <c r="A167" s="320" t="s">
        <v>386</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388</v>
      </c>
      <c r="B169" s="343"/>
      <c r="C169" s="343"/>
      <c r="D169" s="343"/>
      <c r="E169" s="343"/>
      <c r="F169" s="343"/>
      <c r="G169" s="343"/>
      <c r="H169" s="343"/>
      <c r="I169" s="343"/>
      <c r="N169" s="78"/>
    </row>
    <row r="170" spans="1:14" s="76" customFormat="1" ht="15.75" customHeight="1" x14ac:dyDescent="0.2">
      <c r="A170" s="351" t="s">
        <v>387</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389</v>
      </c>
      <c r="B175" s="293"/>
      <c r="C175" s="293"/>
      <c r="D175" s="293"/>
      <c r="E175" s="293"/>
      <c r="F175" s="293"/>
      <c r="G175" s="293"/>
      <c r="H175" s="293"/>
      <c r="I175" s="293"/>
      <c r="J175" s="3"/>
      <c r="K175" s="3"/>
      <c r="L175" s="3"/>
      <c r="M175" s="3"/>
      <c r="N175" s="78"/>
    </row>
    <row r="176" spans="1:14" s="76" customFormat="1" ht="15.75" customHeight="1" x14ac:dyDescent="0.2">
      <c r="A176" s="361" t="s">
        <v>390</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5">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6" t="s">
        <v>15</v>
      </c>
      <c r="C1" s="567"/>
      <c r="D1" s="567"/>
      <c r="E1" s="567"/>
      <c r="F1" s="567"/>
      <c r="G1" s="567"/>
      <c r="H1" s="567"/>
      <c r="I1" s="567"/>
      <c r="J1" s="135"/>
      <c r="K1" s="135"/>
      <c r="L1" s="135"/>
      <c r="N1" s="82">
        <f>A1</f>
        <v>0</v>
      </c>
      <c r="O1" s="658" t="s">
        <v>15</v>
      </c>
      <c r="P1" s="659"/>
      <c r="Q1" s="659"/>
      <c r="R1" s="659"/>
      <c r="S1" s="659"/>
      <c r="T1" s="659"/>
      <c r="U1" s="659"/>
    </row>
    <row r="2" spans="1:21" ht="21" x14ac:dyDescent="0.35">
      <c r="A2" s="1" t="s">
        <v>127</v>
      </c>
      <c r="B2" s="2"/>
      <c r="C2" s="2"/>
      <c r="D2" s="2"/>
      <c r="E2" s="2"/>
      <c r="F2" s="2"/>
      <c r="G2" s="2"/>
      <c r="H2" s="2"/>
      <c r="I2" s="2"/>
      <c r="N2" s="660" t="s">
        <v>18</v>
      </c>
      <c r="O2" s="660"/>
      <c r="P2" s="660"/>
      <c r="Q2" s="660"/>
      <c r="R2" s="660"/>
      <c r="S2" s="660"/>
      <c r="T2" s="660"/>
      <c r="U2" s="660"/>
    </row>
    <row r="3" spans="1:21" x14ac:dyDescent="0.25">
      <c r="A3" s="81" t="str">
        <f>'1461'!A3</f>
        <v>Based on the FLDOE 2024-25 Conference Calculation</v>
      </c>
      <c r="N3" s="627" t="str">
        <f>A3</f>
        <v>Based on the FLDOE 2024-25 Conference Calculation</v>
      </c>
      <c r="O3" s="627"/>
      <c r="P3" s="627"/>
      <c r="Q3" s="627"/>
      <c r="R3" s="627"/>
      <c r="S3" s="627"/>
      <c r="T3" s="627"/>
      <c r="U3" s="627"/>
    </row>
    <row r="4" spans="1:21" x14ac:dyDescent="0.25">
      <c r="A4" s="568" t="s">
        <v>0</v>
      </c>
      <c r="B4" s="568"/>
      <c r="C4" s="569" t="s">
        <v>9</v>
      </c>
      <c r="D4" s="569"/>
      <c r="E4" s="569"/>
      <c r="F4" s="4" t="str">
        <f>'1461'!F4</f>
        <v>July 2024</v>
      </c>
      <c r="G4" s="4"/>
      <c r="H4" s="4"/>
      <c r="I4" s="4"/>
      <c r="N4" s="661" t="s">
        <v>0</v>
      </c>
      <c r="O4" s="661"/>
      <c r="P4" s="662" t="str">
        <f>C4</f>
        <v>Palm Beach</v>
      </c>
      <c r="Q4" s="662"/>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70" t="s">
        <v>433</v>
      </c>
      <c r="B7" s="664"/>
      <c r="C7" s="664"/>
      <c r="D7" s="664"/>
      <c r="E7" s="664"/>
      <c r="F7" s="664"/>
      <c r="G7" s="664"/>
      <c r="H7" s="664"/>
      <c r="I7" s="664"/>
      <c r="N7" s="661" t="str">
        <f>A7</f>
        <v>1A.   2023-24 FEFP State and Local Funding</v>
      </c>
      <c r="O7" s="661"/>
      <c r="P7" s="661"/>
      <c r="Q7" s="661"/>
      <c r="R7" s="661"/>
      <c r="S7" s="661"/>
      <c r="T7" s="661"/>
      <c r="U7" s="661"/>
    </row>
    <row r="8" spans="1:21" x14ac:dyDescent="0.25">
      <c r="A8" s="84"/>
      <c r="B8" s="85" t="s">
        <v>92</v>
      </c>
      <c r="C8" s="299">
        <f>'1461'!C8</f>
        <v>5330.98</v>
      </c>
      <c r="D8" s="86"/>
      <c r="E8" s="87"/>
      <c r="F8" s="84"/>
      <c r="G8" s="85" t="s">
        <v>393</v>
      </c>
      <c r="H8" s="287">
        <f>'1461'!H8</f>
        <v>1.0407999999999999</v>
      </c>
      <c r="I8" s="75"/>
      <c r="N8" s="665" t="s">
        <v>10</v>
      </c>
      <c r="O8" s="665"/>
      <c r="P8" s="666">
        <f>C8</f>
        <v>5330.98</v>
      </c>
      <c r="Q8" s="666"/>
      <c r="R8" s="648" t="s">
        <v>394</v>
      </c>
      <c r="S8" s="649"/>
      <c r="T8" s="650">
        <f>H8</f>
        <v>1.0407999999999999</v>
      </c>
      <c r="U8" s="650"/>
    </row>
    <row r="9" spans="1:21" x14ac:dyDescent="0.25">
      <c r="A9" s="84"/>
      <c r="B9" s="85"/>
      <c r="C9" s="222"/>
      <c r="D9" s="86"/>
      <c r="E9" s="87"/>
      <c r="F9" s="84"/>
      <c r="G9" s="85" t="s">
        <v>391</v>
      </c>
      <c r="H9" s="287">
        <f>'1461'!H9</f>
        <v>1</v>
      </c>
      <c r="I9" s="75"/>
      <c r="N9" s="12"/>
      <c r="O9" s="12"/>
      <c r="P9" s="13"/>
      <c r="Q9" s="13"/>
      <c r="R9" s="387" t="s">
        <v>392</v>
      </c>
      <c r="S9" s="384"/>
      <c r="T9" s="650">
        <f>H9</f>
        <v>1</v>
      </c>
      <c r="U9" s="650"/>
    </row>
    <row r="10" spans="1:21" x14ac:dyDescent="0.25">
      <c r="A10" s="7"/>
      <c r="B10" s="42" t="s">
        <v>310</v>
      </c>
      <c r="C10" s="334" t="str">
        <f>'1461'!C10</f>
        <v xml:space="preserve"> </v>
      </c>
      <c r="D10" s="334" t="str">
        <f>'1461'!D10</f>
        <v xml:space="preserve"> </v>
      </c>
      <c r="E10" s="8"/>
      <c r="F10" s="9"/>
      <c r="G10" s="9"/>
      <c r="H10" s="10"/>
      <c r="I10" s="305" t="str">
        <f>'1461'!I10</f>
        <v>2024-25</v>
      </c>
      <c r="N10" s="12"/>
      <c r="O10" s="12"/>
      <c r="P10" s="13"/>
      <c r="Q10" s="13"/>
      <c r="R10" s="14"/>
      <c r="S10" s="14"/>
      <c r="T10" s="15"/>
      <c r="U10" s="366" t="str">
        <f>I10</f>
        <v>2024-25</v>
      </c>
    </row>
    <row r="11" spans="1:21" x14ac:dyDescent="0.25">
      <c r="A11" s="7"/>
      <c r="B11" s="7"/>
      <c r="C11" s="88" t="str">
        <f>'1461'!C11</f>
        <v>Oct 2023</v>
      </c>
      <c r="D11" s="333" t="str">
        <f>'1461'!D11</f>
        <v>Feb 2024</v>
      </c>
      <c r="E11" s="89" t="s">
        <v>8</v>
      </c>
      <c r="F11" s="571" t="s">
        <v>1</v>
      </c>
      <c r="G11" s="571"/>
      <c r="H11" s="10" t="s">
        <v>60</v>
      </c>
      <c r="I11" s="11" t="s">
        <v>27</v>
      </c>
      <c r="N11" s="12"/>
      <c r="O11" s="12"/>
      <c r="P11" s="13"/>
      <c r="Q11" s="13"/>
      <c r="R11" s="651" t="s">
        <v>1</v>
      </c>
      <c r="S11" s="651"/>
      <c r="T11" s="15" t="s">
        <v>60</v>
      </c>
      <c r="U11" s="16" t="s">
        <v>27</v>
      </c>
    </row>
    <row r="12" spans="1:21" ht="15.75" customHeight="1" x14ac:dyDescent="0.25">
      <c r="A12" s="572" t="s">
        <v>1</v>
      </c>
      <c r="B12" s="572"/>
      <c r="C12" s="324" t="str">
        <f>'1461'!C12</f>
        <v>FTE</v>
      </c>
      <c r="D12" s="324" t="str">
        <f>'1461'!D12</f>
        <v>FTE</v>
      </c>
      <c r="E12" s="324" t="s">
        <v>2</v>
      </c>
      <c r="F12" s="573" t="s">
        <v>63</v>
      </c>
      <c r="G12" s="573"/>
      <c r="H12" s="17" t="s">
        <v>59</v>
      </c>
      <c r="I12" s="388" t="s">
        <v>395</v>
      </c>
      <c r="N12" s="639" t="s">
        <v>1</v>
      </c>
      <c r="O12" s="639"/>
      <c r="P12" s="652" t="s">
        <v>19</v>
      </c>
      <c r="Q12" s="652"/>
      <c r="R12" s="653" t="s">
        <v>63</v>
      </c>
      <c r="S12" s="653"/>
      <c r="T12" s="18" t="s">
        <v>59</v>
      </c>
      <c r="U12" s="19" t="str">
        <f>I12</f>
        <v>(WFTE x BSA x CWF x SDF)</v>
      </c>
    </row>
    <row r="13" spans="1:21" x14ac:dyDescent="0.25">
      <c r="A13" s="574" t="s">
        <v>36</v>
      </c>
      <c r="B13" s="574"/>
      <c r="C13" s="91"/>
      <c r="D13" s="91"/>
      <c r="E13" s="92" t="s">
        <v>37</v>
      </c>
      <c r="F13" s="575" t="s">
        <v>38</v>
      </c>
      <c r="G13" s="575"/>
      <c r="H13" s="20" t="s">
        <v>39</v>
      </c>
      <c r="I13" s="21" t="s">
        <v>40</v>
      </c>
      <c r="N13" s="654" t="s">
        <v>36</v>
      </c>
      <c r="O13" s="654"/>
      <c r="P13" s="655" t="s">
        <v>37</v>
      </c>
      <c r="Q13" s="655"/>
      <c r="R13" s="656" t="s">
        <v>38</v>
      </c>
      <c r="S13" s="656"/>
      <c r="T13" s="22" t="s">
        <v>39</v>
      </c>
      <c r="U13" s="23" t="s">
        <v>40</v>
      </c>
    </row>
    <row r="14" spans="1:21" x14ac:dyDescent="0.25">
      <c r="A14" s="576" t="s">
        <v>20</v>
      </c>
      <c r="B14" s="576"/>
      <c r="C14" s="143">
        <v>63.15</v>
      </c>
      <c r="D14" s="141">
        <v>60.9</v>
      </c>
      <c r="E14" s="187">
        <f>IF(D$30=0,C14*2,C14+D14)</f>
        <v>124.05</v>
      </c>
      <c r="F14" s="667">
        <f>'1461'!F14:G14</f>
        <v>1.1180000000000001</v>
      </c>
      <c r="G14" s="667"/>
      <c r="H14" s="145">
        <f>ROUND(E14*F14,4)</f>
        <v>138.68790000000001</v>
      </c>
      <c r="I14" s="111">
        <f>ROUND(ROUND(ROUND(H14*$C$8,4)*($H$8),2)*(MAX($H$9,1)),2)</f>
        <v>769507.59</v>
      </c>
      <c r="N14" s="641" t="s">
        <v>20</v>
      </c>
      <c r="O14" s="641"/>
      <c r="P14" s="642">
        <f t="shared" ref="P14:P29" si="0">IF($H$133=1,E14,0)</f>
        <v>0</v>
      </c>
      <c r="Q14" s="642"/>
      <c r="R14" s="657">
        <v>1</v>
      </c>
      <c r="S14" s="657"/>
      <c r="T14" s="95">
        <f>ROUND(P14*R14,4)</f>
        <v>0</v>
      </c>
      <c r="U14" s="473">
        <f>ROUND(ROUND(ROUND(T14*$C$8,4)*($H$8),2)*(MAX($H$9,1)),2)</f>
        <v>0</v>
      </c>
    </row>
    <row r="15" spans="1:21" x14ac:dyDescent="0.25">
      <c r="A15" s="578" t="s">
        <v>21</v>
      </c>
      <c r="B15" s="578"/>
      <c r="C15" s="143">
        <v>15</v>
      </c>
      <c r="D15" s="143">
        <v>14.48</v>
      </c>
      <c r="E15" s="116">
        <f t="shared" ref="E15:E29" si="1">IF(D$30=0,C15*2,C15+D15)</f>
        <v>29.48</v>
      </c>
      <c r="F15" s="663">
        <f>'1461'!F15:G15</f>
        <v>1.1180000000000001</v>
      </c>
      <c r="G15" s="663"/>
      <c r="H15" s="80">
        <f t="shared" ref="H15:H29" si="2">ROUND(E15*F15,4)</f>
        <v>32.958599999999997</v>
      </c>
      <c r="I15" s="101">
        <f t="shared" ref="I15:I29" si="3">ROUND(ROUND(ROUND(H15*$C$8,4)*($H$8),2)*(MAX($H$9,1)),2)</f>
        <v>182870.26</v>
      </c>
      <c r="J15" s="65" t="str">
        <f>IF(ROUND(E15,2)=ROUND(SUM(E57:E59),2)," ","CHECK PK-3 LINES BELOW")</f>
        <v xml:space="preserve"> </v>
      </c>
      <c r="N15" s="601" t="s">
        <v>21</v>
      </c>
      <c r="O15" s="601"/>
      <c r="P15" s="642">
        <f t="shared" si="0"/>
        <v>0</v>
      </c>
      <c r="Q15" s="642"/>
      <c r="R15" s="647">
        <v>1</v>
      </c>
      <c r="S15" s="647"/>
      <c r="T15" s="95">
        <f t="shared" ref="T15:T29" si="4">ROUND(P15*R15,4)</f>
        <v>0</v>
      </c>
      <c r="U15" s="473">
        <f t="shared" ref="U15:U29" si="5">ROUND(ROUND(ROUND(T15*$C$8,4)*($H$8),2)*(MAX($H$9,1)),2)</f>
        <v>0</v>
      </c>
    </row>
    <row r="16" spans="1:21" x14ac:dyDescent="0.25">
      <c r="A16" s="578" t="s">
        <v>22</v>
      </c>
      <c r="B16" s="578"/>
      <c r="C16" s="143">
        <v>26.93</v>
      </c>
      <c r="D16" s="143">
        <v>26.04</v>
      </c>
      <c r="E16" s="116">
        <f t="shared" si="1"/>
        <v>52.97</v>
      </c>
      <c r="F16" s="663">
        <f>'1461'!F16:G16</f>
        <v>1</v>
      </c>
      <c r="G16" s="663"/>
      <c r="H16" s="80">
        <f t="shared" si="2"/>
        <v>52.97</v>
      </c>
      <c r="I16" s="101">
        <f t="shared" si="3"/>
        <v>293903.2</v>
      </c>
      <c r="N16" s="601" t="s">
        <v>22</v>
      </c>
      <c r="O16" s="601"/>
      <c r="P16" s="642">
        <f t="shared" si="0"/>
        <v>0</v>
      </c>
      <c r="Q16" s="642"/>
      <c r="R16" s="647">
        <v>1</v>
      </c>
      <c r="S16" s="647"/>
      <c r="T16" s="95">
        <f t="shared" si="4"/>
        <v>0</v>
      </c>
      <c r="U16" s="473">
        <f t="shared" si="5"/>
        <v>0</v>
      </c>
    </row>
    <row r="17" spans="1:21" x14ac:dyDescent="0.25">
      <c r="A17" s="578" t="s">
        <v>23</v>
      </c>
      <c r="B17" s="578"/>
      <c r="C17" s="143">
        <v>9</v>
      </c>
      <c r="D17" s="143">
        <v>8.5</v>
      </c>
      <c r="E17" s="116">
        <f t="shared" si="1"/>
        <v>17.5</v>
      </c>
      <c r="F17" s="663">
        <f>'1461'!F17:G17</f>
        <v>1</v>
      </c>
      <c r="G17" s="663"/>
      <c r="H17" s="80">
        <f t="shared" si="2"/>
        <v>17.5</v>
      </c>
      <c r="I17" s="101">
        <f t="shared" si="3"/>
        <v>97098.47</v>
      </c>
      <c r="J17" s="65" t="str">
        <f>IF(ROUND(E17,2)=ROUND(SUM(E60:E62),2)," ","CHECK 4-8 LINES BELOW")</f>
        <v xml:space="preserve"> </v>
      </c>
      <c r="N17" s="601" t="s">
        <v>23</v>
      </c>
      <c r="O17" s="601"/>
      <c r="P17" s="642">
        <f t="shared" si="0"/>
        <v>0</v>
      </c>
      <c r="Q17" s="642"/>
      <c r="R17" s="647">
        <v>1</v>
      </c>
      <c r="S17" s="647"/>
      <c r="T17" s="95">
        <f t="shared" si="4"/>
        <v>0</v>
      </c>
      <c r="U17" s="473">
        <f t="shared" si="5"/>
        <v>0</v>
      </c>
    </row>
    <row r="18" spans="1:21" x14ac:dyDescent="0.25">
      <c r="A18" s="578" t="s">
        <v>24</v>
      </c>
      <c r="B18" s="578"/>
      <c r="C18" s="143">
        <v>0</v>
      </c>
      <c r="D18" s="143">
        <v>0</v>
      </c>
      <c r="E18" s="116">
        <f t="shared" si="1"/>
        <v>0</v>
      </c>
      <c r="F18" s="663">
        <f>'1461'!F18:G18</f>
        <v>0.97799999999999998</v>
      </c>
      <c r="G18" s="663"/>
      <c r="H18" s="80">
        <f t="shared" si="2"/>
        <v>0</v>
      </c>
      <c r="I18" s="101">
        <f t="shared" si="3"/>
        <v>0</v>
      </c>
      <c r="N18" s="601" t="s">
        <v>24</v>
      </c>
      <c r="O18" s="601"/>
      <c r="P18" s="642">
        <f t="shared" si="0"/>
        <v>0</v>
      </c>
      <c r="Q18" s="642"/>
      <c r="R18" s="647">
        <v>1</v>
      </c>
      <c r="S18" s="647"/>
      <c r="T18" s="95">
        <f t="shared" si="4"/>
        <v>0</v>
      </c>
      <c r="U18" s="473">
        <f t="shared" si="5"/>
        <v>0</v>
      </c>
    </row>
    <row r="19" spans="1:21" x14ac:dyDescent="0.25">
      <c r="A19" s="578" t="s">
        <v>25</v>
      </c>
      <c r="B19" s="578"/>
      <c r="C19" s="143">
        <v>0</v>
      </c>
      <c r="D19" s="143">
        <v>0</v>
      </c>
      <c r="E19" s="116">
        <f t="shared" si="1"/>
        <v>0</v>
      </c>
      <c r="F19" s="663">
        <f>'1461'!F19:G19</f>
        <v>0.97799999999999998</v>
      </c>
      <c r="G19" s="663"/>
      <c r="H19" s="80">
        <f t="shared" si="2"/>
        <v>0</v>
      </c>
      <c r="I19" s="101">
        <f t="shared" si="3"/>
        <v>0</v>
      </c>
      <c r="J19" s="65" t="str">
        <f>IF(ROUND(E19,2)=ROUND(SUM(E63:E65),2)," ","CHECK 4-8 LINES BELOW")</f>
        <v xml:space="preserve"> </v>
      </c>
      <c r="N19" s="601" t="s">
        <v>25</v>
      </c>
      <c r="O19" s="601"/>
      <c r="P19" s="642">
        <f t="shared" si="0"/>
        <v>0</v>
      </c>
      <c r="Q19" s="642"/>
      <c r="R19" s="647">
        <v>1</v>
      </c>
      <c r="S19" s="647"/>
      <c r="T19" s="95">
        <f t="shared" si="4"/>
        <v>0</v>
      </c>
      <c r="U19" s="472">
        <f t="shared" si="5"/>
        <v>0</v>
      </c>
    </row>
    <row r="20" spans="1:21" x14ac:dyDescent="0.25">
      <c r="A20" s="578" t="s">
        <v>79</v>
      </c>
      <c r="B20" s="578"/>
      <c r="C20" s="143">
        <v>0</v>
      </c>
      <c r="D20" s="143">
        <v>0</v>
      </c>
      <c r="E20" s="116">
        <f t="shared" si="1"/>
        <v>0</v>
      </c>
      <c r="F20" s="663">
        <f>'1461'!F20:G20</f>
        <v>3.6970000000000001</v>
      </c>
      <c r="G20" s="663"/>
      <c r="H20" s="80">
        <f t="shared" si="2"/>
        <v>0</v>
      </c>
      <c r="I20" s="101">
        <f t="shared" si="3"/>
        <v>0</v>
      </c>
      <c r="N20" s="601" t="s">
        <v>79</v>
      </c>
      <c r="O20" s="601"/>
      <c r="P20" s="642">
        <f t="shared" si="0"/>
        <v>0</v>
      </c>
      <c r="Q20" s="642"/>
      <c r="R20" s="647">
        <v>1</v>
      </c>
      <c r="S20" s="647"/>
      <c r="T20" s="95">
        <f t="shared" si="4"/>
        <v>0</v>
      </c>
      <c r="U20" s="473">
        <f t="shared" si="5"/>
        <v>0</v>
      </c>
    </row>
    <row r="21" spans="1:21" x14ac:dyDescent="0.25">
      <c r="A21" s="578" t="s">
        <v>80</v>
      </c>
      <c r="B21" s="578"/>
      <c r="C21" s="143">
        <v>0</v>
      </c>
      <c r="D21" s="143">
        <v>0</v>
      </c>
      <c r="E21" s="116">
        <f t="shared" si="1"/>
        <v>0</v>
      </c>
      <c r="F21" s="663">
        <f>'1461'!F21:G21</f>
        <v>3.6970000000000001</v>
      </c>
      <c r="G21" s="663"/>
      <c r="H21" s="80">
        <f t="shared" si="2"/>
        <v>0</v>
      </c>
      <c r="I21" s="101">
        <f t="shared" si="3"/>
        <v>0</v>
      </c>
      <c r="N21" s="601" t="s">
        <v>80</v>
      </c>
      <c r="O21" s="601"/>
      <c r="P21" s="642">
        <f t="shared" si="0"/>
        <v>0</v>
      </c>
      <c r="Q21" s="642"/>
      <c r="R21" s="647">
        <v>1</v>
      </c>
      <c r="S21" s="647"/>
      <c r="T21" s="95">
        <f t="shared" si="4"/>
        <v>0</v>
      </c>
      <c r="U21" s="473">
        <f t="shared" si="5"/>
        <v>0</v>
      </c>
    </row>
    <row r="22" spans="1:21" x14ac:dyDescent="0.25">
      <c r="A22" s="578" t="s">
        <v>81</v>
      </c>
      <c r="B22" s="578"/>
      <c r="C22" s="143">
        <v>0</v>
      </c>
      <c r="D22" s="143">
        <v>0</v>
      </c>
      <c r="E22" s="116">
        <f t="shared" si="1"/>
        <v>0</v>
      </c>
      <c r="F22" s="663">
        <f>'1461'!F22:G22</f>
        <v>3.6970000000000001</v>
      </c>
      <c r="G22" s="663"/>
      <c r="H22" s="80">
        <f t="shared" si="2"/>
        <v>0</v>
      </c>
      <c r="I22" s="101">
        <f t="shared" si="3"/>
        <v>0</v>
      </c>
      <c r="N22" s="601" t="s">
        <v>81</v>
      </c>
      <c r="O22" s="601"/>
      <c r="P22" s="642">
        <f t="shared" si="0"/>
        <v>0</v>
      </c>
      <c r="Q22" s="642"/>
      <c r="R22" s="647">
        <v>1</v>
      </c>
      <c r="S22" s="647"/>
      <c r="T22" s="95">
        <f t="shared" si="4"/>
        <v>0</v>
      </c>
      <c r="U22" s="473">
        <f t="shared" si="5"/>
        <v>0</v>
      </c>
    </row>
    <row r="23" spans="1:21" x14ac:dyDescent="0.25">
      <c r="A23" s="578" t="s">
        <v>82</v>
      </c>
      <c r="B23" s="578"/>
      <c r="C23" s="143">
        <v>0</v>
      </c>
      <c r="D23" s="143">
        <v>0</v>
      </c>
      <c r="E23" s="116">
        <f t="shared" si="1"/>
        <v>0</v>
      </c>
      <c r="F23" s="663">
        <f>'1461'!F23:G23</f>
        <v>5.992</v>
      </c>
      <c r="G23" s="663"/>
      <c r="H23" s="80">
        <f t="shared" si="2"/>
        <v>0</v>
      </c>
      <c r="I23" s="101">
        <f t="shared" si="3"/>
        <v>0</v>
      </c>
      <c r="N23" s="601" t="s">
        <v>82</v>
      </c>
      <c r="O23" s="601"/>
      <c r="P23" s="642">
        <f t="shared" si="0"/>
        <v>0</v>
      </c>
      <c r="Q23" s="642"/>
      <c r="R23" s="647">
        <v>1</v>
      </c>
      <c r="S23" s="647"/>
      <c r="T23" s="95">
        <f t="shared" si="4"/>
        <v>0</v>
      </c>
      <c r="U23" s="473">
        <f t="shared" si="5"/>
        <v>0</v>
      </c>
    </row>
    <row r="24" spans="1:21" x14ac:dyDescent="0.25">
      <c r="A24" s="578" t="s">
        <v>83</v>
      </c>
      <c r="B24" s="578"/>
      <c r="C24" s="143">
        <v>0</v>
      </c>
      <c r="D24" s="143">
        <v>0</v>
      </c>
      <c r="E24" s="116">
        <f t="shared" si="1"/>
        <v>0</v>
      </c>
      <c r="F24" s="663">
        <f>'1461'!F24:G24</f>
        <v>5.992</v>
      </c>
      <c r="G24" s="663"/>
      <c r="H24" s="80">
        <f t="shared" si="2"/>
        <v>0</v>
      </c>
      <c r="I24" s="101">
        <f t="shared" si="3"/>
        <v>0</v>
      </c>
      <c r="N24" s="601" t="s">
        <v>83</v>
      </c>
      <c r="O24" s="601"/>
      <c r="P24" s="642">
        <f t="shared" si="0"/>
        <v>0</v>
      </c>
      <c r="Q24" s="642"/>
      <c r="R24" s="647">
        <v>1</v>
      </c>
      <c r="S24" s="647"/>
      <c r="T24" s="95">
        <f t="shared" si="4"/>
        <v>0</v>
      </c>
      <c r="U24" s="473">
        <f t="shared" si="5"/>
        <v>0</v>
      </c>
    </row>
    <row r="25" spans="1:21" x14ac:dyDescent="0.25">
      <c r="A25" s="578" t="s">
        <v>84</v>
      </c>
      <c r="B25" s="578"/>
      <c r="C25" s="143">
        <v>0</v>
      </c>
      <c r="D25" s="143">
        <v>0</v>
      </c>
      <c r="E25" s="116">
        <f t="shared" si="1"/>
        <v>0</v>
      </c>
      <c r="F25" s="663">
        <f>'1461'!F25:G25</f>
        <v>5.992</v>
      </c>
      <c r="G25" s="663"/>
      <c r="H25" s="80">
        <f t="shared" si="2"/>
        <v>0</v>
      </c>
      <c r="I25" s="101">
        <f t="shared" si="3"/>
        <v>0</v>
      </c>
      <c r="N25" s="601" t="s">
        <v>84</v>
      </c>
      <c r="O25" s="601"/>
      <c r="P25" s="642">
        <f t="shared" si="0"/>
        <v>0</v>
      </c>
      <c r="Q25" s="642"/>
      <c r="R25" s="647">
        <v>1</v>
      </c>
      <c r="S25" s="647"/>
      <c r="T25" s="95">
        <f t="shared" si="4"/>
        <v>0</v>
      </c>
      <c r="U25" s="473">
        <f t="shared" si="5"/>
        <v>0</v>
      </c>
    </row>
    <row r="26" spans="1:21" x14ac:dyDescent="0.25">
      <c r="A26" s="578" t="s">
        <v>85</v>
      </c>
      <c r="B26" s="578"/>
      <c r="C26" s="143">
        <v>10.35</v>
      </c>
      <c r="D26" s="143">
        <v>9.6</v>
      </c>
      <c r="E26" s="116">
        <f t="shared" si="1"/>
        <v>19.95</v>
      </c>
      <c r="F26" s="663">
        <f>'1461'!F26:G26</f>
        <v>1.1919999999999999</v>
      </c>
      <c r="G26" s="663"/>
      <c r="H26" s="80">
        <f t="shared" si="2"/>
        <v>23.7804</v>
      </c>
      <c r="I26" s="101">
        <f t="shared" si="3"/>
        <v>131945.17000000001</v>
      </c>
      <c r="N26" s="601" t="s">
        <v>85</v>
      </c>
      <c r="O26" s="601"/>
      <c r="P26" s="642">
        <f t="shared" si="0"/>
        <v>0</v>
      </c>
      <c r="Q26" s="642"/>
      <c r="R26" s="647">
        <v>1</v>
      </c>
      <c r="S26" s="647"/>
      <c r="T26" s="95">
        <f t="shared" si="4"/>
        <v>0</v>
      </c>
      <c r="U26" s="473">
        <f t="shared" si="5"/>
        <v>0</v>
      </c>
    </row>
    <row r="27" spans="1:21" x14ac:dyDescent="0.25">
      <c r="A27" s="578" t="s">
        <v>86</v>
      </c>
      <c r="B27" s="578"/>
      <c r="C27" s="143">
        <v>3.07</v>
      </c>
      <c r="D27" s="143">
        <v>3.46</v>
      </c>
      <c r="E27" s="116">
        <f t="shared" si="1"/>
        <v>6.5299999999999994</v>
      </c>
      <c r="F27" s="663">
        <f>'1461'!F27:G27</f>
        <v>1.1919999999999999</v>
      </c>
      <c r="G27" s="663"/>
      <c r="H27" s="80">
        <f t="shared" si="2"/>
        <v>7.7838000000000003</v>
      </c>
      <c r="I27" s="101">
        <f t="shared" si="3"/>
        <v>43188.29</v>
      </c>
      <c r="N27" s="601" t="s">
        <v>86</v>
      </c>
      <c r="O27" s="601"/>
      <c r="P27" s="642">
        <f t="shared" si="0"/>
        <v>0</v>
      </c>
      <c r="Q27" s="642"/>
      <c r="R27" s="647">
        <v>1</v>
      </c>
      <c r="S27" s="647"/>
      <c r="T27" s="95">
        <f t="shared" si="4"/>
        <v>0</v>
      </c>
      <c r="U27" s="473">
        <f t="shared" si="5"/>
        <v>0</v>
      </c>
    </row>
    <row r="28" spans="1:21" x14ac:dyDescent="0.25">
      <c r="A28" s="578" t="s">
        <v>87</v>
      </c>
      <c r="B28" s="578"/>
      <c r="C28" s="143">
        <v>0</v>
      </c>
      <c r="D28" s="143">
        <v>0</v>
      </c>
      <c r="E28" s="116">
        <f t="shared" si="1"/>
        <v>0</v>
      </c>
      <c r="F28" s="663">
        <f>'1461'!F28:G28</f>
        <v>1.1919999999999999</v>
      </c>
      <c r="G28" s="663"/>
      <c r="H28" s="80">
        <f t="shared" si="2"/>
        <v>0</v>
      </c>
      <c r="I28" s="101">
        <f t="shared" si="3"/>
        <v>0</v>
      </c>
      <c r="N28" s="601" t="s">
        <v>87</v>
      </c>
      <c r="O28" s="601"/>
      <c r="P28" s="642">
        <f t="shared" si="0"/>
        <v>0</v>
      </c>
      <c r="Q28" s="642"/>
      <c r="R28" s="647">
        <v>1</v>
      </c>
      <c r="S28" s="647"/>
      <c r="T28" s="95">
        <f t="shared" si="4"/>
        <v>0</v>
      </c>
      <c r="U28" s="473">
        <f t="shared" si="5"/>
        <v>0</v>
      </c>
    </row>
    <row r="29" spans="1:21" x14ac:dyDescent="0.25">
      <c r="A29" s="578" t="s">
        <v>88</v>
      </c>
      <c r="B29" s="578"/>
      <c r="C29" s="110">
        <v>0</v>
      </c>
      <c r="D29" s="110">
        <v>0</v>
      </c>
      <c r="E29" s="154">
        <f t="shared" si="1"/>
        <v>0</v>
      </c>
      <c r="F29" s="663">
        <f>'1461'!F29:G29</f>
        <v>1.079</v>
      </c>
      <c r="G29" s="663"/>
      <c r="H29" s="93">
        <f t="shared" si="2"/>
        <v>0</v>
      </c>
      <c r="I29" s="94">
        <f t="shared" si="3"/>
        <v>0</v>
      </c>
      <c r="N29" s="616" t="s">
        <v>88</v>
      </c>
      <c r="O29" s="616"/>
      <c r="P29" s="642">
        <f t="shared" si="0"/>
        <v>0</v>
      </c>
      <c r="Q29" s="642"/>
      <c r="R29" s="643">
        <v>1</v>
      </c>
      <c r="S29" s="643"/>
      <c r="T29" s="95">
        <f t="shared" si="4"/>
        <v>0</v>
      </c>
      <c r="U29" s="473">
        <f t="shared" si="5"/>
        <v>0</v>
      </c>
    </row>
    <row r="30" spans="1:21" x14ac:dyDescent="0.25">
      <c r="A30" s="590" t="s">
        <v>5</v>
      </c>
      <c r="B30" s="590"/>
      <c r="C30" s="94">
        <f>SUM(C14:C29)</f>
        <v>127.5</v>
      </c>
      <c r="D30" s="94">
        <f>SUM(D14:D29)</f>
        <v>122.97999999999998</v>
      </c>
      <c r="E30" s="94">
        <f>SUM(E14:E29)</f>
        <v>250.48</v>
      </c>
      <c r="F30" s="582"/>
      <c r="G30" s="582"/>
      <c r="H30" s="99">
        <f>SUM(H14:H29)</f>
        <v>273.6807</v>
      </c>
      <c r="I30" s="94">
        <f>SUM(I14:I29)</f>
        <v>1518512.98</v>
      </c>
      <c r="N30" s="644" t="s">
        <v>5</v>
      </c>
      <c r="O30" s="644"/>
      <c r="P30" s="645">
        <f>SUM(P14:P29)</f>
        <v>0</v>
      </c>
      <c r="Q30" s="645"/>
      <c r="R30" s="617"/>
      <c r="S30" s="617"/>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0" t="s">
        <v>233</v>
      </c>
      <c r="G34" s="670"/>
      <c r="H34" s="670"/>
      <c r="I34" s="101"/>
      <c r="N34" s="28"/>
      <c r="O34" s="28"/>
      <c r="P34" s="29"/>
      <c r="Q34" s="29"/>
      <c r="R34" s="30"/>
      <c r="S34" s="30"/>
      <c r="T34" s="102"/>
      <c r="U34" s="103"/>
    </row>
    <row r="35" spans="1:21" hidden="1" x14ac:dyDescent="0.25">
      <c r="A35" s="3"/>
      <c r="B35" s="69"/>
      <c r="C35" s="69"/>
      <c r="D35" s="69"/>
      <c r="E35" s="69"/>
      <c r="F35" s="670"/>
      <c r="G35" s="670"/>
      <c r="H35" s="670"/>
      <c r="I35" s="24" t="s">
        <v>61</v>
      </c>
      <c r="N35" s="627" t="s">
        <v>26</v>
      </c>
      <c r="O35" s="627"/>
      <c r="P35" s="627"/>
      <c r="Q35" s="627"/>
      <c r="R35" s="627"/>
      <c r="S35" s="627"/>
      <c r="T35" s="627"/>
      <c r="U35" s="25" t="str">
        <f>I35</f>
        <v>2015-16</v>
      </c>
    </row>
    <row r="36" spans="1:21" hidden="1" x14ac:dyDescent="0.25">
      <c r="A36" s="26"/>
      <c r="B36" s="26"/>
      <c r="C36" s="88" t="s">
        <v>93</v>
      </c>
      <c r="D36" s="88" t="s">
        <v>94</v>
      </c>
      <c r="E36" s="89" t="s">
        <v>8</v>
      </c>
      <c r="F36" s="670"/>
      <c r="G36" s="670"/>
      <c r="H36" s="670"/>
      <c r="I36" s="24" t="s">
        <v>27</v>
      </c>
      <c r="N36" s="28"/>
      <c r="O36" s="28"/>
      <c r="P36" s="29"/>
      <c r="Q36" s="29"/>
      <c r="R36" s="30"/>
      <c r="S36" s="30"/>
      <c r="T36" s="102"/>
      <c r="U36" s="25" t="s">
        <v>27</v>
      </c>
    </row>
    <row r="37" spans="1:21" ht="26.25" hidden="1" x14ac:dyDescent="0.25">
      <c r="A37" s="572" t="s">
        <v>50</v>
      </c>
      <c r="B37" s="572"/>
      <c r="C37" s="90" t="s">
        <v>2</v>
      </c>
      <c r="D37" s="90" t="s">
        <v>2</v>
      </c>
      <c r="E37" s="90" t="s">
        <v>2</v>
      </c>
      <c r="F37" s="671"/>
      <c r="G37" s="671"/>
      <c r="H37" s="671"/>
      <c r="I37" s="31" t="s">
        <v>395</v>
      </c>
      <c r="N37" s="639" t="s">
        <v>50</v>
      </c>
      <c r="O37" s="639"/>
      <c r="P37" s="640" t="s">
        <v>19</v>
      </c>
      <c r="Q37" s="640"/>
      <c r="R37" s="640"/>
      <c r="S37" s="640"/>
      <c r="T37" s="640"/>
      <c r="U37" s="19" t="str">
        <f>I37</f>
        <v>(WFTE x BSA x CWF x SDF)</v>
      </c>
    </row>
    <row r="38" spans="1:21" hidden="1" x14ac:dyDescent="0.25">
      <c r="A38" s="576" t="s">
        <v>45</v>
      </c>
      <c r="B38" s="576"/>
      <c r="C38" s="147">
        <v>0</v>
      </c>
      <c r="D38" s="147">
        <v>0</v>
      </c>
      <c r="E38" s="187">
        <f t="shared" ref="E38:E43" si="6">IF(D$44=0,C38*2,C38+D38)</f>
        <v>0</v>
      </c>
      <c r="F38" s="148"/>
      <c r="G38" s="148"/>
      <c r="H38" s="148"/>
      <c r="I38" s="111">
        <f>ROUND(ROUND(ROUND(E38*$C$8,4)*($H$8),2)*(MAX($H$9,1)),2)</f>
        <v>0</v>
      </c>
      <c r="N38" s="641" t="s">
        <v>45</v>
      </c>
      <c r="O38" s="641"/>
      <c r="P38" s="608">
        <f t="shared" ref="P38:P43" si="7">IF($H$133=1,E38,0)</f>
        <v>0</v>
      </c>
      <c r="Q38" s="608"/>
      <c r="R38" s="608"/>
      <c r="S38" s="608"/>
      <c r="T38" s="608"/>
      <c r="U38" s="98">
        <f>ROUND(ROUND(ROUND(P38*$C$8,4)*($H$8),2)*(MAX($H$9,1)),2)</f>
        <v>0</v>
      </c>
    </row>
    <row r="39" spans="1:21" hidden="1" x14ac:dyDescent="0.25">
      <c r="A39" s="578" t="s">
        <v>46</v>
      </c>
      <c r="B39" s="578"/>
      <c r="C39" s="150">
        <v>0</v>
      </c>
      <c r="D39" s="150">
        <v>0</v>
      </c>
      <c r="E39" s="116">
        <f t="shared" si="6"/>
        <v>0</v>
      </c>
      <c r="F39" s="151"/>
      <c r="G39" s="151"/>
      <c r="H39" s="151"/>
      <c r="I39" s="101">
        <f t="shared" ref="I39:I43" si="8">ROUND(ROUND(ROUND(E39*$C$8,4)*($H$8),2)*(MAX($H$9,1)),2)</f>
        <v>0</v>
      </c>
      <c r="N39" s="601" t="s">
        <v>46</v>
      </c>
      <c r="O39" s="601"/>
      <c r="P39" s="608">
        <f t="shared" si="7"/>
        <v>0</v>
      </c>
      <c r="Q39" s="608"/>
      <c r="R39" s="608"/>
      <c r="S39" s="608"/>
      <c r="T39" s="608"/>
      <c r="U39" s="98">
        <f t="shared" ref="U39:U43" si="9">ROUND(ROUND(ROUND(P39*$C$8,4)*($H$8),2)*(MAX($H$9,1)),2)</f>
        <v>0</v>
      </c>
    </row>
    <row r="40" spans="1:21" hidden="1" x14ac:dyDescent="0.25">
      <c r="A40" s="583" t="s">
        <v>47</v>
      </c>
      <c r="B40" s="583"/>
      <c r="C40" s="150">
        <v>0</v>
      </c>
      <c r="D40" s="150">
        <v>0</v>
      </c>
      <c r="E40" s="116">
        <f t="shared" si="6"/>
        <v>0</v>
      </c>
      <c r="F40" s="151"/>
      <c r="G40" s="151"/>
      <c r="H40" s="151"/>
      <c r="I40" s="101">
        <f t="shared" si="8"/>
        <v>0</v>
      </c>
      <c r="N40" s="646" t="s">
        <v>47</v>
      </c>
      <c r="O40" s="646"/>
      <c r="P40" s="608">
        <f t="shared" si="7"/>
        <v>0</v>
      </c>
      <c r="Q40" s="608"/>
      <c r="R40" s="608"/>
      <c r="S40" s="608"/>
      <c r="T40" s="608"/>
      <c r="U40" s="98">
        <f t="shared" si="9"/>
        <v>0</v>
      </c>
    </row>
    <row r="41" spans="1:21" hidden="1" x14ac:dyDescent="0.25">
      <c r="A41" s="578" t="s">
        <v>48</v>
      </c>
      <c r="B41" s="578"/>
      <c r="C41" s="150">
        <v>0</v>
      </c>
      <c r="D41" s="150">
        <v>0</v>
      </c>
      <c r="E41" s="116">
        <f t="shared" si="6"/>
        <v>0</v>
      </c>
      <c r="F41" s="151"/>
      <c r="G41" s="151"/>
      <c r="H41" s="151"/>
      <c r="I41" s="101">
        <f t="shared" si="8"/>
        <v>0</v>
      </c>
      <c r="N41" s="601" t="s">
        <v>48</v>
      </c>
      <c r="O41" s="601"/>
      <c r="P41" s="608">
        <f t="shared" si="7"/>
        <v>0</v>
      </c>
      <c r="Q41" s="608"/>
      <c r="R41" s="608"/>
      <c r="S41" s="608"/>
      <c r="T41" s="608"/>
      <c r="U41" s="98">
        <f t="shared" si="9"/>
        <v>0</v>
      </c>
    </row>
    <row r="42" spans="1:21" hidden="1" x14ac:dyDescent="0.25">
      <c r="A42" s="578" t="s">
        <v>49</v>
      </c>
      <c r="B42" s="578"/>
      <c r="C42" s="150">
        <v>0</v>
      </c>
      <c r="D42" s="150">
        <v>0</v>
      </c>
      <c r="E42" s="116">
        <f t="shared" si="6"/>
        <v>0</v>
      </c>
      <c r="F42" s="151"/>
      <c r="G42" s="151"/>
      <c r="H42" s="151"/>
      <c r="I42" s="101">
        <f t="shared" si="8"/>
        <v>0</v>
      </c>
      <c r="N42" s="601" t="s">
        <v>49</v>
      </c>
      <c r="O42" s="601"/>
      <c r="P42" s="608">
        <f t="shared" si="7"/>
        <v>0</v>
      </c>
      <c r="Q42" s="608"/>
      <c r="R42" s="608"/>
      <c r="S42" s="608"/>
      <c r="T42" s="608"/>
      <c r="U42" s="98">
        <f t="shared" si="9"/>
        <v>0</v>
      </c>
    </row>
    <row r="43" spans="1:21" hidden="1" x14ac:dyDescent="0.25">
      <c r="A43" s="578" t="s">
        <v>41</v>
      </c>
      <c r="B43" s="578"/>
      <c r="C43" s="149">
        <v>0</v>
      </c>
      <c r="D43" s="149">
        <v>0</v>
      </c>
      <c r="E43" s="154">
        <f t="shared" si="6"/>
        <v>0</v>
      </c>
      <c r="F43" s="151"/>
      <c r="G43" s="151"/>
      <c r="H43" s="151"/>
      <c r="I43" s="94">
        <f t="shared" si="8"/>
        <v>0</v>
      </c>
      <c r="N43" s="616" t="s">
        <v>41</v>
      </c>
      <c r="O43" s="616"/>
      <c r="P43" s="608">
        <f t="shared" si="7"/>
        <v>0</v>
      </c>
      <c r="Q43" s="608"/>
      <c r="R43" s="608"/>
      <c r="S43" s="608"/>
      <c r="T43" s="60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3" t="s">
        <v>43</v>
      </c>
      <c r="O44" s="603"/>
      <c r="P44" s="603"/>
      <c r="Q44" s="603"/>
      <c r="R44" s="33">
        <f>SUM(P38:R43)</f>
        <v>0</v>
      </c>
      <c r="S44" s="617" t="s">
        <v>51</v>
      </c>
      <c r="T44" s="617"/>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273.6807</v>
      </c>
      <c r="F46" s="34"/>
      <c r="G46" s="106"/>
      <c r="H46" s="107" t="s">
        <v>98</v>
      </c>
      <c r="I46" s="94">
        <f>SUM(I44,I30)</f>
        <v>1518512.98</v>
      </c>
      <c r="N46" s="603" t="s">
        <v>44</v>
      </c>
      <c r="O46" s="603"/>
      <c r="P46" s="603"/>
      <c r="Q46" s="603"/>
      <c r="R46" s="35">
        <f>R44+T30</f>
        <v>0</v>
      </c>
      <c r="S46" s="617" t="s">
        <v>42</v>
      </c>
      <c r="T46" s="617"/>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396</v>
      </c>
      <c r="B48" s="26"/>
      <c r="C48" s="26"/>
      <c r="D48" s="26"/>
      <c r="E48" s="26"/>
      <c r="F48" s="34"/>
      <c r="G48" s="27"/>
      <c r="H48" s="27"/>
      <c r="I48" s="101"/>
      <c r="N48" s="383" t="s">
        <v>396</v>
      </c>
      <c r="O48" s="28"/>
      <c r="P48" s="28"/>
      <c r="Q48" s="28"/>
      <c r="R48" s="35"/>
      <c r="S48" s="30"/>
      <c r="T48" s="30"/>
      <c r="U48" s="402"/>
    </row>
    <row r="49" spans="1:22" s="391" customFormat="1" ht="9" customHeight="1" x14ac:dyDescent="0.2">
      <c r="A49" s="481" t="s">
        <v>397</v>
      </c>
      <c r="F49" s="392"/>
      <c r="G49" s="393"/>
      <c r="H49" s="393"/>
      <c r="I49" s="394"/>
      <c r="N49" s="403" t="s">
        <v>397</v>
      </c>
      <c r="O49" s="395"/>
      <c r="P49" s="395"/>
      <c r="Q49" s="395"/>
      <c r="R49" s="396"/>
      <c r="S49" s="397"/>
      <c r="T49" s="397"/>
      <c r="U49" s="404"/>
    </row>
    <row r="50" spans="1:22" s="391" customFormat="1" ht="11.25" customHeight="1" x14ac:dyDescent="0.2">
      <c r="A50" s="483" t="s">
        <v>398</v>
      </c>
      <c r="F50" s="392"/>
      <c r="G50" s="393"/>
      <c r="H50" s="393"/>
      <c r="I50" s="394"/>
      <c r="N50" s="405" t="s">
        <v>398</v>
      </c>
      <c r="O50" s="395"/>
      <c r="P50" s="395"/>
      <c r="Q50" s="395"/>
      <c r="R50" s="396"/>
      <c r="S50" s="397"/>
      <c r="T50" s="397"/>
      <c r="U50" s="404"/>
    </row>
    <row r="51" spans="1:22" x14ac:dyDescent="0.25">
      <c r="A51" s="389"/>
      <c r="B51" s="399" t="s">
        <v>399</v>
      </c>
      <c r="C51" s="26"/>
      <c r="D51" s="26"/>
      <c r="E51" s="43" t="s">
        <v>400</v>
      </c>
      <c r="F51" s="400">
        <f>I46</f>
        <v>1518512.98</v>
      </c>
      <c r="G51" s="109" t="s">
        <v>6</v>
      </c>
      <c r="H51" s="401">
        <v>4.5199999999999997E-2</v>
      </c>
      <c r="I51" s="101">
        <f>ROUND(F51*H51,2)</f>
        <v>68636.789999999994</v>
      </c>
      <c r="N51" s="406"/>
      <c r="O51" s="407" t="s">
        <v>399</v>
      </c>
      <c r="P51" s="28"/>
      <c r="Q51" s="44" t="s">
        <v>400</v>
      </c>
      <c r="R51" s="408">
        <f>U30</f>
        <v>0</v>
      </c>
      <c r="S51" s="409" t="s">
        <v>6</v>
      </c>
      <c r="T51" s="410">
        <v>4.5199999999999997E-2</v>
      </c>
      <c r="U51" s="402">
        <f>ROUND(R51*T51,2)</f>
        <v>0</v>
      </c>
    </row>
    <row r="52" spans="1:22" x14ac:dyDescent="0.25">
      <c r="A52" s="26"/>
      <c r="B52" s="81" t="s">
        <v>401</v>
      </c>
      <c r="C52" s="26"/>
      <c r="D52" s="26"/>
      <c r="E52" s="43" t="s">
        <v>400</v>
      </c>
      <c r="F52" s="400">
        <f>I46</f>
        <v>1518512.98</v>
      </c>
      <c r="G52" s="109" t="s">
        <v>6</v>
      </c>
      <c r="H52" s="401">
        <v>1.41E-2</v>
      </c>
      <c r="I52" s="101">
        <f>ROUND(F52*H52,2)</f>
        <v>21411.03</v>
      </c>
      <c r="N52" s="28"/>
      <c r="O52" s="383" t="s">
        <v>401</v>
      </c>
      <c r="P52" s="28"/>
      <c r="Q52" s="44" t="s">
        <v>400</v>
      </c>
      <c r="R52" s="408">
        <f>U30</f>
        <v>0</v>
      </c>
      <c r="S52" s="409" t="s">
        <v>6</v>
      </c>
      <c r="T52" s="410">
        <v>1.41E-2</v>
      </c>
      <c r="U52" s="411">
        <f>ROUND(R52*T52,2)</f>
        <v>0</v>
      </c>
    </row>
    <row r="53" spans="1:22" x14ac:dyDescent="0.25">
      <c r="A53" s="26"/>
      <c r="B53" s="81" t="s">
        <v>402</v>
      </c>
      <c r="C53" s="26"/>
      <c r="D53" s="26"/>
      <c r="E53" s="43"/>
      <c r="F53" s="400"/>
      <c r="G53" s="109"/>
      <c r="H53" s="401"/>
      <c r="I53" s="97">
        <f>SUM(I51:I52)</f>
        <v>90047.819999999992</v>
      </c>
      <c r="N53" s="28"/>
      <c r="O53" s="383" t="s">
        <v>402</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440</v>
      </c>
      <c r="G55" s="109" t="s">
        <v>441</v>
      </c>
      <c r="H55" s="454" t="s">
        <v>442</v>
      </c>
      <c r="I55" s="101"/>
      <c r="N55" s="448"/>
      <c r="O55" s="448"/>
      <c r="P55" s="464"/>
      <c r="Q55" s="465"/>
      <c r="R55" s="466"/>
      <c r="S55" s="468" t="s">
        <v>441</v>
      </c>
      <c r="T55" s="469" t="s">
        <v>442</v>
      </c>
      <c r="U55" s="467"/>
      <c r="V55" s="424"/>
    </row>
    <row r="56" spans="1:22" x14ac:dyDescent="0.25">
      <c r="A56" s="36" t="s">
        <v>443</v>
      </c>
      <c r="B56" s="36"/>
      <c r="C56" s="324" t="str">
        <f>'1461'!C56</f>
        <v>FTE</v>
      </c>
      <c r="D56" s="324" t="str">
        <f>'1461'!D56</f>
        <v>FTE</v>
      </c>
      <c r="E56" s="90" t="s">
        <v>2</v>
      </c>
      <c r="F56" s="439" t="s">
        <v>444</v>
      </c>
      <c r="G56" s="441" t="s">
        <v>444</v>
      </c>
      <c r="H56" s="455" t="s">
        <v>445</v>
      </c>
      <c r="I56" s="36"/>
      <c r="N56" s="459" t="s">
        <v>443</v>
      </c>
      <c r="O56" s="459"/>
      <c r="P56" s="620" t="s">
        <v>2</v>
      </c>
      <c r="Q56" s="620"/>
      <c r="R56" s="459" t="s">
        <v>449</v>
      </c>
      <c r="S56" s="450" t="s">
        <v>444</v>
      </c>
      <c r="T56" s="470" t="s">
        <v>445</v>
      </c>
      <c r="U56" s="459"/>
      <c r="V56" s="458"/>
    </row>
    <row r="57" spans="1:22" x14ac:dyDescent="0.25">
      <c r="A57" s="588" t="s">
        <v>447</v>
      </c>
      <c r="B57" s="588"/>
      <c r="C57" s="143">
        <v>11.5</v>
      </c>
      <c r="D57" s="143">
        <v>10.53</v>
      </c>
      <c r="E57" s="116">
        <f t="shared" ref="E57:E65" si="10">IF(D$66=0,C57*2,C57+D57)</f>
        <v>22.03</v>
      </c>
      <c r="F57" s="443" t="s">
        <v>439</v>
      </c>
      <c r="G57" s="443">
        <v>251</v>
      </c>
      <c r="H57" s="457">
        <f>'1461'!H57</f>
        <v>1047</v>
      </c>
      <c r="I57" s="101">
        <f>ROUND(E57*H57,2)</f>
        <v>23065.41</v>
      </c>
      <c r="N57" s="618" t="s">
        <v>447</v>
      </c>
      <c r="O57" s="618"/>
      <c r="P57" s="621"/>
      <c r="Q57" s="621"/>
      <c r="R57" s="449" t="s">
        <v>439</v>
      </c>
      <c r="S57" s="449">
        <v>251</v>
      </c>
      <c r="T57" s="460">
        <f>H57</f>
        <v>1047</v>
      </c>
      <c r="U57" s="474">
        <f>ROUND(P57*T57,2)</f>
        <v>0</v>
      </c>
      <c r="V57" s="424"/>
    </row>
    <row r="58" spans="1:22" x14ac:dyDescent="0.25">
      <c r="A58" s="589"/>
      <c r="B58" s="589"/>
      <c r="C58" s="143">
        <v>3.5</v>
      </c>
      <c r="D58" s="143">
        <v>3.95</v>
      </c>
      <c r="E58" s="116">
        <f t="shared" si="10"/>
        <v>7.45</v>
      </c>
      <c r="F58" s="443" t="s">
        <v>439</v>
      </c>
      <c r="G58" s="443">
        <v>252</v>
      </c>
      <c r="H58" s="457">
        <f>'1461'!H58</f>
        <v>3380</v>
      </c>
      <c r="I58" s="101">
        <f t="shared" ref="I58:I65" si="11">ROUND(E58*H58,2)</f>
        <v>25181</v>
      </c>
      <c r="N58" s="619"/>
      <c r="O58" s="619"/>
      <c r="P58" s="622"/>
      <c r="Q58" s="622"/>
      <c r="R58" s="449" t="s">
        <v>439</v>
      </c>
      <c r="S58" s="449">
        <v>252</v>
      </c>
      <c r="T58" s="460">
        <f t="shared" ref="T58:T65" si="12">H58</f>
        <v>3380</v>
      </c>
      <c r="U58" s="474">
        <f t="shared" ref="U58:U65" si="13">ROUND(P58*T58,2)</f>
        <v>0</v>
      </c>
      <c r="V58" s="424"/>
    </row>
    <row r="59" spans="1:22" x14ac:dyDescent="0.25">
      <c r="A59" s="589"/>
      <c r="B59" s="589"/>
      <c r="C59" s="143">
        <v>0</v>
      </c>
      <c r="D59" s="143">
        <v>0</v>
      </c>
      <c r="E59" s="116">
        <f t="shared" si="10"/>
        <v>0</v>
      </c>
      <c r="F59" s="443" t="s">
        <v>439</v>
      </c>
      <c r="G59" s="443">
        <v>253</v>
      </c>
      <c r="H59" s="457">
        <f>'1461'!H59</f>
        <v>6896</v>
      </c>
      <c r="I59" s="101">
        <f t="shared" si="11"/>
        <v>0</v>
      </c>
      <c r="N59" s="619"/>
      <c r="O59" s="619"/>
      <c r="P59" s="622"/>
      <c r="Q59" s="622"/>
      <c r="R59" s="449" t="s">
        <v>439</v>
      </c>
      <c r="S59" s="449">
        <v>253</v>
      </c>
      <c r="T59" s="460">
        <f t="shared" si="12"/>
        <v>6896</v>
      </c>
      <c r="U59" s="474">
        <f t="shared" si="13"/>
        <v>0</v>
      </c>
      <c r="V59" s="424"/>
    </row>
    <row r="60" spans="1:22" x14ac:dyDescent="0.25">
      <c r="A60" s="589"/>
      <c r="B60" s="589"/>
      <c r="C60" s="143">
        <v>7.5</v>
      </c>
      <c r="D60" s="143">
        <v>7</v>
      </c>
      <c r="E60" s="116">
        <f t="shared" si="10"/>
        <v>14.5</v>
      </c>
      <c r="F60" s="444" t="s">
        <v>13</v>
      </c>
      <c r="G60" s="443">
        <v>251</v>
      </c>
      <c r="H60" s="457">
        <f>'1461'!H60</f>
        <v>1173</v>
      </c>
      <c r="I60" s="101">
        <f t="shared" si="11"/>
        <v>17008.5</v>
      </c>
      <c r="N60" s="619"/>
      <c r="O60" s="619"/>
      <c r="P60" s="622"/>
      <c r="Q60" s="622"/>
      <c r="R60" s="40" t="s">
        <v>13</v>
      </c>
      <c r="S60" s="449">
        <v>251</v>
      </c>
      <c r="T60" s="460">
        <f t="shared" si="12"/>
        <v>1173</v>
      </c>
      <c r="U60" s="474">
        <f t="shared" si="13"/>
        <v>0</v>
      </c>
      <c r="V60" s="424"/>
    </row>
    <row r="61" spans="1:22" x14ac:dyDescent="0.25">
      <c r="A61" s="589"/>
      <c r="B61" s="589"/>
      <c r="C61" s="143">
        <v>1.5</v>
      </c>
      <c r="D61" s="143">
        <v>1.5</v>
      </c>
      <c r="E61" s="116">
        <f t="shared" si="10"/>
        <v>3</v>
      </c>
      <c r="F61" s="444" t="s">
        <v>13</v>
      </c>
      <c r="G61" s="443">
        <v>252</v>
      </c>
      <c r="H61" s="457">
        <f>'1461'!H61</f>
        <v>3506</v>
      </c>
      <c r="I61" s="101">
        <f t="shared" si="11"/>
        <v>10518</v>
      </c>
      <c r="N61" s="619"/>
      <c r="O61" s="619"/>
      <c r="P61" s="622"/>
      <c r="Q61" s="622"/>
      <c r="R61" s="40" t="s">
        <v>13</v>
      </c>
      <c r="S61" s="449">
        <v>252</v>
      </c>
      <c r="T61" s="460">
        <f t="shared" si="12"/>
        <v>3506</v>
      </c>
      <c r="U61" s="474">
        <f t="shared" si="13"/>
        <v>0</v>
      </c>
      <c r="V61" s="424"/>
    </row>
    <row r="62" spans="1:22" x14ac:dyDescent="0.25">
      <c r="A62" s="589"/>
      <c r="B62" s="589"/>
      <c r="C62" s="143">
        <v>0</v>
      </c>
      <c r="D62" s="143">
        <v>0</v>
      </c>
      <c r="E62" s="116">
        <f t="shared" si="10"/>
        <v>0</v>
      </c>
      <c r="F62" s="444" t="s">
        <v>13</v>
      </c>
      <c r="G62" s="443">
        <v>253</v>
      </c>
      <c r="H62" s="457">
        <f>'1461'!H62</f>
        <v>7023</v>
      </c>
      <c r="I62" s="101">
        <f t="shared" si="11"/>
        <v>0</v>
      </c>
      <c r="N62" s="619"/>
      <c r="O62" s="619"/>
      <c r="P62" s="622"/>
      <c r="Q62" s="622"/>
      <c r="R62" s="40" t="s">
        <v>13</v>
      </c>
      <c r="S62" s="449">
        <v>253</v>
      </c>
      <c r="T62" s="460">
        <f t="shared" si="12"/>
        <v>7023</v>
      </c>
      <c r="U62" s="474">
        <f t="shared" si="13"/>
        <v>0</v>
      </c>
      <c r="V62" s="424"/>
    </row>
    <row r="63" spans="1:22" x14ac:dyDescent="0.25">
      <c r="A63" s="589"/>
      <c r="B63" s="589"/>
      <c r="C63" s="143">
        <v>0</v>
      </c>
      <c r="D63" s="143">
        <v>0</v>
      </c>
      <c r="E63" s="116">
        <f t="shared" si="10"/>
        <v>0</v>
      </c>
      <c r="F63" s="444" t="s">
        <v>14</v>
      </c>
      <c r="G63" s="443">
        <v>251</v>
      </c>
      <c r="H63" s="457">
        <f>'1461'!H63</f>
        <v>835</v>
      </c>
      <c r="I63" s="101">
        <f t="shared" si="11"/>
        <v>0</v>
      </c>
      <c r="N63" s="619"/>
      <c r="O63" s="619"/>
      <c r="P63" s="622"/>
      <c r="Q63" s="622"/>
      <c r="R63" s="40" t="s">
        <v>14</v>
      </c>
      <c r="S63" s="449">
        <v>251</v>
      </c>
      <c r="T63" s="460">
        <f t="shared" si="12"/>
        <v>835</v>
      </c>
      <c r="U63" s="474">
        <f t="shared" si="13"/>
        <v>0</v>
      </c>
      <c r="V63" s="424"/>
    </row>
    <row r="64" spans="1:22" x14ac:dyDescent="0.25">
      <c r="A64" s="589"/>
      <c r="B64" s="589"/>
      <c r="C64" s="143">
        <v>0</v>
      </c>
      <c r="D64" s="143">
        <v>0</v>
      </c>
      <c r="E64" s="116">
        <f t="shared" si="10"/>
        <v>0</v>
      </c>
      <c r="F64" s="444" t="s">
        <v>14</v>
      </c>
      <c r="G64" s="443">
        <v>252</v>
      </c>
      <c r="H64" s="457">
        <f>'1461'!H64</f>
        <v>3168</v>
      </c>
      <c r="I64" s="101">
        <f t="shared" si="11"/>
        <v>0</v>
      </c>
      <c r="N64" s="619"/>
      <c r="O64" s="619"/>
      <c r="P64" s="622"/>
      <c r="Q64" s="622"/>
      <c r="R64" s="40" t="s">
        <v>14</v>
      </c>
      <c r="S64" s="449">
        <v>252</v>
      </c>
      <c r="T64" s="460">
        <f t="shared" si="12"/>
        <v>3168</v>
      </c>
      <c r="U64" s="474">
        <f t="shared" si="13"/>
        <v>0</v>
      </c>
      <c r="V64" s="424"/>
    </row>
    <row r="65" spans="1:22" ht="16.5" thickBot="1" x14ac:dyDescent="0.3">
      <c r="A65" s="589"/>
      <c r="B65" s="589"/>
      <c r="C65" s="143">
        <v>0</v>
      </c>
      <c r="D65" s="143">
        <v>0</v>
      </c>
      <c r="E65" s="116">
        <f t="shared" si="10"/>
        <v>0</v>
      </c>
      <c r="F65" s="444" t="s">
        <v>14</v>
      </c>
      <c r="G65" s="443">
        <v>253</v>
      </c>
      <c r="H65" s="457">
        <f>'1461'!H65</f>
        <v>6685</v>
      </c>
      <c r="I65" s="101">
        <f t="shared" si="11"/>
        <v>0</v>
      </c>
      <c r="N65" s="619"/>
      <c r="O65" s="619"/>
      <c r="P65" s="623"/>
      <c r="Q65" s="623"/>
      <c r="R65" s="40" t="s">
        <v>14</v>
      </c>
      <c r="S65" s="449">
        <v>253</v>
      </c>
      <c r="T65" s="460">
        <f t="shared" si="12"/>
        <v>6685</v>
      </c>
      <c r="U65" s="475">
        <f t="shared" si="13"/>
        <v>0</v>
      </c>
      <c r="V65" s="424"/>
    </row>
    <row r="66" spans="1:22" ht="16.5" thickBot="1" x14ac:dyDescent="0.3">
      <c r="A66" s="440"/>
      <c r="C66" s="97">
        <f>SUM(C57:C65)</f>
        <v>24</v>
      </c>
      <c r="D66" s="97">
        <f>SUM(D57:D65)</f>
        <v>22.98</v>
      </c>
      <c r="E66" s="97">
        <f>SUM(E57:E65)</f>
        <v>46.980000000000004</v>
      </c>
      <c r="F66" s="590" t="s">
        <v>448</v>
      </c>
      <c r="G66" s="590"/>
      <c r="H66" s="590"/>
      <c r="I66" s="97">
        <f>SUM(I57:I65)</f>
        <v>75772.91</v>
      </c>
      <c r="N66" s="446"/>
      <c r="O66" s="51"/>
      <c r="P66" s="602">
        <f>SUM(P57:P65)</f>
        <v>0</v>
      </c>
      <c r="Q66" s="602"/>
      <c r="R66" s="603" t="s">
        <v>448</v>
      </c>
      <c r="S66" s="603"/>
      <c r="T66" s="603"/>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450</v>
      </c>
      <c r="N68" s="453" t="s">
        <v>458</v>
      </c>
      <c r="O68" s="51"/>
      <c r="P68" s="51"/>
      <c r="Q68" s="51"/>
      <c r="R68" s="51"/>
      <c r="S68" s="51"/>
      <c r="T68" s="51"/>
      <c r="U68" s="51"/>
    </row>
    <row r="69" spans="1:22" x14ac:dyDescent="0.25">
      <c r="A69" s="584" t="s">
        <v>403</v>
      </c>
      <c r="B69" s="578"/>
      <c r="C69" s="112">
        <f>E30</f>
        <v>250.48</v>
      </c>
      <c r="D69" s="565" t="s">
        <v>414</v>
      </c>
      <c r="E69" s="565"/>
      <c r="F69" s="565"/>
      <c r="G69" s="565"/>
      <c r="H69" s="300">
        <f>'1461'!H69</f>
        <v>210228.91</v>
      </c>
      <c r="I69" s="113"/>
      <c r="N69" s="600" t="s">
        <v>407</v>
      </c>
      <c r="O69" s="601"/>
      <c r="P69" s="41">
        <f>P30</f>
        <v>0</v>
      </c>
      <c r="Q69" s="606" t="s">
        <v>409</v>
      </c>
      <c r="R69" s="607"/>
      <c r="S69" s="607"/>
      <c r="T69" s="604">
        <f>H69</f>
        <v>210228.91</v>
      </c>
      <c r="U69" s="604"/>
    </row>
    <row r="70" spans="1:22" x14ac:dyDescent="0.25">
      <c r="B70" s="69"/>
      <c r="G70" s="42" t="s">
        <v>12</v>
      </c>
      <c r="H70" s="114">
        <f>ROUND(C69/H69,6)</f>
        <v>1.191E-3</v>
      </c>
      <c r="I70" s="115"/>
      <c r="N70" s="601"/>
      <c r="O70" s="601"/>
      <c r="P70" s="601"/>
      <c r="Q70" s="601"/>
      <c r="R70" s="601"/>
      <c r="S70" s="601"/>
      <c r="T70" s="605">
        <f>ROUND(P69/T69,6)</f>
        <v>0</v>
      </c>
      <c r="U70" s="605"/>
    </row>
    <row r="71" spans="1:22" x14ac:dyDescent="0.25">
      <c r="A71" s="442" t="s">
        <v>451</v>
      </c>
      <c r="N71" s="453" t="s">
        <v>459</v>
      </c>
      <c r="O71" s="51"/>
      <c r="P71" s="51"/>
      <c r="Q71" s="51"/>
      <c r="R71" s="51"/>
      <c r="S71" s="51"/>
      <c r="T71" s="51"/>
      <c r="U71" s="51"/>
    </row>
    <row r="72" spans="1:22" x14ac:dyDescent="0.25">
      <c r="A72" s="584" t="s">
        <v>404</v>
      </c>
      <c r="B72" s="578"/>
      <c r="C72" s="112">
        <f>H30</f>
        <v>273.6807</v>
      </c>
      <c r="D72" s="565" t="s">
        <v>415</v>
      </c>
      <c r="E72" s="565"/>
      <c r="F72" s="565"/>
      <c r="G72" s="565"/>
      <c r="H72" s="301">
        <f>'1461'!H72</f>
        <v>234891.44</v>
      </c>
      <c r="I72" s="116"/>
      <c r="N72" s="600" t="s">
        <v>408</v>
      </c>
      <c r="O72" s="601"/>
      <c r="P72" s="41">
        <f>T30</f>
        <v>0</v>
      </c>
      <c r="Q72" s="606" t="s">
        <v>410</v>
      </c>
      <c r="R72" s="607"/>
      <c r="S72" s="607"/>
      <c r="T72" s="604">
        <f>H72</f>
        <v>234891.44</v>
      </c>
      <c r="U72" s="604"/>
    </row>
    <row r="73" spans="1:22" x14ac:dyDescent="0.25">
      <c r="G73" s="42" t="s">
        <v>12</v>
      </c>
      <c r="H73" s="114">
        <f>ROUND(C72/H72,6)</f>
        <v>1.165E-3</v>
      </c>
      <c r="I73" s="114"/>
      <c r="N73" s="601"/>
      <c r="O73" s="601"/>
      <c r="P73" s="601"/>
      <c r="Q73" s="601"/>
      <c r="R73" s="601"/>
      <c r="S73" s="601"/>
      <c r="T73" s="605">
        <f>ROUND(P72/T72,6)</f>
        <v>0</v>
      </c>
      <c r="U73" s="605"/>
    </row>
    <row r="74" spans="1:22" x14ac:dyDescent="0.25">
      <c r="A74" s="417" t="s">
        <v>452</v>
      </c>
      <c r="B74" s="414"/>
      <c r="C74" s="414"/>
      <c r="D74" s="414"/>
      <c r="E74" s="414"/>
      <c r="F74" s="414"/>
      <c r="G74" s="414"/>
      <c r="H74" s="414"/>
      <c r="I74" s="414"/>
      <c r="N74" s="416" t="s">
        <v>460</v>
      </c>
      <c r="O74" s="415"/>
      <c r="P74" s="415"/>
      <c r="Q74" s="415"/>
      <c r="R74" s="415"/>
      <c r="S74" s="415"/>
      <c r="T74" s="415"/>
      <c r="U74" s="415"/>
      <c r="V74" s="414"/>
    </row>
    <row r="75" spans="1:22" x14ac:dyDescent="0.25">
      <c r="A75" s="584" t="s">
        <v>405</v>
      </c>
      <c r="B75" s="578"/>
      <c r="C75" s="112">
        <f>E30</f>
        <v>250.48</v>
      </c>
      <c r="D75" s="557" t="s">
        <v>416</v>
      </c>
      <c r="E75" s="557"/>
      <c r="F75" s="557"/>
      <c r="G75" s="557"/>
      <c r="H75" s="300">
        <f>'1461'!H75</f>
        <v>187665.41</v>
      </c>
      <c r="I75" s="113"/>
      <c r="N75" s="600" t="s">
        <v>406</v>
      </c>
      <c r="O75" s="601"/>
      <c r="P75" s="41">
        <f>P30</f>
        <v>0</v>
      </c>
      <c r="Q75" s="636" t="s">
        <v>411</v>
      </c>
      <c r="R75" s="637"/>
      <c r="S75" s="637"/>
      <c r="T75" s="604">
        <f>H75</f>
        <v>187665.41</v>
      </c>
      <c r="U75" s="604"/>
    </row>
    <row r="76" spans="1:22" x14ac:dyDescent="0.25">
      <c r="B76" s="69"/>
      <c r="G76" s="42" t="s">
        <v>12</v>
      </c>
      <c r="H76" s="114">
        <f>ROUND(C75/H75,6)</f>
        <v>1.335E-3</v>
      </c>
      <c r="I76" s="115"/>
      <c r="N76" s="601"/>
      <c r="O76" s="601"/>
      <c r="P76" s="601"/>
      <c r="Q76" s="601"/>
      <c r="R76" s="601"/>
      <c r="S76" s="601"/>
      <c r="T76" s="605">
        <f>ROUND(P75/T75,6)</f>
        <v>0</v>
      </c>
      <c r="U76" s="605"/>
    </row>
    <row r="77" spans="1:22" x14ac:dyDescent="0.25">
      <c r="A77" s="417" t="s">
        <v>453</v>
      </c>
      <c r="B77" s="414"/>
      <c r="C77" s="414"/>
      <c r="D77" s="414"/>
      <c r="E77" s="414"/>
      <c r="F77" s="414"/>
      <c r="G77" s="414"/>
      <c r="H77" s="414"/>
      <c r="I77" s="414"/>
      <c r="N77" s="416" t="s">
        <v>461</v>
      </c>
      <c r="O77" s="415"/>
      <c r="P77" s="415"/>
      <c r="Q77" s="415"/>
      <c r="R77" s="415"/>
      <c r="S77" s="415"/>
      <c r="T77" s="415"/>
      <c r="U77" s="415"/>
      <c r="V77" s="414"/>
    </row>
    <row r="78" spans="1:22" x14ac:dyDescent="0.25">
      <c r="A78" s="584" t="s">
        <v>405</v>
      </c>
      <c r="B78" s="578"/>
      <c r="C78" s="112">
        <f>E30</f>
        <v>250.48</v>
      </c>
      <c r="D78" s="585" t="s">
        <v>417</v>
      </c>
      <c r="E78" s="585"/>
      <c r="F78" s="585"/>
      <c r="G78" s="585"/>
      <c r="H78" s="300">
        <f>'1461'!H78</f>
        <v>209892.26</v>
      </c>
      <c r="I78" s="113"/>
      <c r="N78" s="600" t="s">
        <v>406</v>
      </c>
      <c r="O78" s="601"/>
      <c r="P78" s="41">
        <f>P30</f>
        <v>0</v>
      </c>
      <c r="Q78" s="634" t="s">
        <v>412</v>
      </c>
      <c r="R78" s="635"/>
      <c r="S78" s="635"/>
      <c r="T78" s="604">
        <f>H78</f>
        <v>209892.26</v>
      </c>
      <c r="U78" s="604"/>
    </row>
    <row r="79" spans="1:22" x14ac:dyDescent="0.25">
      <c r="B79" s="69"/>
      <c r="G79" s="42" t="s">
        <v>12</v>
      </c>
      <c r="H79" s="114">
        <f>ROUND(C78/H78,6)</f>
        <v>1.193E-3</v>
      </c>
      <c r="I79" s="115"/>
      <c r="N79" s="601"/>
      <c r="O79" s="601"/>
      <c r="P79" s="601"/>
      <c r="Q79" s="601"/>
      <c r="R79" s="601"/>
      <c r="S79" s="601"/>
      <c r="T79" s="605">
        <f>ROUND(P78/T78,6)</f>
        <v>0</v>
      </c>
      <c r="U79" s="605"/>
    </row>
    <row r="80" spans="1:22" x14ac:dyDescent="0.25">
      <c r="A80" s="417" t="s">
        <v>454</v>
      </c>
      <c r="B80" s="414"/>
      <c r="C80" s="414"/>
      <c r="D80" s="414"/>
      <c r="E80" s="414"/>
      <c r="F80" s="414"/>
      <c r="G80" s="414"/>
      <c r="H80" s="414"/>
      <c r="I80" s="414"/>
      <c r="N80" s="416" t="s">
        <v>462</v>
      </c>
      <c r="O80" s="415"/>
      <c r="P80" s="415"/>
      <c r="Q80" s="415"/>
      <c r="R80" s="415"/>
      <c r="S80" s="415"/>
      <c r="T80" s="415"/>
      <c r="U80" s="415"/>
      <c r="V80" s="414"/>
    </row>
    <row r="81" spans="1:21" x14ac:dyDescent="0.25">
      <c r="A81" s="584" t="s">
        <v>413</v>
      </c>
      <c r="B81" s="578"/>
      <c r="C81" s="112">
        <f>E30</f>
        <v>250.48</v>
      </c>
      <c r="D81" s="557" t="s">
        <v>418</v>
      </c>
      <c r="E81" s="557"/>
      <c r="F81" s="557"/>
      <c r="G81" s="557"/>
      <c r="H81" s="300">
        <f>'1461'!H81</f>
        <v>187328.76</v>
      </c>
      <c r="I81" s="113"/>
      <c r="N81" s="600" t="s">
        <v>419</v>
      </c>
      <c r="O81" s="601"/>
      <c r="P81" s="41">
        <f>P30</f>
        <v>0</v>
      </c>
      <c r="Q81" s="636" t="s">
        <v>420</v>
      </c>
      <c r="R81" s="637"/>
      <c r="S81" s="637"/>
      <c r="T81" s="604">
        <f>H81</f>
        <v>187328.76</v>
      </c>
      <c r="U81" s="604"/>
    </row>
    <row r="82" spans="1:21" x14ac:dyDescent="0.25">
      <c r="B82" s="69"/>
      <c r="G82" s="42" t="s">
        <v>12</v>
      </c>
      <c r="H82" s="114">
        <f>ROUND(C81/H81,6)</f>
        <v>1.3370000000000001E-3</v>
      </c>
      <c r="I82" s="115"/>
      <c r="N82" s="601"/>
      <c r="O82" s="601"/>
      <c r="P82" s="601"/>
      <c r="Q82" s="601"/>
      <c r="R82" s="601"/>
      <c r="S82" s="601"/>
      <c r="T82" s="605">
        <f>ROUND(P81/T81,6)</f>
        <v>0</v>
      </c>
      <c r="U82" s="605"/>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455</v>
      </c>
      <c r="D85" s="69"/>
      <c r="E85" s="43" t="s">
        <v>299</v>
      </c>
      <c r="F85" s="302">
        <f>'1461'!F85</f>
        <v>46163704</v>
      </c>
      <c r="G85" s="37" t="s">
        <v>6</v>
      </c>
      <c r="H85" s="422">
        <f>H79</f>
        <v>1.193E-3</v>
      </c>
      <c r="I85" s="101">
        <f>ROUND(F85*H85,2)</f>
        <v>55073.3</v>
      </c>
      <c r="N85" s="453" t="s">
        <v>455</v>
      </c>
      <c r="O85" s="51"/>
      <c r="P85" s="51"/>
      <c r="Q85" s="44"/>
      <c r="R85" s="419">
        <f>F85</f>
        <v>46163704</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87" t="s">
        <v>71</v>
      </c>
      <c r="B87" s="578"/>
      <c r="C87" s="578"/>
      <c r="D87" s="69"/>
      <c r="E87" s="43"/>
      <c r="F87" s="117"/>
      <c r="G87" s="37"/>
      <c r="H87" s="422"/>
      <c r="I87" s="101"/>
      <c r="N87" s="600" t="s">
        <v>463</v>
      </c>
      <c r="O87" s="601"/>
      <c r="P87" s="601"/>
      <c r="Q87" s="51"/>
      <c r="R87" s="420"/>
      <c r="S87" s="51"/>
      <c r="T87" s="38"/>
      <c r="U87" s="478"/>
    </row>
    <row r="88" spans="1:21" x14ac:dyDescent="0.25">
      <c r="A88" s="587" t="s">
        <v>99</v>
      </c>
      <c r="B88" s="578"/>
      <c r="C88" s="578"/>
      <c r="D88" s="69"/>
      <c r="E88" s="43" t="s">
        <v>3</v>
      </c>
      <c r="F88" s="302">
        <f>'1461'!F88</f>
        <v>0</v>
      </c>
      <c r="G88" s="37" t="s">
        <v>6</v>
      </c>
      <c r="H88" s="422">
        <f>H70</f>
        <v>1.191E-3</v>
      </c>
      <c r="I88" s="101">
        <f>ROUND(F88*H88,2)</f>
        <v>0</v>
      </c>
      <c r="N88" s="638" t="s">
        <v>99</v>
      </c>
      <c r="O88" s="601"/>
      <c r="P88" s="601"/>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456</v>
      </c>
      <c r="D90" s="69"/>
      <c r="E90" s="43" t="s">
        <v>421</v>
      </c>
      <c r="F90" s="302">
        <f>'1461'!F90</f>
        <v>19042026</v>
      </c>
      <c r="G90" s="37" t="s">
        <v>6</v>
      </c>
      <c r="H90" s="422">
        <f>H82</f>
        <v>1.3370000000000001E-3</v>
      </c>
      <c r="I90" s="101">
        <f>ROUND(F90*H90,2)</f>
        <v>25459.19</v>
      </c>
      <c r="N90" s="453" t="s">
        <v>456</v>
      </c>
      <c r="O90" s="51"/>
      <c r="P90" s="51"/>
      <c r="Q90" s="44"/>
      <c r="R90" s="419">
        <f>F90</f>
        <v>19042026</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457</v>
      </c>
      <c r="D92" s="69"/>
      <c r="E92" s="43" t="s">
        <v>3</v>
      </c>
      <c r="F92" s="302">
        <f>'1461'!F92</f>
        <v>11441151</v>
      </c>
      <c r="G92" s="37" t="s">
        <v>6</v>
      </c>
      <c r="H92" s="422">
        <f>H76</f>
        <v>1.335E-3</v>
      </c>
      <c r="I92" s="101">
        <f t="shared" ref="I92:I96" si="14">ROUND(F92*H92,2)</f>
        <v>15273.94</v>
      </c>
      <c r="N92" s="453" t="s">
        <v>457</v>
      </c>
      <c r="O92" s="51"/>
      <c r="P92" s="51"/>
      <c r="Q92" s="44"/>
      <c r="R92" s="419">
        <f t="shared" ref="R92:R96" si="15">F92</f>
        <v>11441151</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84" t="s">
        <v>422</v>
      </c>
      <c r="B94" s="578"/>
      <c r="C94" s="578"/>
      <c r="D94" s="69"/>
      <c r="E94" s="43" t="s">
        <v>4</v>
      </c>
      <c r="F94" s="302">
        <f>'1461'!F94</f>
        <v>247265670</v>
      </c>
      <c r="G94" s="37" t="s">
        <v>6</v>
      </c>
      <c r="H94" s="422">
        <f>H73</f>
        <v>1.165E-3</v>
      </c>
      <c r="I94" s="101">
        <f t="shared" si="14"/>
        <v>288064.51</v>
      </c>
      <c r="N94" s="601" t="s">
        <v>422</v>
      </c>
      <c r="O94" s="601"/>
      <c r="P94" s="601"/>
      <c r="Q94" s="44"/>
      <c r="R94" s="419">
        <f t="shared" si="15"/>
        <v>247265670</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4" t="s">
        <v>423</v>
      </c>
      <c r="B96" s="578"/>
      <c r="C96" s="578"/>
      <c r="D96" s="69"/>
      <c r="E96" s="43" t="s">
        <v>4</v>
      </c>
      <c r="F96" s="302">
        <f>'1461'!F96</f>
        <v>0</v>
      </c>
      <c r="G96" s="37" t="s">
        <v>6</v>
      </c>
      <c r="H96" s="422">
        <f>H73</f>
        <v>1.165E-3</v>
      </c>
      <c r="I96" s="101">
        <f t="shared" si="14"/>
        <v>0</v>
      </c>
      <c r="N96" s="600" t="s">
        <v>423</v>
      </c>
      <c r="O96" s="601"/>
      <c r="P96" s="601"/>
      <c r="Q96" s="44"/>
      <c r="R96" s="419">
        <f t="shared" si="15"/>
        <v>0</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530" t="s">
        <v>497</v>
      </c>
      <c r="B98" s="529"/>
      <c r="C98" s="529"/>
      <c r="D98" s="529"/>
      <c r="E98" s="527" t="s">
        <v>3</v>
      </c>
      <c r="F98" s="290">
        <v>0</v>
      </c>
      <c r="G98" s="528" t="s">
        <v>6</v>
      </c>
      <c r="H98" s="422">
        <f>H70</f>
        <v>1.191E-3</v>
      </c>
      <c r="I98" s="101">
        <f t="shared" ref="I98" si="16">ROUND(F98*H98,2)</f>
        <v>0</v>
      </c>
      <c r="N98" s="533" t="s">
        <v>497</v>
      </c>
      <c r="O98" s="533"/>
      <c r="P98" s="533"/>
      <c r="Q98" s="44"/>
      <c r="R98" s="536">
        <f>F98</f>
        <v>0</v>
      </c>
      <c r="S98" s="534" t="s">
        <v>6</v>
      </c>
      <c r="T98" s="421">
        <f>T70</f>
        <v>0</v>
      </c>
      <c r="U98" s="473">
        <f>ROUND(R98*T98,2)</f>
        <v>0</v>
      </c>
    </row>
    <row r="99" spans="1:21" x14ac:dyDescent="0.25">
      <c r="A99" s="530"/>
      <c r="B99" s="529"/>
      <c r="C99" s="529"/>
      <c r="D99" s="529"/>
      <c r="E99" s="527"/>
      <c r="F99" s="276"/>
      <c r="G99" s="528"/>
      <c r="H99" s="422"/>
      <c r="I99" s="101"/>
      <c r="N99" s="533"/>
      <c r="O99" s="533"/>
      <c r="P99" s="533"/>
      <c r="Q99" s="44"/>
      <c r="R99" s="535"/>
      <c r="S99" s="534"/>
      <c r="T99" s="421"/>
      <c r="U99" s="477"/>
    </row>
    <row r="100" spans="1:21" x14ac:dyDescent="0.25">
      <c r="A100" s="530"/>
      <c r="B100" s="529"/>
      <c r="C100" s="529"/>
      <c r="D100" s="529"/>
      <c r="E100" s="527"/>
      <c r="F100" s="276"/>
      <c r="G100" s="528"/>
      <c r="H100" s="422"/>
      <c r="I100" s="101"/>
      <c r="N100" s="533"/>
      <c r="O100" s="533"/>
      <c r="P100" s="533"/>
      <c r="Q100" s="44"/>
      <c r="R100" s="420"/>
      <c r="S100" s="534"/>
      <c r="T100" s="421"/>
      <c r="U100" s="103"/>
    </row>
    <row r="101" spans="1:21" x14ac:dyDescent="0.25">
      <c r="A101" s="399" t="s">
        <v>498</v>
      </c>
      <c r="N101" s="407" t="s">
        <v>498</v>
      </c>
      <c r="O101" s="51"/>
      <c r="P101" s="51"/>
      <c r="Q101" s="51"/>
      <c r="R101" s="51"/>
      <c r="S101" s="51"/>
      <c r="T101" s="51"/>
      <c r="U101" s="51"/>
    </row>
    <row r="102" spans="1:21" x14ac:dyDescent="0.25">
      <c r="B102" s="69"/>
      <c r="C102" s="563" t="s">
        <v>60</v>
      </c>
      <c r="D102" s="563"/>
      <c r="E102" s="69"/>
      <c r="F102" s="39" t="s">
        <v>28</v>
      </c>
      <c r="G102" s="69"/>
      <c r="H102" s="69"/>
      <c r="I102" s="69"/>
      <c r="N102" s="45"/>
      <c r="O102" s="45"/>
      <c r="P102" s="45"/>
      <c r="Q102" s="45"/>
      <c r="R102" s="45"/>
      <c r="S102" s="45"/>
      <c r="T102" s="45"/>
      <c r="U102" s="45"/>
    </row>
    <row r="103" spans="1:21" x14ac:dyDescent="0.25">
      <c r="A103" s="3"/>
      <c r="B103" s="118"/>
      <c r="C103" s="564" t="s">
        <v>101</v>
      </c>
      <c r="D103" s="564"/>
      <c r="E103" s="423" t="s">
        <v>426</v>
      </c>
      <c r="F103" s="120" t="s">
        <v>106</v>
      </c>
      <c r="G103" s="121"/>
      <c r="H103" s="121"/>
      <c r="I103" s="121"/>
      <c r="N103" s="631" t="s">
        <v>35</v>
      </c>
      <c r="O103" s="631"/>
      <c r="P103" s="672" t="s">
        <v>428</v>
      </c>
      <c r="Q103" s="633"/>
      <c r="R103" s="604" t="s">
        <v>31</v>
      </c>
      <c r="S103" s="604"/>
      <c r="T103" s="604"/>
      <c r="U103" s="604"/>
    </row>
    <row r="104" spans="1:21" x14ac:dyDescent="0.25">
      <c r="A104" s="26"/>
      <c r="B104" s="52" t="s">
        <v>105</v>
      </c>
      <c r="C104" s="596">
        <f>H14+H15+H20+H23+H26</f>
        <v>195.42689999999999</v>
      </c>
      <c r="D104" s="596"/>
      <c r="E104" s="46">
        <f>H8</f>
        <v>1.0407999999999999</v>
      </c>
      <c r="F104" s="303">
        <f>'1461'!F104</f>
        <v>950.92</v>
      </c>
      <c r="G104" s="39" t="s">
        <v>12</v>
      </c>
      <c r="H104" s="101">
        <f>ROUND(C104*E104*F104,2)</f>
        <v>193417.43</v>
      </c>
      <c r="I104" s="104"/>
      <c r="N104" s="28" t="s">
        <v>17</v>
      </c>
      <c r="O104" s="47">
        <f>T14+T15+T20+T23+T26</f>
        <v>0</v>
      </c>
      <c r="P104" s="611">
        <f>T8</f>
        <v>1.0407999999999999</v>
      </c>
      <c r="Q104" s="611"/>
      <c r="R104" s="48">
        <f>F104</f>
        <v>950.92</v>
      </c>
      <c r="S104" s="40" t="s">
        <v>12</v>
      </c>
      <c r="T104" s="479">
        <f>ROUND(O104*P104*R104,2)</f>
        <v>0</v>
      </c>
      <c r="U104" s="102"/>
    </row>
    <row r="105" spans="1:21" x14ac:dyDescent="0.25">
      <c r="A105" s="49"/>
      <c r="B105" s="49" t="s">
        <v>104</v>
      </c>
      <c r="C105" s="596">
        <f>H16+H17+H21+H24+H27</f>
        <v>78.253799999999998</v>
      </c>
      <c r="D105" s="596"/>
      <c r="E105" s="46">
        <f>H8</f>
        <v>1.0407999999999999</v>
      </c>
      <c r="F105" s="303">
        <f>'1461'!F105</f>
        <v>907.92</v>
      </c>
      <c r="G105" s="39" t="s">
        <v>12</v>
      </c>
      <c r="H105" s="101">
        <f>ROUND(C105*E105*F105,2)</f>
        <v>73946.960000000006</v>
      </c>
      <c r="N105" s="50" t="s">
        <v>13</v>
      </c>
      <c r="O105" s="47">
        <f>T16+T17+T21+T24+T27</f>
        <v>0</v>
      </c>
      <c r="P105" s="611">
        <f>T8</f>
        <v>1.0407999999999999</v>
      </c>
      <c r="Q105" s="611"/>
      <c r="R105" s="48">
        <f>F105</f>
        <v>907.92</v>
      </c>
      <c r="S105" s="40" t="s">
        <v>12</v>
      </c>
      <c r="T105" s="479">
        <f>ROUND(O105*P105*R105,2)</f>
        <v>0</v>
      </c>
      <c r="U105" s="51"/>
    </row>
    <row r="106" spans="1:21" ht="16.5" thickBot="1" x14ac:dyDescent="0.3">
      <c r="A106" s="52"/>
      <c r="B106" s="52" t="s">
        <v>103</v>
      </c>
      <c r="C106" s="596">
        <f>H18+H19+H22+H25+H28+H29</f>
        <v>0</v>
      </c>
      <c r="D106" s="596"/>
      <c r="E106" s="46">
        <f>H8</f>
        <v>1.0407999999999999</v>
      </c>
      <c r="F106" s="303">
        <f>'1461'!F106</f>
        <v>910.12</v>
      </c>
      <c r="G106" s="39" t="s">
        <v>12</v>
      </c>
      <c r="H106" s="94">
        <f>ROUND(C106*E106*F106,2)</f>
        <v>0</v>
      </c>
      <c r="N106" s="53" t="s">
        <v>14</v>
      </c>
      <c r="O106" s="54">
        <f>T18+T19+T22+T25+T28+T29</f>
        <v>0</v>
      </c>
      <c r="P106" s="611">
        <f>T8</f>
        <v>1.0407999999999999</v>
      </c>
      <c r="Q106" s="611"/>
      <c r="R106" s="48">
        <f>F106</f>
        <v>910.12</v>
      </c>
      <c r="S106" s="40" t="s">
        <v>12</v>
      </c>
      <c r="T106" s="479">
        <f>ROUND(O106*P106*R106,2)</f>
        <v>0</v>
      </c>
      <c r="U106" s="51"/>
    </row>
    <row r="107" spans="1:21" ht="16.5" thickBot="1" x14ac:dyDescent="0.3">
      <c r="A107" s="55"/>
      <c r="B107" s="122" t="s">
        <v>102</v>
      </c>
      <c r="C107" s="586">
        <f>SUM(C104:C106)</f>
        <v>273.6807</v>
      </c>
      <c r="D107" s="586"/>
      <c r="E107" s="123"/>
      <c r="F107" s="123"/>
      <c r="G107" s="123"/>
      <c r="H107" s="124" t="s">
        <v>100</v>
      </c>
      <c r="I107" s="101">
        <f>IF(A1=75,0,H106+H105+H104)</f>
        <v>267364.39</v>
      </c>
      <c r="N107" s="56" t="s">
        <v>89</v>
      </c>
      <c r="O107" s="57">
        <f>SUM(O104:O106)</f>
        <v>0</v>
      </c>
      <c r="P107" s="612" t="s">
        <v>16</v>
      </c>
      <c r="Q107" s="613"/>
      <c r="R107" s="613"/>
      <c r="S107" s="613"/>
      <c r="T107" s="613"/>
      <c r="U107" s="473">
        <f>IF(N1=75,0,T106+T105+T104)</f>
        <v>0</v>
      </c>
    </row>
    <row r="108" spans="1:21" ht="16.5" thickTop="1" x14ac:dyDescent="0.25">
      <c r="A108" s="555" t="s">
        <v>65</v>
      </c>
      <c r="B108" s="555"/>
      <c r="C108" s="555"/>
      <c r="D108" s="555"/>
      <c r="E108" s="555"/>
      <c r="F108" s="555"/>
      <c r="G108" s="555"/>
      <c r="H108" s="555"/>
      <c r="I108" s="555"/>
      <c r="N108" s="614" t="s">
        <v>65</v>
      </c>
      <c r="O108" s="614"/>
      <c r="P108" s="614"/>
      <c r="Q108" s="614"/>
      <c r="R108" s="614"/>
      <c r="S108" s="614"/>
      <c r="T108" s="614"/>
      <c r="U108" s="614"/>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0" t="s">
        <v>499</v>
      </c>
      <c r="C110" s="43"/>
      <c r="D110" s="69"/>
      <c r="E110" s="43" t="s">
        <v>32</v>
      </c>
      <c r="F110" s="556"/>
      <c r="G110" s="556"/>
      <c r="H110" s="556"/>
      <c r="I110" s="556"/>
      <c r="N110" s="600" t="s">
        <v>499</v>
      </c>
      <c r="O110" s="601"/>
      <c r="P110" s="601"/>
      <c r="Q110" s="615"/>
      <c r="R110" s="615"/>
      <c r="S110" s="615"/>
      <c r="T110" s="615"/>
      <c r="U110" s="103"/>
    </row>
    <row r="111" spans="1:21" x14ac:dyDescent="0.25">
      <c r="B111" s="69"/>
      <c r="C111" s="88" t="s">
        <v>494</v>
      </c>
      <c r="D111" s="333" t="s">
        <v>495</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57" t="s">
        <v>381</v>
      </c>
      <c r="B113" s="558"/>
      <c r="C113" s="143">
        <v>2</v>
      </c>
      <c r="D113" s="143">
        <v>0</v>
      </c>
      <c r="E113" s="116">
        <f>(C113+D113)/2</f>
        <v>1</v>
      </c>
      <c r="F113" s="126" t="s">
        <v>30</v>
      </c>
      <c r="G113" s="304">
        <f>'1461'!G113</f>
        <v>576</v>
      </c>
      <c r="I113" s="101">
        <f>ROUND(G113*E113,2)</f>
        <v>576</v>
      </c>
      <c r="N113" s="630" t="s">
        <v>52</v>
      </c>
      <c r="O113" s="630"/>
      <c r="P113" s="610">
        <f>IF(H133=1,E113,0)</f>
        <v>0</v>
      </c>
      <c r="Q113" s="610"/>
      <c r="R113" s="610"/>
      <c r="S113" s="83" t="s">
        <v>30</v>
      </c>
      <c r="T113" s="58">
        <f>G113</f>
        <v>576</v>
      </c>
      <c r="U113" s="473">
        <f>ROUND(T113*P113,2)</f>
        <v>0</v>
      </c>
    </row>
    <row r="114" spans="1:21" x14ac:dyDescent="0.25">
      <c r="A114" s="557" t="s">
        <v>382</v>
      </c>
      <c r="B114" s="558"/>
      <c r="C114" s="143">
        <v>0</v>
      </c>
      <c r="D114" s="143">
        <v>0</v>
      </c>
      <c r="E114" s="116">
        <f>(C114+D114)/2</f>
        <v>0</v>
      </c>
      <c r="F114" s="126" t="s">
        <v>30</v>
      </c>
      <c r="G114" s="304">
        <f>'1461'!G114</f>
        <v>1823</v>
      </c>
      <c r="I114" s="101">
        <f>ROUND(G114*E114,2)</f>
        <v>0</v>
      </c>
      <c r="N114" s="630" t="s">
        <v>64</v>
      </c>
      <c r="O114" s="630"/>
      <c r="P114" s="608"/>
      <c r="Q114" s="608"/>
      <c r="R114" s="608"/>
      <c r="S114" s="83" t="s">
        <v>30</v>
      </c>
      <c r="T114" s="58">
        <f>G114</f>
        <v>1823</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4" t="s">
        <v>430</v>
      </c>
      <c r="B117" s="578"/>
      <c r="C117" s="578"/>
      <c r="D117" s="69"/>
      <c r="E117" s="39" t="s">
        <v>300</v>
      </c>
      <c r="F117" s="563"/>
      <c r="G117" s="563"/>
      <c r="H117" s="563"/>
      <c r="I117" s="563"/>
      <c r="N117" s="600" t="s">
        <v>431</v>
      </c>
      <c r="O117" s="601"/>
      <c r="P117" s="601"/>
      <c r="Q117" s="601"/>
      <c r="R117" s="601"/>
      <c r="S117" s="601"/>
      <c r="T117" s="601"/>
      <c r="U117" s="601"/>
    </row>
    <row r="118" spans="1:21" hidden="1" x14ac:dyDescent="0.25">
      <c r="B118" s="69"/>
      <c r="C118" s="564" t="s">
        <v>66</v>
      </c>
      <c r="D118" s="564"/>
      <c r="E118" s="564"/>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5" t="s">
        <v>109</v>
      </c>
      <c r="G119" s="563"/>
      <c r="H119" s="37" t="s">
        <v>29</v>
      </c>
      <c r="I119" s="37"/>
      <c r="N119" s="45"/>
      <c r="O119" s="45"/>
      <c r="P119" s="45"/>
      <c r="Q119" s="45"/>
      <c r="R119" s="45"/>
      <c r="S119" s="45"/>
      <c r="T119" s="45"/>
      <c r="U119" s="45"/>
    </row>
    <row r="120" spans="1:21" hidden="1" x14ac:dyDescent="0.25">
      <c r="A120" s="564" t="s">
        <v>69</v>
      </c>
      <c r="B120" s="564"/>
      <c r="C120" s="90" t="s">
        <v>2</v>
      </c>
      <c r="D120" s="90" t="s">
        <v>2</v>
      </c>
      <c r="E120" s="59" t="s">
        <v>2</v>
      </c>
      <c r="F120" s="564" t="s">
        <v>28</v>
      </c>
      <c r="G120" s="564"/>
      <c r="H120" s="59" t="s">
        <v>28</v>
      </c>
      <c r="I120" s="59" t="s">
        <v>8</v>
      </c>
      <c r="N120" s="609" t="s">
        <v>53</v>
      </c>
      <c r="O120" s="609"/>
      <c r="P120" s="610" t="s">
        <v>66</v>
      </c>
      <c r="Q120" s="610"/>
      <c r="R120" s="609" t="s">
        <v>54</v>
      </c>
      <c r="S120" s="609"/>
      <c r="T120" s="60" t="s">
        <v>55</v>
      </c>
      <c r="U120" s="60" t="s">
        <v>8</v>
      </c>
    </row>
    <row r="121" spans="1:21" hidden="1" x14ac:dyDescent="0.25">
      <c r="A121" s="561" t="s">
        <v>56</v>
      </c>
      <c r="B121" s="561"/>
      <c r="C121" s="141">
        <v>0</v>
      </c>
      <c r="D121" s="141">
        <v>0</v>
      </c>
      <c r="E121" s="187">
        <f>IF(D30=0,C121*2,C121+D121)</f>
        <v>0</v>
      </c>
      <c r="F121" s="562">
        <v>0</v>
      </c>
      <c r="G121" s="562"/>
      <c r="H121" s="224">
        <f>IF(C121=0,0,125)</f>
        <v>0</v>
      </c>
      <c r="I121" s="101">
        <f>ROUND((H121+F121)*E121,2)</f>
        <v>0</v>
      </c>
      <c r="N121" s="601" t="s">
        <v>56</v>
      </c>
      <c r="O121" s="601"/>
      <c r="P121" s="608">
        <f>IF(H$133=1,C121,0)</f>
        <v>0</v>
      </c>
      <c r="Q121" s="608"/>
      <c r="R121" s="628">
        <f>F121</f>
        <v>0</v>
      </c>
      <c r="S121" s="628"/>
      <c r="T121" s="62">
        <f>H121</f>
        <v>0</v>
      </c>
      <c r="U121" s="96">
        <f>ROUND((T121+R121)*P121,0)</f>
        <v>0</v>
      </c>
    </row>
    <row r="122" spans="1:21" hidden="1" x14ac:dyDescent="0.25">
      <c r="A122" s="581" t="s">
        <v>57</v>
      </c>
      <c r="B122" s="581"/>
      <c r="C122" s="143">
        <v>0</v>
      </c>
      <c r="D122" s="143">
        <v>0</v>
      </c>
      <c r="E122" s="116">
        <f>IF(D31=0,C122*2,C122+D122)</f>
        <v>0</v>
      </c>
      <c r="F122" s="598">
        <f>ROUND(F121/2,2)</f>
        <v>0</v>
      </c>
      <c r="G122" s="598"/>
      <c r="H122" s="224">
        <f>IF(C122=0,0,62.5)</f>
        <v>0</v>
      </c>
      <c r="I122" s="101">
        <f>ROUND((H122+F122)*E122,2)</f>
        <v>0</v>
      </c>
      <c r="N122" s="601" t="s">
        <v>57</v>
      </c>
      <c r="O122" s="601"/>
      <c r="P122" s="608">
        <f>IF(H$133=1,C122,0)</f>
        <v>0</v>
      </c>
      <c r="Q122" s="608"/>
      <c r="R122" s="629">
        <f>ROUND(R121/2,2)</f>
        <v>0</v>
      </c>
      <c r="S122" s="629"/>
      <c r="T122" s="62">
        <f>H122</f>
        <v>0</v>
      </c>
      <c r="U122" s="96">
        <f>ROUND((T122+R122)*P122,0)</f>
        <v>0</v>
      </c>
    </row>
    <row r="123" spans="1:21" ht="16.5" hidden="1" thickBot="1" x14ac:dyDescent="0.3">
      <c r="A123" s="581" t="s">
        <v>58</v>
      </c>
      <c r="B123" s="581"/>
      <c r="C123" s="143">
        <v>0</v>
      </c>
      <c r="D123" s="143">
        <v>0</v>
      </c>
      <c r="E123" s="116">
        <f>IF(D32=0,C123*2,C123+D123)</f>
        <v>0</v>
      </c>
      <c r="F123" s="599"/>
      <c r="G123" s="599"/>
      <c r="H123" s="225">
        <f>IF(H121&gt;0,436,0)</f>
        <v>0</v>
      </c>
      <c r="I123" s="101">
        <f>ROUND(H123*E123,2)</f>
        <v>0</v>
      </c>
      <c r="N123" s="616" t="s">
        <v>58</v>
      </c>
      <c r="O123" s="616"/>
      <c r="P123" s="608">
        <f>IF(H$133=1,C123,0)</f>
        <v>0</v>
      </c>
      <c r="Q123" s="608"/>
      <c r="R123" s="609"/>
      <c r="S123" s="609"/>
      <c r="T123" s="64">
        <f>H123</f>
        <v>0</v>
      </c>
      <c r="U123" s="103">
        <f>ROUND(T123*P123,0)</f>
        <v>0</v>
      </c>
    </row>
    <row r="124" spans="1:21" ht="16.5" hidden="1" thickBot="1" x14ac:dyDescent="0.3">
      <c r="A124" s="563" t="s">
        <v>8</v>
      </c>
      <c r="B124" s="563"/>
      <c r="C124" s="65"/>
      <c r="D124" s="65"/>
      <c r="E124" s="65"/>
      <c r="F124" s="65"/>
      <c r="G124" s="65"/>
      <c r="H124" s="65"/>
      <c r="I124" s="97">
        <f>SUM(I121:I123)</f>
        <v>0</v>
      </c>
      <c r="N124" s="627" t="s">
        <v>8</v>
      </c>
      <c r="O124" s="627"/>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4" t="s">
        <v>432</v>
      </c>
      <c r="B126" s="578"/>
      <c r="C126" s="578"/>
      <c r="D126" s="69"/>
      <c r="E126" s="68" t="s">
        <v>34</v>
      </c>
      <c r="F126" s="597"/>
      <c r="G126" s="597"/>
      <c r="H126" s="597"/>
      <c r="I126" s="154">
        <v>0</v>
      </c>
      <c r="N126" s="600" t="s">
        <v>432</v>
      </c>
      <c r="O126" s="601"/>
      <c r="P126" s="601"/>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90" t="s">
        <v>8</v>
      </c>
      <c r="B128" s="590"/>
      <c r="C128" s="590"/>
      <c r="D128" s="590"/>
      <c r="E128" s="590"/>
      <c r="F128" s="590"/>
      <c r="G128" s="590"/>
      <c r="H128" s="590"/>
      <c r="I128" s="94">
        <f>SUM(I46,I66,I85,I88,I90,I92,I94,I96,I107,I113,I114,I124,I126)</f>
        <v>2246097.2199999997</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434</v>
      </c>
      <c r="B130" s="26"/>
      <c r="C130" s="26"/>
      <c r="D130" s="26"/>
      <c r="E130" s="26"/>
      <c r="F130" s="26"/>
      <c r="G130" s="26"/>
      <c r="H130" s="26"/>
      <c r="I130" s="101">
        <f>I128-I53</f>
        <v>2156049.4</v>
      </c>
      <c r="N130" s="601" t="s">
        <v>434</v>
      </c>
      <c r="O130" s="601"/>
      <c r="P130" s="601"/>
      <c r="Q130" s="601"/>
      <c r="R130" s="601"/>
      <c r="S130" s="601"/>
      <c r="T130" s="601"/>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4" t="s">
        <v>502</v>
      </c>
      <c r="B132" s="578"/>
      <c r="C132" s="578"/>
      <c r="D132" s="578"/>
      <c r="E132" s="578"/>
      <c r="F132" s="578"/>
      <c r="G132" s="578"/>
      <c r="H132" s="81" t="s">
        <v>333</v>
      </c>
      <c r="I132" s="134"/>
      <c r="N132" s="600" t="s">
        <v>502</v>
      </c>
      <c r="O132" s="601"/>
      <c r="P132" s="601"/>
      <c r="Q132" s="601"/>
      <c r="R132" s="601"/>
      <c r="S132" s="601"/>
      <c r="T132" s="601"/>
      <c r="U132" s="138"/>
    </row>
    <row r="133" spans="1:21" x14ac:dyDescent="0.25">
      <c r="A133" s="578" t="s">
        <v>70</v>
      </c>
      <c r="B133" s="578"/>
      <c r="C133" s="578"/>
      <c r="D133" s="578"/>
      <c r="E133" s="578"/>
      <c r="F133" s="578"/>
      <c r="G133" s="578"/>
      <c r="H133" s="70" t="str">
        <f>IF(E30=0,"",IF((E15+E17+SUM(E19:E25))/E30&gt;0.75,1,""))</f>
        <v/>
      </c>
      <c r="I133" s="116">
        <f>U130</f>
        <v>0</v>
      </c>
      <c r="N133" s="601" t="s">
        <v>70</v>
      </c>
      <c r="O133" s="601"/>
      <c r="P133" s="601"/>
      <c r="Q133" s="601"/>
      <c r="R133" s="601"/>
      <c r="S133" s="601"/>
      <c r="T133" s="601"/>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378" t="s">
        <v>240</v>
      </c>
      <c r="H135" s="139">
        <f>IF(H133=1,I133,I130)</f>
        <v>2156049.4</v>
      </c>
      <c r="I135" s="94">
        <f>ROUND(IF(E30=0,0,IF(E30&gt;250,-(((250/E30)*H135)*IF(G135="H",0.02,0.05)),IF(G135="H",-0.02*H135,-0.05*H135))),2)</f>
        <v>-43038.35</v>
      </c>
      <c r="N135" s="626"/>
      <c r="O135" s="626"/>
      <c r="P135" s="626"/>
      <c r="Q135" s="626"/>
      <c r="R135" s="626"/>
      <c r="S135" s="626"/>
      <c r="T135" s="626"/>
      <c r="U135" s="626"/>
    </row>
    <row r="136" spans="1:21" x14ac:dyDescent="0.25">
      <c r="B136" s="69"/>
      <c r="C136" s="69"/>
      <c r="D136" s="69"/>
      <c r="E136" s="69"/>
      <c r="F136" s="69"/>
      <c r="G136" s="69"/>
      <c r="H136" s="65"/>
      <c r="I136" s="101"/>
      <c r="N136" s="624" t="s">
        <v>7</v>
      </c>
      <c r="O136" s="624"/>
      <c r="P136" s="624"/>
      <c r="Q136" s="624"/>
      <c r="R136" s="624"/>
      <c r="S136" s="624"/>
      <c r="T136" s="624"/>
      <c r="U136" s="624"/>
    </row>
    <row r="137" spans="1:21" x14ac:dyDescent="0.25">
      <c r="A137" s="309" t="s">
        <v>74</v>
      </c>
      <c r="B137" s="310"/>
      <c r="C137" s="310"/>
      <c r="D137" s="310"/>
      <c r="E137" s="310"/>
      <c r="F137" s="310"/>
      <c r="G137" s="310"/>
      <c r="H137" s="311"/>
      <c r="I137" s="312">
        <f>I128+I135</f>
        <v>2203058.8699999996</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Payments'!Q92</f>
        <v>0</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2203058.8699999996</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183588.24</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82.64</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372</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373</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374</v>
      </c>
      <c r="B155" s="252"/>
      <c r="C155" s="252"/>
      <c r="D155" s="252"/>
      <c r="E155" s="252"/>
      <c r="F155" s="252"/>
      <c r="G155" s="252"/>
      <c r="H155" s="252"/>
      <c r="I155" s="252"/>
      <c r="N155" s="625"/>
      <c r="O155" s="625"/>
      <c r="P155" s="625"/>
      <c r="Q155" s="625"/>
      <c r="R155" s="625"/>
      <c r="S155" s="625"/>
      <c r="T155" s="625"/>
      <c r="U155" s="625"/>
    </row>
    <row r="156" spans="1:21" s="76" customFormat="1" x14ac:dyDescent="0.2">
      <c r="A156" s="320" t="s">
        <v>375</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376</v>
      </c>
      <c r="B157" s="252"/>
      <c r="C157" s="252"/>
      <c r="D157" s="252"/>
      <c r="E157" s="252"/>
      <c r="F157" s="252"/>
      <c r="G157" s="252"/>
      <c r="H157" s="252"/>
      <c r="I157" s="252"/>
      <c r="N157" s="78"/>
      <c r="O157" s="79"/>
      <c r="P157" s="79"/>
      <c r="Q157" s="79"/>
      <c r="R157" s="79"/>
      <c r="S157" s="79"/>
      <c r="T157" s="79"/>
      <c r="U157" s="79"/>
    </row>
    <row r="158" spans="1:21" s="76" customFormat="1" x14ac:dyDescent="0.2">
      <c r="A158" s="320" t="s">
        <v>377</v>
      </c>
      <c r="B158" s="252"/>
      <c r="C158" s="252"/>
      <c r="D158" s="252"/>
      <c r="E158" s="252"/>
      <c r="F158" s="252"/>
      <c r="G158" s="252"/>
      <c r="H158" s="252"/>
      <c r="I158" s="252"/>
      <c r="N158" s="78"/>
    </row>
    <row r="159" spans="1:21" s="76" customFormat="1" x14ac:dyDescent="0.2">
      <c r="A159" s="320" t="s">
        <v>379</v>
      </c>
      <c r="B159" s="252"/>
      <c r="C159" s="252"/>
      <c r="D159" s="252"/>
      <c r="E159" s="252"/>
      <c r="F159" s="252"/>
      <c r="G159" s="252"/>
      <c r="H159" s="252"/>
      <c r="I159" s="252"/>
      <c r="N159" s="78"/>
    </row>
    <row r="160" spans="1:21" s="76" customFormat="1" x14ac:dyDescent="0.2">
      <c r="A160" s="385" t="s">
        <v>378</v>
      </c>
      <c r="B160" s="252"/>
      <c r="C160" s="252"/>
      <c r="D160" s="252"/>
      <c r="E160" s="252"/>
      <c r="F160" s="252"/>
      <c r="G160" s="252"/>
      <c r="H160" s="252"/>
      <c r="I160" s="252"/>
      <c r="N160" s="78"/>
    </row>
    <row r="161" spans="1:14" s="76" customFormat="1" x14ac:dyDescent="0.2">
      <c r="A161" s="320" t="s">
        <v>380</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383</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385</v>
      </c>
      <c r="B165" s="293"/>
      <c r="C165" s="293"/>
      <c r="D165" s="293"/>
      <c r="E165" s="293"/>
      <c r="F165" s="293"/>
      <c r="G165" s="293"/>
      <c r="H165" s="293"/>
      <c r="I165" s="293"/>
      <c r="N165" s="78"/>
    </row>
    <row r="166" spans="1:14" s="76" customFormat="1" ht="15.75" customHeight="1" x14ac:dyDescent="0.2">
      <c r="A166" s="351" t="s">
        <v>384</v>
      </c>
      <c r="B166" s="293"/>
      <c r="C166" s="293"/>
      <c r="D166" s="293"/>
      <c r="E166" s="293"/>
      <c r="F166" s="293"/>
      <c r="G166" s="293"/>
      <c r="H166" s="293"/>
      <c r="I166" s="293"/>
      <c r="N166" s="78"/>
    </row>
    <row r="167" spans="1:14" s="76" customFormat="1" ht="15.75" customHeight="1" x14ac:dyDescent="0.2">
      <c r="A167" s="320" t="s">
        <v>386</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388</v>
      </c>
      <c r="B169" s="343"/>
      <c r="C169" s="343"/>
      <c r="D169" s="343"/>
      <c r="E169" s="343"/>
      <c r="F169" s="343"/>
      <c r="G169" s="343"/>
      <c r="H169" s="343"/>
      <c r="I169" s="343"/>
      <c r="N169" s="78"/>
    </row>
    <row r="170" spans="1:14" s="76" customFormat="1" ht="15.75" customHeight="1" x14ac:dyDescent="0.2">
      <c r="A170" s="351" t="s">
        <v>387</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389</v>
      </c>
      <c r="B175" s="293"/>
      <c r="C175" s="293"/>
      <c r="D175" s="293"/>
      <c r="E175" s="293"/>
      <c r="F175" s="293"/>
      <c r="G175" s="293"/>
      <c r="H175" s="293"/>
      <c r="I175" s="293"/>
      <c r="J175" s="3"/>
      <c r="K175" s="3"/>
      <c r="L175" s="3"/>
      <c r="M175" s="3"/>
      <c r="N175" s="78"/>
    </row>
    <row r="176" spans="1:14" s="76" customFormat="1" ht="15.75" customHeight="1" x14ac:dyDescent="0.2">
      <c r="A176" s="361" t="s">
        <v>390</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M164"/>
  <sheetViews>
    <sheetView topLeftCell="A108" workbookViewId="0">
      <selection activeCell="I139" sqref="I139"/>
    </sheetView>
  </sheetViews>
  <sheetFormatPr defaultColWidth="9.140625" defaultRowHeight="15.75" x14ac:dyDescent="0.25"/>
  <cols>
    <col min="1" max="1" width="10.28515625" style="69" customWidth="1"/>
    <col min="2" max="2" width="30.28515625" style="3" bestFit="1" customWidth="1"/>
    <col min="3" max="3" width="14" style="3" customWidth="1"/>
    <col min="4" max="4" width="11.5703125" style="3" customWidth="1"/>
    <col min="5" max="5" width="14" style="3" customWidth="1"/>
    <col min="6" max="6" width="18.140625" style="3" customWidth="1"/>
    <col min="7" max="7" width="7.42578125" style="3" customWidth="1"/>
    <col min="8" max="8" width="15.7109375" style="3" customWidth="1"/>
    <col min="9" max="9" width="23.7109375" style="3" customWidth="1"/>
    <col min="10" max="10" width="9.140625" style="3"/>
    <col min="11" max="11" width="14.5703125" style="3" bestFit="1" customWidth="1"/>
    <col min="12" max="12" width="15.7109375" style="3" bestFit="1" customWidth="1"/>
    <col min="13" max="16384" width="9.140625" style="3"/>
  </cols>
  <sheetData>
    <row r="1" spans="1:9" ht="16.5" thickBot="1" x14ac:dyDescent="0.3">
      <c r="A1" s="82"/>
      <c r="B1" s="566" t="s">
        <v>15</v>
      </c>
      <c r="C1" s="567"/>
      <c r="D1" s="567"/>
      <c r="E1" s="567"/>
      <c r="F1" s="567"/>
      <c r="G1" s="567"/>
      <c r="H1" s="567"/>
      <c r="I1" s="567"/>
    </row>
    <row r="2" spans="1:9" ht="21" x14ac:dyDescent="0.35">
      <c r="A2" s="1" t="s">
        <v>254</v>
      </c>
      <c r="B2" s="2"/>
      <c r="C2" s="2"/>
      <c r="D2" s="2"/>
      <c r="E2" s="2"/>
      <c r="F2" s="2"/>
      <c r="G2" s="2"/>
      <c r="H2" s="2"/>
      <c r="I2" s="2"/>
    </row>
    <row r="3" spans="1:9" x14ac:dyDescent="0.25">
      <c r="A3" s="81" t="str">
        <f>'1461'!A3</f>
        <v>Based on the FLDOE 2024-25 Conference Calculation</v>
      </c>
    </row>
    <row r="4" spans="1:9" x14ac:dyDescent="0.25">
      <c r="A4" s="568" t="s">
        <v>0</v>
      </c>
      <c r="B4" s="568"/>
      <c r="C4" s="569" t="s">
        <v>9</v>
      </c>
      <c r="D4" s="569"/>
      <c r="E4" s="569"/>
      <c r="F4" s="544" t="s">
        <v>516</v>
      </c>
      <c r="G4" s="4"/>
      <c r="H4" s="4"/>
      <c r="I4" s="4"/>
    </row>
    <row r="5" spans="1:9" ht="12" customHeight="1" thickBot="1" x14ac:dyDescent="0.3">
      <c r="A5" s="226"/>
      <c r="B5" s="226"/>
      <c r="C5" s="227"/>
      <c r="D5" s="227"/>
      <c r="E5" s="227"/>
      <c r="F5" s="228"/>
      <c r="G5" s="228"/>
      <c r="H5" s="228"/>
      <c r="I5" s="228"/>
    </row>
    <row r="6" spans="1:9" ht="12" customHeight="1" x14ac:dyDescent="0.25">
      <c r="A6" s="121"/>
      <c r="B6" s="121"/>
      <c r="C6" s="235"/>
      <c r="D6" s="235"/>
      <c r="E6" s="235"/>
      <c r="F6" s="4"/>
      <c r="G6" s="4"/>
      <c r="H6" s="4"/>
      <c r="I6" s="4"/>
    </row>
    <row r="7" spans="1:9" x14ac:dyDescent="0.25">
      <c r="A7" s="570" t="str">
        <f>'1461'!A7:I7</f>
        <v>1A.   2023-24 FEFP State and Local Funding</v>
      </c>
      <c r="B7" s="570"/>
      <c r="C7" s="570"/>
      <c r="D7" s="570"/>
      <c r="E7" s="570"/>
      <c r="F7" s="570"/>
      <c r="G7" s="570"/>
      <c r="H7" s="570"/>
      <c r="I7" s="570"/>
    </row>
    <row r="8" spans="1:9" x14ac:dyDescent="0.25">
      <c r="A8" s="84"/>
      <c r="B8" s="85" t="s">
        <v>92</v>
      </c>
      <c r="C8" s="222">
        <f>'1461'!C8</f>
        <v>5330.98</v>
      </c>
      <c r="D8" s="86"/>
      <c r="E8" s="87"/>
      <c r="F8" s="84"/>
      <c r="G8" s="85" t="s">
        <v>91</v>
      </c>
      <c r="H8" s="223">
        <f>'1461'!H8</f>
        <v>1.0407999999999999</v>
      </c>
      <c r="I8" s="75"/>
    </row>
    <row r="9" spans="1:9" x14ac:dyDescent="0.25">
      <c r="A9" s="84"/>
      <c r="B9" s="85"/>
      <c r="C9" s="222"/>
      <c r="D9" s="86"/>
      <c r="E9" s="87"/>
      <c r="F9" s="84"/>
      <c r="G9" s="85" t="s">
        <v>391</v>
      </c>
      <c r="H9" s="223">
        <f>'1461'!H9</f>
        <v>1</v>
      </c>
      <c r="I9" s="75"/>
    </row>
    <row r="10" spans="1:9" x14ac:dyDescent="0.25">
      <c r="A10" s="7"/>
      <c r="B10" s="7"/>
      <c r="C10" s="8"/>
      <c r="D10" s="8"/>
      <c r="E10" s="8"/>
      <c r="F10" s="9"/>
      <c r="G10" s="9"/>
      <c r="H10" s="10"/>
      <c r="I10" s="367" t="str">
        <f>'1461'!I10</f>
        <v>2024-25</v>
      </c>
    </row>
    <row r="11" spans="1:9" x14ac:dyDescent="0.25">
      <c r="A11" s="7"/>
      <c r="B11" s="7"/>
      <c r="C11" s="88" t="str">
        <f>'1461'!C11</f>
        <v>Oct 2023</v>
      </c>
      <c r="D11" s="88" t="str">
        <f>'1461'!D11</f>
        <v>Feb 2024</v>
      </c>
      <c r="E11" s="89" t="s">
        <v>8</v>
      </c>
      <c r="F11" s="571" t="s">
        <v>1</v>
      </c>
      <c r="G11" s="571"/>
      <c r="H11" s="10" t="s">
        <v>60</v>
      </c>
      <c r="I11" s="11" t="s">
        <v>27</v>
      </c>
    </row>
    <row r="12" spans="1:9" x14ac:dyDescent="0.25">
      <c r="A12" s="572" t="s">
        <v>1</v>
      </c>
      <c r="B12" s="572"/>
      <c r="C12" s="435" t="str">
        <f>'1461'!C12</f>
        <v>FTE</v>
      </c>
      <c r="D12" s="435" t="str">
        <f>'1461'!D12</f>
        <v>FTE</v>
      </c>
      <c r="E12" s="90" t="s">
        <v>2</v>
      </c>
      <c r="F12" s="573" t="s">
        <v>63</v>
      </c>
      <c r="G12" s="573"/>
      <c r="H12" s="17" t="s">
        <v>59</v>
      </c>
      <c r="I12" s="388" t="s">
        <v>395</v>
      </c>
    </row>
    <row r="13" spans="1:9" x14ac:dyDescent="0.25">
      <c r="A13" s="574" t="s">
        <v>36</v>
      </c>
      <c r="B13" s="574"/>
      <c r="C13" s="91"/>
      <c r="D13" s="91"/>
      <c r="E13" s="92" t="s">
        <v>37</v>
      </c>
      <c r="F13" s="575" t="s">
        <v>38</v>
      </c>
      <c r="G13" s="575"/>
      <c r="H13" s="20" t="s">
        <v>39</v>
      </c>
      <c r="I13" s="21" t="s">
        <v>40</v>
      </c>
    </row>
    <row r="14" spans="1:9" x14ac:dyDescent="0.25">
      <c r="A14" s="576" t="s">
        <v>20</v>
      </c>
      <c r="B14" s="576"/>
      <c r="C14" s="141">
        <f>SUM('1461:4131'!C14)</f>
        <v>2225.8500000000004</v>
      </c>
      <c r="D14" s="141">
        <f>SUM('1461:4131'!D14)</f>
        <v>2180.5500000000002</v>
      </c>
      <c r="E14" s="187">
        <f>SUM('1461:4131'!E14)</f>
        <v>4406.3999999999996</v>
      </c>
      <c r="F14" s="577">
        <f>'1461'!F14:G14</f>
        <v>1.1180000000000001</v>
      </c>
      <c r="G14" s="577"/>
      <c r="H14" s="145">
        <f>SUM('1461:4131'!H14)</f>
        <v>4926.3550999999998</v>
      </c>
      <c r="I14" s="111">
        <f>SUM('1461:4131'!I14)</f>
        <v>27333802.360000003</v>
      </c>
    </row>
    <row r="15" spans="1:9" x14ac:dyDescent="0.25">
      <c r="A15" s="578" t="s">
        <v>21</v>
      </c>
      <c r="B15" s="578"/>
      <c r="C15" s="143">
        <f>SUM('1461:4131'!C15)</f>
        <v>293.5</v>
      </c>
      <c r="D15" s="143">
        <f>SUM('1461:4131'!D15)</f>
        <v>310.18999999999994</v>
      </c>
      <c r="E15" s="116">
        <f>SUM('1461:4131'!E15)</f>
        <v>603.69000000000005</v>
      </c>
      <c r="F15" s="579">
        <f>'1461'!F15:G15</f>
        <v>1.1180000000000001</v>
      </c>
      <c r="G15" s="579"/>
      <c r="H15" s="80">
        <f>SUM('1461:4131'!H15)</f>
        <v>674.92539999999985</v>
      </c>
      <c r="I15" s="101">
        <f>SUM('1461:4131'!I15)</f>
        <v>3744812.76</v>
      </c>
    </row>
    <row r="16" spans="1:9" x14ac:dyDescent="0.25">
      <c r="A16" s="578" t="s">
        <v>22</v>
      </c>
      <c r="B16" s="578"/>
      <c r="C16" s="143">
        <f>SUM('1461:4131'!C16)</f>
        <v>3475.9599999999991</v>
      </c>
      <c r="D16" s="143">
        <f>SUM('1461:4131'!D16)</f>
        <v>3471.6200000000013</v>
      </c>
      <c r="E16" s="116">
        <f>SUM('1461:4131'!E16)</f>
        <v>6947.579999999999</v>
      </c>
      <c r="F16" s="579">
        <f>'1461'!F16:G16</f>
        <v>1</v>
      </c>
      <c r="G16" s="579"/>
      <c r="H16" s="80">
        <f>SUM('1461:4131'!H16)</f>
        <v>6947.579999999999</v>
      </c>
      <c r="I16" s="101">
        <f>SUM('1461:4131'!I16)</f>
        <v>38548536.350000001</v>
      </c>
    </row>
    <row r="17" spans="1:9" x14ac:dyDescent="0.25">
      <c r="A17" s="578" t="s">
        <v>23</v>
      </c>
      <c r="B17" s="578"/>
      <c r="C17" s="143">
        <f>SUM('1461:4131'!C17)</f>
        <v>622.4</v>
      </c>
      <c r="D17" s="143">
        <f>SUM('1461:4131'!D17)</f>
        <v>615.99000000000012</v>
      </c>
      <c r="E17" s="116">
        <f>SUM('1461:4131'!E17)</f>
        <v>1238.3899999999999</v>
      </c>
      <c r="F17" s="579">
        <f>'1461'!F17:G17</f>
        <v>1</v>
      </c>
      <c r="G17" s="579"/>
      <c r="H17" s="80">
        <f>SUM('1461:4131'!H17)</f>
        <v>1238.3899999999999</v>
      </c>
      <c r="I17" s="101">
        <f>SUM('1461:4131'!I17)</f>
        <v>6871187.0800000001</v>
      </c>
    </row>
    <row r="18" spans="1:9" x14ac:dyDescent="0.25">
      <c r="A18" s="578" t="s">
        <v>24</v>
      </c>
      <c r="B18" s="578"/>
      <c r="C18" s="143">
        <f>SUM('1461:4131'!C18)</f>
        <v>2220.3100000000004</v>
      </c>
      <c r="D18" s="143">
        <f>SUM('1461:4131'!D18)</f>
        <v>2292.79</v>
      </c>
      <c r="E18" s="116">
        <f>SUM('1461:4131'!E18)</f>
        <v>4513.0999999999995</v>
      </c>
      <c r="F18" s="579">
        <f>'1461'!F18:G18</f>
        <v>0.97799999999999998</v>
      </c>
      <c r="G18" s="579"/>
      <c r="H18" s="80">
        <f>SUM('1461:4131'!H18)</f>
        <v>4413.8117999999995</v>
      </c>
      <c r="I18" s="101">
        <f>SUM('1461:4131'!I18)</f>
        <v>24489964.060000002</v>
      </c>
    </row>
    <row r="19" spans="1:9" x14ac:dyDescent="0.25">
      <c r="A19" s="578" t="s">
        <v>25</v>
      </c>
      <c r="B19" s="578"/>
      <c r="C19" s="143">
        <f>SUM('1461:4131'!C19)</f>
        <v>579.28</v>
      </c>
      <c r="D19" s="143">
        <f>SUM('1461:4131'!D19)</f>
        <v>595.6</v>
      </c>
      <c r="E19" s="116">
        <f>SUM('1461:4131'!E19)</f>
        <v>1174.8799999999999</v>
      </c>
      <c r="F19" s="579">
        <f>'1461'!F19:G19</f>
        <v>0.97799999999999998</v>
      </c>
      <c r="G19" s="579"/>
      <c r="H19" s="80">
        <f>SUM('1461:4131'!H19)</f>
        <v>1149.0325999999998</v>
      </c>
      <c r="I19" s="101">
        <f>SUM('1461:4131'!I19)</f>
        <v>6375388.9899999993</v>
      </c>
    </row>
    <row r="20" spans="1:9" x14ac:dyDescent="0.25">
      <c r="A20" s="578" t="s">
        <v>79</v>
      </c>
      <c r="B20" s="578"/>
      <c r="C20" s="143">
        <f>SUM('1461:4131'!C20)</f>
        <v>85</v>
      </c>
      <c r="D20" s="143">
        <f>SUM('1461:4131'!D20)</f>
        <v>85.600000000000009</v>
      </c>
      <c r="E20" s="116">
        <f>SUM('1461:4131'!E20)</f>
        <v>170.60000000000002</v>
      </c>
      <c r="F20" s="579">
        <f>'1461'!F20:G20</f>
        <v>3.6970000000000001</v>
      </c>
      <c r="G20" s="579"/>
      <c r="H20" s="80">
        <f>SUM('1461:4131'!H20)</f>
        <v>630.70820000000003</v>
      </c>
      <c r="I20" s="101">
        <f>SUM('1461:4131'!I20)</f>
        <v>3499474.35</v>
      </c>
    </row>
    <row r="21" spans="1:9" x14ac:dyDescent="0.25">
      <c r="A21" s="578" t="s">
        <v>80</v>
      </c>
      <c r="B21" s="578"/>
      <c r="C21" s="143">
        <f>SUM('1461:4131'!C21)</f>
        <v>70</v>
      </c>
      <c r="D21" s="143">
        <f>SUM('1461:4131'!D21)</f>
        <v>77.25</v>
      </c>
      <c r="E21" s="116">
        <f>SUM('1461:4131'!E21)</f>
        <v>147.25</v>
      </c>
      <c r="F21" s="579">
        <f>'1461'!F21:G21</f>
        <v>3.6970000000000001</v>
      </c>
      <c r="G21" s="579"/>
      <c r="H21" s="80">
        <f>SUM('1461:4131'!H21)</f>
        <v>544.38329999999996</v>
      </c>
      <c r="I21" s="101">
        <f>SUM('1461:4131'!I21)</f>
        <v>3020502.0199999996</v>
      </c>
    </row>
    <row r="22" spans="1:9" x14ac:dyDescent="0.25">
      <c r="A22" s="578" t="s">
        <v>81</v>
      </c>
      <c r="B22" s="578"/>
      <c r="C22" s="143">
        <f>SUM('1461:4131'!C22)</f>
        <v>61.21</v>
      </c>
      <c r="D22" s="143">
        <f>SUM('1461:4131'!D22)</f>
        <v>52.19</v>
      </c>
      <c r="E22" s="116">
        <f>SUM('1461:4131'!E22)</f>
        <v>113.4</v>
      </c>
      <c r="F22" s="579">
        <f>'1461'!F22:G22</f>
        <v>3.6970000000000001</v>
      </c>
      <c r="G22" s="579"/>
      <c r="H22" s="80">
        <f>SUM('1461:4131'!H22)</f>
        <v>419.23980000000006</v>
      </c>
      <c r="I22" s="101">
        <f>SUM('1461:4131'!I22)</f>
        <v>2326145.3200000003</v>
      </c>
    </row>
    <row r="23" spans="1:9" x14ac:dyDescent="0.25">
      <c r="A23" s="578" t="s">
        <v>82</v>
      </c>
      <c r="B23" s="578"/>
      <c r="C23" s="143">
        <f>SUM('1461:4131'!C23)</f>
        <v>24.5</v>
      </c>
      <c r="D23" s="143">
        <f>SUM('1461:4131'!D23)</f>
        <v>39.019999999999996</v>
      </c>
      <c r="E23" s="116">
        <f>SUM('1461:4131'!E23)</f>
        <v>63.519999999999996</v>
      </c>
      <c r="F23" s="579">
        <f>'1461'!F23:G23</f>
        <v>5.992</v>
      </c>
      <c r="G23" s="579"/>
      <c r="H23" s="80">
        <f>SUM('1461:4131'!H23)</f>
        <v>380.61180000000002</v>
      </c>
      <c r="I23" s="101">
        <f>SUM('1461:4131'!I23)</f>
        <v>2111818.4700000002</v>
      </c>
    </row>
    <row r="24" spans="1:9" x14ac:dyDescent="0.25">
      <c r="A24" s="578" t="s">
        <v>83</v>
      </c>
      <c r="B24" s="578"/>
      <c r="C24" s="143">
        <f>SUM('1461:4131'!C24)</f>
        <v>41.5</v>
      </c>
      <c r="D24" s="143">
        <f>SUM('1461:4131'!D24)</f>
        <v>44.04</v>
      </c>
      <c r="E24" s="116">
        <f>SUM('1461:4131'!E24)</f>
        <v>85.539999999999992</v>
      </c>
      <c r="F24" s="579">
        <f>'1461'!F24:G24</f>
        <v>5.992</v>
      </c>
      <c r="G24" s="579"/>
      <c r="H24" s="80">
        <f>SUM('1461:4131'!H24)</f>
        <v>512.5557</v>
      </c>
      <c r="I24" s="101">
        <f>SUM('1461:4131'!I24)</f>
        <v>2843907.09</v>
      </c>
    </row>
    <row r="25" spans="1:9" x14ac:dyDescent="0.25">
      <c r="A25" s="578" t="s">
        <v>84</v>
      </c>
      <c r="B25" s="578"/>
      <c r="C25" s="143">
        <f>SUM('1461:4131'!C25)</f>
        <v>44.98</v>
      </c>
      <c r="D25" s="143">
        <f>SUM('1461:4131'!D25)</f>
        <v>46.48</v>
      </c>
      <c r="E25" s="116">
        <f>SUM('1461:4131'!E25)</f>
        <v>91.46</v>
      </c>
      <c r="F25" s="579">
        <f>'1461'!F25:G25</f>
        <v>5.992</v>
      </c>
      <c r="G25" s="579"/>
      <c r="H25" s="80">
        <f>SUM('1461:4131'!H25)</f>
        <v>548.02829999999994</v>
      </c>
      <c r="I25" s="101">
        <f>SUM('1461:4131'!I25)</f>
        <v>3040726.2399999998</v>
      </c>
    </row>
    <row r="26" spans="1:9" x14ac:dyDescent="0.25">
      <c r="A26" s="578" t="s">
        <v>85</v>
      </c>
      <c r="B26" s="578"/>
      <c r="C26" s="143">
        <f>SUM('1461:4131'!C26)</f>
        <v>524.79000000000008</v>
      </c>
      <c r="D26" s="143">
        <f>SUM('1461:4131'!D26)</f>
        <v>528.30999999999995</v>
      </c>
      <c r="E26" s="116">
        <f>SUM('1461:4131'!E26)</f>
        <v>1053.0999999999999</v>
      </c>
      <c r="F26" s="579">
        <f>'1461'!F26:G26</f>
        <v>1.1919999999999999</v>
      </c>
      <c r="G26" s="579"/>
      <c r="H26" s="80">
        <f>SUM('1461:4131'!H26)</f>
        <v>1255.2951999999998</v>
      </c>
      <c r="I26" s="101">
        <f>SUM('1461:4131'!I26)</f>
        <v>6964985.2800000003</v>
      </c>
    </row>
    <row r="27" spans="1:9" x14ac:dyDescent="0.25">
      <c r="A27" s="578" t="s">
        <v>86</v>
      </c>
      <c r="B27" s="578"/>
      <c r="C27" s="143">
        <f>SUM('1461:4131'!C27)</f>
        <v>329.22</v>
      </c>
      <c r="D27" s="143">
        <f>SUM('1461:4131'!D27)</f>
        <v>317.61000000000013</v>
      </c>
      <c r="E27" s="116">
        <f>SUM('1461:4131'!E27)</f>
        <v>646.83000000000015</v>
      </c>
      <c r="F27" s="579">
        <f>'1461'!F27:G27</f>
        <v>1.1919999999999999</v>
      </c>
      <c r="G27" s="579"/>
      <c r="H27" s="80">
        <f>SUM('1461:4131'!H27)</f>
        <v>771.02139999999997</v>
      </c>
      <c r="I27" s="101">
        <f>SUM('1461:4131'!I27)</f>
        <v>4277999.88</v>
      </c>
    </row>
    <row r="28" spans="1:9" x14ac:dyDescent="0.25">
      <c r="A28" s="578" t="s">
        <v>87</v>
      </c>
      <c r="B28" s="578"/>
      <c r="C28" s="143">
        <f>SUM('1461:4131'!C28)</f>
        <v>141.30000000000001</v>
      </c>
      <c r="D28" s="143">
        <f>SUM('1461:4131'!D28)</f>
        <v>145.22999999999999</v>
      </c>
      <c r="E28" s="116">
        <f>SUM('1461:4131'!E28)</f>
        <v>286.52999999999997</v>
      </c>
      <c r="F28" s="579">
        <f>'1461'!F28:G28</f>
        <v>1.1919999999999999</v>
      </c>
      <c r="G28" s="579"/>
      <c r="H28" s="80">
        <f>SUM('1461:4131'!H28)</f>
        <v>341.54369999999994</v>
      </c>
      <c r="I28" s="101">
        <f>SUM('1461:4131'!I28)</f>
        <v>1895049.7699999998</v>
      </c>
    </row>
    <row r="29" spans="1:9" x14ac:dyDescent="0.25">
      <c r="A29" s="578" t="s">
        <v>88</v>
      </c>
      <c r="B29" s="578"/>
      <c r="C29" s="110">
        <f>SUM('1461:4131'!C29)</f>
        <v>290.58999999999992</v>
      </c>
      <c r="D29" s="110">
        <f>SUM('1461:4131'!D29)</f>
        <v>303.53000000000003</v>
      </c>
      <c r="E29" s="154">
        <f>SUM('1461:4131'!E29)</f>
        <v>594.12</v>
      </c>
      <c r="F29" s="579">
        <f>'1461'!F29:G29</f>
        <v>1.079</v>
      </c>
      <c r="G29" s="579"/>
      <c r="H29" s="93">
        <f>SUM('1461:4131'!H29)</f>
        <v>641.05549999999994</v>
      </c>
      <c r="I29" s="94">
        <f>SUM('1461:4131'!I29)</f>
        <v>3556886.1799999997</v>
      </c>
    </row>
    <row r="30" spans="1:9" x14ac:dyDescent="0.25">
      <c r="A30" s="580" t="s">
        <v>154</v>
      </c>
      <c r="B30" s="581"/>
      <c r="C30" s="111">
        <f>SUM(C14:C29)</f>
        <v>11030.39</v>
      </c>
      <c r="D30" s="111">
        <f>SUM(D14:D29)</f>
        <v>11106.000000000004</v>
      </c>
      <c r="E30" s="187">
        <f>SUM(E14:E29)</f>
        <v>22136.389999999996</v>
      </c>
      <c r="F30" s="582"/>
      <c r="G30" s="582"/>
      <c r="H30" s="145">
        <f>SUM(H14:H29)</f>
        <v>25394.537799999995</v>
      </c>
      <c r="I30" s="111">
        <f>SUM(I14:I29)</f>
        <v>140901186.20000002</v>
      </c>
    </row>
    <row r="31" spans="1:9" x14ac:dyDescent="0.25">
      <c r="A31" s="81" t="s">
        <v>155</v>
      </c>
      <c r="B31" s="156"/>
      <c r="C31" s="143">
        <f>Virtual!E22</f>
        <v>0</v>
      </c>
      <c r="D31" s="143">
        <f>Virtual!E23</f>
        <v>0</v>
      </c>
      <c r="E31" s="116">
        <f>IF(D$30=0,C31*2,C31+D31)</f>
        <v>0</v>
      </c>
      <c r="F31" s="579">
        <v>0.7</v>
      </c>
      <c r="G31" s="579"/>
      <c r="H31" s="80">
        <f t="shared" ref="H31" si="0">ROUND(E31*F31,4)</f>
        <v>0</v>
      </c>
      <c r="I31" s="101">
        <f>Virtual!E28</f>
        <v>0</v>
      </c>
    </row>
    <row r="32" spans="1:9" x14ac:dyDescent="0.25">
      <c r="A32" s="580" t="s">
        <v>156</v>
      </c>
      <c r="B32" s="581"/>
      <c r="C32" s="97">
        <f>SUM(C30:C31)</f>
        <v>11030.39</v>
      </c>
      <c r="D32" s="97">
        <f>SUM(D30:D31)</f>
        <v>11106.000000000004</v>
      </c>
      <c r="E32" s="97">
        <f>SUM(E30:E31)</f>
        <v>22136.389999999996</v>
      </c>
      <c r="F32" s="27"/>
      <c r="G32" s="27"/>
      <c r="H32" s="80"/>
      <c r="I32" s="97">
        <f>SUM(I30:I31)</f>
        <v>140901186.20000002</v>
      </c>
    </row>
    <row r="33" spans="1:9" x14ac:dyDescent="0.25">
      <c r="A33" s="26"/>
      <c r="B33" s="26"/>
      <c r="C33" s="101"/>
      <c r="D33" s="101"/>
      <c r="E33" s="101"/>
      <c r="F33" s="27"/>
      <c r="G33" s="27"/>
      <c r="H33" s="80"/>
      <c r="I33" s="101"/>
    </row>
    <row r="34" spans="1:9" x14ac:dyDescent="0.25">
      <c r="A34" s="146" t="s">
        <v>72</v>
      </c>
      <c r="B34" s="26"/>
      <c r="C34" s="101"/>
      <c r="D34" s="101"/>
      <c r="E34" s="101"/>
      <c r="F34" s="27"/>
      <c r="G34" s="27"/>
      <c r="H34" s="80"/>
      <c r="I34" s="101"/>
    </row>
    <row r="35" spans="1:9" hidden="1" x14ac:dyDescent="0.25">
      <c r="A35" s="146"/>
      <c r="B35" s="491"/>
      <c r="C35" s="101"/>
      <c r="D35" s="101"/>
      <c r="E35" s="101"/>
      <c r="F35" s="486"/>
      <c r="G35" s="486"/>
      <c r="H35" s="80"/>
      <c r="I35" s="101"/>
    </row>
    <row r="36" spans="1:9" hidden="1" x14ac:dyDescent="0.25">
      <c r="A36" s="3"/>
      <c r="B36" s="69"/>
      <c r="C36" s="69"/>
      <c r="D36" s="69"/>
      <c r="E36" s="69"/>
      <c r="F36" s="69"/>
      <c r="G36" s="69"/>
      <c r="H36" s="69"/>
      <c r="I36" s="321" t="s">
        <v>304</v>
      </c>
    </row>
    <row r="37" spans="1:9" hidden="1" x14ac:dyDescent="0.25">
      <c r="A37" s="26"/>
      <c r="B37" s="26"/>
      <c r="C37" s="88" t="str">
        <f>C11</f>
        <v>Oct 2023</v>
      </c>
      <c r="D37" s="88" t="str">
        <f>D11</f>
        <v>Feb 2024</v>
      </c>
      <c r="E37" s="89" t="s">
        <v>8</v>
      </c>
      <c r="F37" s="27"/>
      <c r="G37" s="27"/>
      <c r="H37" s="104"/>
      <c r="I37" s="24" t="s">
        <v>27</v>
      </c>
    </row>
    <row r="38" spans="1:9" hidden="1" x14ac:dyDescent="0.25">
      <c r="A38" s="572" t="s">
        <v>50</v>
      </c>
      <c r="B38" s="572"/>
      <c r="C38" s="324" t="s">
        <v>2</v>
      </c>
      <c r="D38" s="324" t="s">
        <v>2</v>
      </c>
      <c r="E38" s="90" t="s">
        <v>2</v>
      </c>
      <c r="F38" s="105"/>
      <c r="G38" s="105"/>
      <c r="H38" s="105"/>
      <c r="I38" s="31" t="s">
        <v>62</v>
      </c>
    </row>
    <row r="39" spans="1:9" hidden="1" x14ac:dyDescent="0.25">
      <c r="A39" s="576" t="s">
        <v>45</v>
      </c>
      <c r="B39" s="576"/>
      <c r="C39" s="147">
        <f>SUM('1461:4111'!C38)</f>
        <v>0</v>
      </c>
      <c r="D39" s="147">
        <f>SUM('1461:4111'!D38)</f>
        <v>0</v>
      </c>
      <c r="E39" s="187">
        <f>SUM('1461:4111'!E38)</f>
        <v>0</v>
      </c>
      <c r="F39" s="148"/>
      <c r="G39" s="148"/>
      <c r="H39" s="148"/>
      <c r="I39" s="111">
        <f>SUM('1461:4111'!I38)</f>
        <v>0</v>
      </c>
    </row>
    <row r="40" spans="1:9" hidden="1" x14ac:dyDescent="0.25">
      <c r="A40" s="578" t="s">
        <v>46</v>
      </c>
      <c r="B40" s="578"/>
      <c r="C40" s="150">
        <f>SUM('1461:4111'!C39)</f>
        <v>0</v>
      </c>
      <c r="D40" s="150">
        <f>SUM('1461:4111'!D39)</f>
        <v>0</v>
      </c>
      <c r="E40" s="116">
        <f>SUM('1461:4111'!E39)</f>
        <v>0</v>
      </c>
      <c r="F40" s="151"/>
      <c r="G40" s="151"/>
      <c r="H40" s="151"/>
      <c r="I40" s="101">
        <f>SUM('1461:4111'!I39)</f>
        <v>0</v>
      </c>
    </row>
    <row r="41" spans="1:9" hidden="1" x14ac:dyDescent="0.25">
      <c r="A41" s="583" t="s">
        <v>47</v>
      </c>
      <c r="B41" s="583"/>
      <c r="C41" s="150">
        <f>SUM('1461:4111'!C40)</f>
        <v>0</v>
      </c>
      <c r="D41" s="150">
        <f>SUM('1461:4111'!D40)</f>
        <v>0</v>
      </c>
      <c r="E41" s="116">
        <f>SUM('1461:4111'!E40)</f>
        <v>0</v>
      </c>
      <c r="F41" s="151"/>
      <c r="G41" s="151"/>
      <c r="H41" s="151"/>
      <c r="I41" s="101">
        <f>SUM('1461:4111'!I40)</f>
        <v>0</v>
      </c>
    </row>
    <row r="42" spans="1:9" hidden="1" x14ac:dyDescent="0.25">
      <c r="A42" s="578" t="s">
        <v>48</v>
      </c>
      <c r="B42" s="578"/>
      <c r="C42" s="150">
        <f>SUM('1461:4111'!C41)</f>
        <v>0</v>
      </c>
      <c r="D42" s="150">
        <f>SUM('1461:4111'!D41)</f>
        <v>0</v>
      </c>
      <c r="E42" s="116">
        <f>SUM('1461:4111'!E41)</f>
        <v>0</v>
      </c>
      <c r="F42" s="151"/>
      <c r="G42" s="151"/>
      <c r="H42" s="151"/>
      <c r="I42" s="101">
        <f>SUM('1461:4111'!I41)</f>
        <v>0</v>
      </c>
    </row>
    <row r="43" spans="1:9" hidden="1" x14ac:dyDescent="0.25">
      <c r="A43" s="578" t="s">
        <v>49</v>
      </c>
      <c r="B43" s="578"/>
      <c r="C43" s="150">
        <f>SUM('1461:4111'!C42)</f>
        <v>0</v>
      </c>
      <c r="D43" s="150">
        <f>SUM('1461:4111'!D42)</f>
        <v>0</v>
      </c>
      <c r="E43" s="116">
        <f>SUM('1461:4111'!E42)</f>
        <v>0</v>
      </c>
      <c r="F43" s="151"/>
      <c r="G43" s="151"/>
      <c r="H43" s="151"/>
      <c r="I43" s="101">
        <f>SUM('1461:4111'!I42)</f>
        <v>0</v>
      </c>
    </row>
    <row r="44" spans="1:9" hidden="1" x14ac:dyDescent="0.25">
      <c r="A44" s="578" t="s">
        <v>41</v>
      </c>
      <c r="B44" s="578"/>
      <c r="C44" s="149">
        <f>SUM('1461:4111'!C43)</f>
        <v>0</v>
      </c>
      <c r="D44" s="149">
        <f>SUM('1461:4111'!D43)</f>
        <v>0</v>
      </c>
      <c r="E44" s="154">
        <f>SUM('1461:4111'!E43)</f>
        <v>0</v>
      </c>
      <c r="F44" s="151"/>
      <c r="G44" s="151"/>
      <c r="H44" s="151"/>
      <c r="I44" s="94">
        <f>SUM('1461:4111'!I43)</f>
        <v>0</v>
      </c>
    </row>
    <row r="45" spans="1:9" hidden="1" x14ac:dyDescent="0.25">
      <c r="A45" s="3"/>
      <c r="B45" s="52" t="s">
        <v>95</v>
      </c>
      <c r="C45" s="97">
        <f>SUM(C39:C44)</f>
        <v>0</v>
      </c>
      <c r="D45" s="97">
        <f>SUM(D39:D44)</f>
        <v>0</v>
      </c>
      <c r="E45" s="97">
        <f>SUM(E39:E44)</f>
        <v>0</v>
      </c>
      <c r="F45" s="32"/>
      <c r="G45" s="106"/>
      <c r="H45" s="107" t="s">
        <v>97</v>
      </c>
      <c r="I45" s="97">
        <f>SUM(I39:I44)</f>
        <v>0</v>
      </c>
    </row>
    <row r="46" spans="1:9" hidden="1" x14ac:dyDescent="0.25">
      <c r="A46" s="3"/>
      <c r="B46" s="52"/>
      <c r="C46" s="101"/>
      <c r="D46" s="101"/>
      <c r="E46" s="111"/>
      <c r="F46" s="32"/>
      <c r="G46" s="106"/>
      <c r="H46" s="107"/>
      <c r="I46" s="101"/>
    </row>
    <row r="47" spans="1:9" ht="16.5" hidden="1" thickBot="1" x14ac:dyDescent="0.3">
      <c r="A47" s="3"/>
      <c r="B47" s="52" t="s">
        <v>96</v>
      </c>
      <c r="E47" s="152">
        <f>H30+E45</f>
        <v>25394.537799999995</v>
      </c>
      <c r="F47" s="34"/>
      <c r="G47" s="106"/>
      <c r="H47" s="107" t="s">
        <v>98</v>
      </c>
      <c r="I47" s="94">
        <f>SUM(I45,I32)</f>
        <v>140901186.20000002</v>
      </c>
    </row>
    <row r="48" spans="1:9" ht="16.5" hidden="1" thickTop="1" x14ac:dyDescent="0.25">
      <c r="A48" s="26"/>
      <c r="B48" s="26"/>
      <c r="C48" s="26"/>
      <c r="D48" s="26"/>
      <c r="E48" s="26"/>
      <c r="F48" s="34"/>
      <c r="G48" s="27"/>
      <c r="H48" s="27"/>
      <c r="I48" s="101"/>
    </row>
    <row r="49" spans="1:9" x14ac:dyDescent="0.25">
      <c r="A49" s="26"/>
      <c r="B49" s="26"/>
      <c r="C49" s="26"/>
      <c r="D49" s="26"/>
      <c r="E49" s="26"/>
      <c r="F49" s="34"/>
      <c r="G49" s="27"/>
      <c r="H49" s="27"/>
      <c r="I49" s="101"/>
    </row>
    <row r="50" spans="1:9" x14ac:dyDescent="0.25">
      <c r="A50" s="81" t="s">
        <v>396</v>
      </c>
      <c r="B50" s="26"/>
      <c r="C50" s="26"/>
      <c r="D50" s="26"/>
      <c r="E50" s="26"/>
      <c r="F50" s="34"/>
      <c r="G50" s="27"/>
      <c r="H50" s="27"/>
      <c r="I50" s="101"/>
    </row>
    <row r="51" spans="1:9" s="391" customFormat="1" ht="9" customHeight="1" x14ac:dyDescent="0.2">
      <c r="A51" s="390" t="s">
        <v>397</v>
      </c>
      <c r="F51" s="392"/>
      <c r="G51" s="393"/>
      <c r="H51" s="393"/>
      <c r="I51" s="394"/>
    </row>
    <row r="52" spans="1:9" s="391" customFormat="1" ht="11.25" customHeight="1" x14ac:dyDescent="0.2">
      <c r="A52" s="398" t="s">
        <v>398</v>
      </c>
      <c r="F52" s="392"/>
      <c r="G52" s="393"/>
      <c r="H52" s="393"/>
      <c r="I52" s="394"/>
    </row>
    <row r="53" spans="1:9" x14ac:dyDescent="0.25">
      <c r="A53" s="389"/>
      <c r="B53" s="3" t="s">
        <v>399</v>
      </c>
      <c r="C53" s="26"/>
      <c r="D53" s="26"/>
      <c r="E53" s="43" t="s">
        <v>400</v>
      </c>
      <c r="F53" s="400">
        <f>SUM('1461:4131'!F51)</f>
        <v>140901186.20000005</v>
      </c>
      <c r="G53" s="109" t="s">
        <v>6</v>
      </c>
      <c r="H53" s="401">
        <f>'1461'!H51</f>
        <v>5.5899999999999998E-2</v>
      </c>
      <c r="I53" s="101">
        <f>SUM('1461:4131'!I51)</f>
        <v>6415261.54</v>
      </c>
    </row>
    <row r="54" spans="1:9" x14ac:dyDescent="0.25">
      <c r="A54" s="26"/>
      <c r="B54" s="81" t="s">
        <v>401</v>
      </c>
      <c r="C54" s="26"/>
      <c r="D54" s="26"/>
      <c r="E54" s="43" t="s">
        <v>400</v>
      </c>
      <c r="F54" s="400">
        <f>SUM('1461:4131'!F52)</f>
        <v>140901186.20000005</v>
      </c>
      <c r="G54" s="109" t="s">
        <v>6</v>
      </c>
      <c r="H54" s="401">
        <f>'1461'!H52</f>
        <v>1.0699999999999999E-2</v>
      </c>
      <c r="I54" s="94">
        <f>SUM('1461:4131'!I52)</f>
        <v>1971922.1400000004</v>
      </c>
    </row>
    <row r="55" spans="1:9" x14ac:dyDescent="0.25">
      <c r="A55" s="26"/>
      <c r="B55" s="81" t="s">
        <v>402</v>
      </c>
      <c r="C55" s="26"/>
      <c r="D55" s="26"/>
      <c r="E55" s="43"/>
      <c r="F55" s="400"/>
      <c r="G55" s="109"/>
      <c r="H55" s="401"/>
      <c r="I55" s="97">
        <f>SUM(I53:I54)</f>
        <v>8387183.6800000006</v>
      </c>
    </row>
    <row r="56" spans="1:9" x14ac:dyDescent="0.25">
      <c r="A56" s="26"/>
      <c r="B56" s="26"/>
      <c r="C56" s="26"/>
      <c r="D56" s="26"/>
      <c r="E56" s="26"/>
      <c r="F56" s="34"/>
      <c r="G56" s="27"/>
      <c r="H56" s="27"/>
      <c r="I56" s="101"/>
    </row>
    <row r="57" spans="1:9" x14ac:dyDescent="0.25">
      <c r="A57" s="491"/>
      <c r="B57" s="491"/>
      <c r="C57" s="88" t="str">
        <f>C11</f>
        <v>Oct 2023</v>
      </c>
      <c r="D57" s="333" t="str">
        <f t="shared" ref="D57:D58" si="1">D11</f>
        <v>Feb 2024</v>
      </c>
      <c r="E57" s="89" t="s">
        <v>8</v>
      </c>
      <c r="F57" s="46" t="s">
        <v>440</v>
      </c>
      <c r="G57" s="109" t="s">
        <v>441</v>
      </c>
      <c r="H57" s="454" t="s">
        <v>442</v>
      </c>
      <c r="I57" s="101"/>
    </row>
    <row r="58" spans="1:9" x14ac:dyDescent="0.25">
      <c r="A58" s="36" t="s">
        <v>443</v>
      </c>
      <c r="B58" s="36"/>
      <c r="C58" s="324" t="str">
        <f t="shared" ref="C58" si="2">C12</f>
        <v>FTE</v>
      </c>
      <c r="D58" s="324" t="str">
        <f t="shared" si="1"/>
        <v>FTE</v>
      </c>
      <c r="E58" s="90" t="s">
        <v>2</v>
      </c>
      <c r="F58" s="484" t="s">
        <v>444</v>
      </c>
      <c r="G58" s="487" t="s">
        <v>444</v>
      </c>
      <c r="H58" s="455" t="s">
        <v>445</v>
      </c>
      <c r="I58" s="36"/>
    </row>
    <row r="59" spans="1:9" ht="15.75" customHeight="1" x14ac:dyDescent="0.25">
      <c r="A59" s="588" t="s">
        <v>447</v>
      </c>
      <c r="B59" s="588"/>
      <c r="C59" s="143">
        <f>SUM('1461:4131'!C57)</f>
        <v>244.5</v>
      </c>
      <c r="D59" s="143">
        <f>SUM('1461:4131'!D57)</f>
        <v>252.45000000000005</v>
      </c>
      <c r="E59" s="116">
        <f>SUM('1461:4131'!E57)</f>
        <v>496.95</v>
      </c>
      <c r="F59" s="489" t="s">
        <v>439</v>
      </c>
      <c r="G59" s="489">
        <v>251</v>
      </c>
      <c r="H59" s="457">
        <f>'1461'!H57</f>
        <v>1047</v>
      </c>
      <c r="I59" s="101">
        <f>SUM('1461:4131'!I57)</f>
        <v>520306.65</v>
      </c>
    </row>
    <row r="60" spans="1:9" x14ac:dyDescent="0.25">
      <c r="A60" s="589"/>
      <c r="B60" s="589"/>
      <c r="C60" s="143">
        <f>SUM('1461:4131'!C58)</f>
        <v>39.5</v>
      </c>
      <c r="D60" s="143">
        <f>SUM('1461:4131'!D58)</f>
        <v>47.719999999999992</v>
      </c>
      <c r="E60" s="116">
        <f>SUM('1461:4131'!E58)</f>
        <v>87.22</v>
      </c>
      <c r="F60" s="489" t="s">
        <v>439</v>
      </c>
      <c r="G60" s="489">
        <v>252</v>
      </c>
      <c r="H60" s="457">
        <f>'1461'!H58</f>
        <v>3380</v>
      </c>
      <c r="I60" s="101">
        <f>SUM('1461:4131'!I58)</f>
        <v>294803.59999999998</v>
      </c>
    </row>
    <row r="61" spans="1:9" x14ac:dyDescent="0.25">
      <c r="A61" s="589"/>
      <c r="B61" s="589"/>
      <c r="C61" s="143">
        <f>SUM('1461:4131'!C59)</f>
        <v>9.5</v>
      </c>
      <c r="D61" s="143">
        <f>SUM('1461:4131'!D59)</f>
        <v>10.02</v>
      </c>
      <c r="E61" s="116">
        <f>SUM('1461:4131'!E59)</f>
        <v>19.520000000000003</v>
      </c>
      <c r="F61" s="489" t="s">
        <v>439</v>
      </c>
      <c r="G61" s="489">
        <v>253</v>
      </c>
      <c r="H61" s="457">
        <f>'1461'!H59</f>
        <v>6896</v>
      </c>
      <c r="I61" s="101">
        <f>SUM('1461:4131'!I59)</f>
        <v>134609.92000000001</v>
      </c>
    </row>
    <row r="62" spans="1:9" x14ac:dyDescent="0.25">
      <c r="A62" s="589"/>
      <c r="B62" s="589"/>
      <c r="C62" s="143">
        <f>SUM('1461:4131'!C60)</f>
        <v>559.37</v>
      </c>
      <c r="D62" s="143">
        <f>SUM('1461:4131'!D60)</f>
        <v>548.16999999999996</v>
      </c>
      <c r="E62" s="116">
        <f>SUM('1461:4131'!E60)</f>
        <v>1107.54</v>
      </c>
      <c r="F62" s="490" t="s">
        <v>13</v>
      </c>
      <c r="G62" s="489">
        <v>251</v>
      </c>
      <c r="H62" s="457">
        <f>'1461'!H60</f>
        <v>1173</v>
      </c>
      <c r="I62" s="101">
        <f>SUM('1461:4131'!I60)</f>
        <v>1299144.4200000002</v>
      </c>
    </row>
    <row r="63" spans="1:9" x14ac:dyDescent="0.25">
      <c r="A63" s="589"/>
      <c r="B63" s="589"/>
      <c r="C63" s="143">
        <f>SUM('1461:4131'!C61)</f>
        <v>51.03</v>
      </c>
      <c r="D63" s="143">
        <f>SUM('1461:4131'!D61)</f>
        <v>53.44</v>
      </c>
      <c r="E63" s="116">
        <f>SUM('1461:4131'!E61)</f>
        <v>104.47</v>
      </c>
      <c r="F63" s="490" t="s">
        <v>13</v>
      </c>
      <c r="G63" s="489">
        <v>252</v>
      </c>
      <c r="H63" s="457">
        <f>'1461'!H61</f>
        <v>3506</v>
      </c>
      <c r="I63" s="101">
        <f>SUM('1461:4131'!I61)</f>
        <v>366271.82</v>
      </c>
    </row>
    <row r="64" spans="1:9" x14ac:dyDescent="0.25">
      <c r="A64" s="589"/>
      <c r="B64" s="589"/>
      <c r="C64" s="143">
        <f>SUM('1461:4131'!C62)</f>
        <v>12</v>
      </c>
      <c r="D64" s="143">
        <f>SUM('1461:4131'!D62)</f>
        <v>14.38</v>
      </c>
      <c r="E64" s="116">
        <f>SUM('1461:4131'!E62)</f>
        <v>26.38</v>
      </c>
      <c r="F64" s="490" t="s">
        <v>13</v>
      </c>
      <c r="G64" s="489">
        <v>253</v>
      </c>
      <c r="H64" s="457">
        <f>'1461'!H62</f>
        <v>7023</v>
      </c>
      <c r="I64" s="101">
        <f>SUM('1461:4131'!I62)</f>
        <v>185266.74000000002</v>
      </c>
    </row>
    <row r="65" spans="1:9" x14ac:dyDescent="0.25">
      <c r="A65" s="589"/>
      <c r="B65" s="589"/>
      <c r="C65" s="143">
        <f>SUM('1461:4131'!C63)</f>
        <v>403.43</v>
      </c>
      <c r="D65" s="143">
        <f>SUM('1461:4131'!D63)</f>
        <v>414.00000000000006</v>
      </c>
      <c r="E65" s="116">
        <f>SUM('1461:4131'!E63)</f>
        <v>817.42999999999984</v>
      </c>
      <c r="F65" s="490" t="s">
        <v>14</v>
      </c>
      <c r="G65" s="489">
        <v>251</v>
      </c>
      <c r="H65" s="457">
        <f>'1461'!H63</f>
        <v>835</v>
      </c>
      <c r="I65" s="101">
        <f>SUM('1461:4131'!I63)</f>
        <v>682554.05000000016</v>
      </c>
    </row>
    <row r="66" spans="1:9" x14ac:dyDescent="0.25">
      <c r="A66" s="589"/>
      <c r="B66" s="589"/>
      <c r="C66" s="143">
        <f>SUM('1461:4131'!C64)</f>
        <v>63.36</v>
      </c>
      <c r="D66" s="143">
        <f>SUM('1461:4131'!D64)</f>
        <v>63.4</v>
      </c>
      <c r="E66" s="116">
        <f>SUM('1461:4131'!E64)</f>
        <v>126.76000000000002</v>
      </c>
      <c r="F66" s="490" t="s">
        <v>14</v>
      </c>
      <c r="G66" s="489">
        <v>252</v>
      </c>
      <c r="H66" s="457">
        <f>'1461'!H64</f>
        <v>3168</v>
      </c>
      <c r="I66" s="101">
        <f>SUM('1461:4131'!I64)</f>
        <v>401575.68000000005</v>
      </c>
    </row>
    <row r="67" spans="1:9" x14ac:dyDescent="0.25">
      <c r="A67" s="589"/>
      <c r="B67" s="589"/>
      <c r="C67" s="143">
        <f>SUM('1461:4131'!C65)</f>
        <v>112.49000000000001</v>
      </c>
      <c r="D67" s="143">
        <f>SUM('1461:4131'!D65)</f>
        <v>118.2</v>
      </c>
      <c r="E67" s="116">
        <f>SUM('1461:4131'!E65)</f>
        <v>230.69000000000003</v>
      </c>
      <c r="F67" s="490" t="s">
        <v>14</v>
      </c>
      <c r="G67" s="489">
        <v>253</v>
      </c>
      <c r="H67" s="457">
        <f>'1461'!H65</f>
        <v>6685</v>
      </c>
      <c r="I67" s="101">
        <f>SUM('1461:4131'!I65)</f>
        <v>1542162.65</v>
      </c>
    </row>
    <row r="68" spans="1:9" x14ac:dyDescent="0.25">
      <c r="A68" s="485"/>
      <c r="C68" s="97">
        <f>SUM(C59:C67)</f>
        <v>1495.1799999999998</v>
      </c>
      <c r="D68" s="97">
        <f>SUM(D59:D67)</f>
        <v>1521.7800000000002</v>
      </c>
      <c r="E68" s="97">
        <f>SUM(E59:E67)</f>
        <v>3016.9600000000005</v>
      </c>
      <c r="F68" s="590" t="s">
        <v>448</v>
      </c>
      <c r="G68" s="590"/>
      <c r="H68" s="590"/>
      <c r="I68" s="97">
        <f>SUM(I59:I67)</f>
        <v>5426695.5300000012</v>
      </c>
    </row>
    <row r="69" spans="1:9" x14ac:dyDescent="0.25">
      <c r="A69" s="491"/>
      <c r="B69" s="491"/>
      <c r="C69" s="543"/>
      <c r="D69" s="491"/>
      <c r="E69" s="491"/>
      <c r="F69" s="34"/>
      <c r="G69" s="486"/>
      <c r="H69" s="486"/>
      <c r="I69" s="101"/>
    </row>
    <row r="70" spans="1:9" x14ac:dyDescent="0.25">
      <c r="A70" s="488" t="s">
        <v>450</v>
      </c>
    </row>
    <row r="71" spans="1:9" x14ac:dyDescent="0.25">
      <c r="A71" s="584" t="s">
        <v>403</v>
      </c>
      <c r="B71" s="578"/>
      <c r="C71" s="112">
        <f>SUM('1461:4131'!C69)</f>
        <v>22136.39</v>
      </c>
      <c r="D71" s="565" t="s">
        <v>414</v>
      </c>
      <c r="E71" s="565"/>
      <c r="F71" s="565"/>
      <c r="G71" s="565"/>
      <c r="H71" s="288">
        <f>'1461'!H69</f>
        <v>210228.91</v>
      </c>
      <c r="I71" s="113"/>
    </row>
    <row r="72" spans="1:9" x14ac:dyDescent="0.25">
      <c r="B72" s="69"/>
      <c r="G72" s="42" t="s">
        <v>12</v>
      </c>
      <c r="H72" s="114">
        <f>ROUND(C71/H71,6)</f>
        <v>0.105297</v>
      </c>
      <c r="I72" s="115"/>
    </row>
    <row r="73" spans="1:9" x14ac:dyDescent="0.25">
      <c r="A73" s="488" t="s">
        <v>451</v>
      </c>
    </row>
    <row r="74" spans="1:9" x14ac:dyDescent="0.25">
      <c r="A74" s="584" t="s">
        <v>404</v>
      </c>
      <c r="B74" s="578"/>
      <c r="C74" s="413">
        <f>SUM('1461:4131'!C72)</f>
        <v>25394.537800000002</v>
      </c>
      <c r="D74" s="565" t="s">
        <v>415</v>
      </c>
      <c r="E74" s="565"/>
      <c r="F74" s="565"/>
      <c r="G74" s="565"/>
      <c r="H74" s="289">
        <f>'1461'!H72</f>
        <v>234891.44</v>
      </c>
      <c r="I74" s="116"/>
    </row>
    <row r="75" spans="1:9" x14ac:dyDescent="0.25">
      <c r="G75" s="42" t="s">
        <v>12</v>
      </c>
      <c r="H75" s="114">
        <f>ROUND(C74/H74,6)</f>
        <v>0.108112</v>
      </c>
      <c r="I75" s="114"/>
    </row>
    <row r="76" spans="1:9" x14ac:dyDescent="0.25">
      <c r="A76" s="417" t="s">
        <v>452</v>
      </c>
      <c r="B76" s="414"/>
      <c r="C76" s="414"/>
      <c r="D76" s="414"/>
      <c r="E76" s="414"/>
      <c r="F76" s="414"/>
      <c r="G76" s="414"/>
      <c r="H76" s="414"/>
      <c r="I76" s="414"/>
    </row>
    <row r="77" spans="1:9" x14ac:dyDescent="0.25">
      <c r="A77" s="584" t="s">
        <v>405</v>
      </c>
      <c r="B77" s="578"/>
      <c r="C77" s="112">
        <f>SUM('1461:4131'!C75)</f>
        <v>22136.39</v>
      </c>
      <c r="D77" s="557" t="s">
        <v>416</v>
      </c>
      <c r="E77" s="557"/>
      <c r="F77" s="557"/>
      <c r="G77" s="557"/>
      <c r="H77" s="288">
        <f>'1461'!H75</f>
        <v>187665.41</v>
      </c>
      <c r="I77" s="113"/>
    </row>
    <row r="78" spans="1:9" x14ac:dyDescent="0.25">
      <c r="B78" s="69"/>
      <c r="G78" s="42" t="s">
        <v>12</v>
      </c>
      <c r="H78" s="114">
        <f>ROUND(C77/H77,6)</f>
        <v>0.11795700000000001</v>
      </c>
      <c r="I78" s="115"/>
    </row>
    <row r="79" spans="1:9" x14ac:dyDescent="0.25">
      <c r="A79" s="417" t="s">
        <v>453</v>
      </c>
      <c r="B79" s="414"/>
      <c r="C79" s="414"/>
      <c r="D79" s="414"/>
      <c r="E79" s="414"/>
      <c r="F79" s="414"/>
      <c r="G79" s="414"/>
      <c r="H79" s="414"/>
      <c r="I79" s="414"/>
    </row>
    <row r="80" spans="1:9" x14ac:dyDescent="0.25">
      <c r="A80" s="584" t="s">
        <v>405</v>
      </c>
      <c r="B80" s="578"/>
      <c r="C80" s="112">
        <f>SUM('1461:4131'!C78)</f>
        <v>22136.39</v>
      </c>
      <c r="D80" s="585" t="s">
        <v>417</v>
      </c>
      <c r="E80" s="585"/>
      <c r="F80" s="585"/>
      <c r="G80" s="585"/>
      <c r="H80" s="288">
        <f>'1461'!H78</f>
        <v>209892.26</v>
      </c>
      <c r="I80" s="113"/>
    </row>
    <row r="81" spans="1:11" x14ac:dyDescent="0.25">
      <c r="B81" s="69"/>
      <c r="G81" s="42" t="s">
        <v>12</v>
      </c>
      <c r="H81" s="114">
        <f>ROUND(C80/H80,6)</f>
        <v>0.105465</v>
      </c>
      <c r="I81" s="115"/>
    </row>
    <row r="82" spans="1:11" x14ac:dyDescent="0.25">
      <c r="A82" s="417" t="s">
        <v>454</v>
      </c>
      <c r="B82" s="414"/>
      <c r="C82" s="414"/>
      <c r="D82" s="414"/>
      <c r="E82" s="414"/>
      <c r="F82" s="414"/>
      <c r="G82" s="414"/>
      <c r="H82" s="414"/>
      <c r="I82" s="414"/>
    </row>
    <row r="83" spans="1:11" x14ac:dyDescent="0.25">
      <c r="A83" s="584" t="s">
        <v>413</v>
      </c>
      <c r="B83" s="578"/>
      <c r="C83" s="112">
        <f>SUM('1461:4131'!C81)</f>
        <v>22136.39</v>
      </c>
      <c r="D83" s="557" t="s">
        <v>418</v>
      </c>
      <c r="E83" s="557"/>
      <c r="F83" s="557"/>
      <c r="G83" s="557"/>
      <c r="H83" s="288">
        <f>'1461'!H81</f>
        <v>187328.76</v>
      </c>
      <c r="I83" s="113"/>
    </row>
    <row r="84" spans="1:11" x14ac:dyDescent="0.25">
      <c r="B84" s="69"/>
      <c r="G84" s="42" t="s">
        <v>12</v>
      </c>
      <c r="H84" s="114">
        <f>ROUND(C83/H83,6)</f>
        <v>0.118169</v>
      </c>
      <c r="I84" s="115"/>
    </row>
    <row r="85" spans="1:11" x14ac:dyDescent="0.25">
      <c r="A85" s="242"/>
      <c r="G85" s="42"/>
      <c r="H85" s="114"/>
      <c r="I85" s="114"/>
    </row>
    <row r="86" spans="1:11" x14ac:dyDescent="0.25">
      <c r="A86" s="488" t="s">
        <v>455</v>
      </c>
      <c r="D86" s="69"/>
      <c r="E86" s="43" t="s">
        <v>299</v>
      </c>
      <c r="F86" s="290">
        <f>'1461'!F85</f>
        <v>46163704</v>
      </c>
      <c r="G86" s="37" t="s">
        <v>6</v>
      </c>
      <c r="H86" s="422">
        <f>H81</f>
        <v>0.105465</v>
      </c>
      <c r="I86" s="101">
        <f>SUM('1461:4131'!I85)</f>
        <v>4868608.87</v>
      </c>
      <c r="K86" s="237"/>
    </row>
    <row r="87" spans="1:11" x14ac:dyDescent="0.25">
      <c r="A87" s="399"/>
      <c r="D87" s="69"/>
      <c r="E87" s="43"/>
      <c r="F87" s="276"/>
      <c r="G87" s="37"/>
      <c r="H87" s="422"/>
      <c r="I87" s="101"/>
    </row>
    <row r="88" spans="1:11" x14ac:dyDescent="0.25">
      <c r="A88" s="587" t="s">
        <v>71</v>
      </c>
      <c r="B88" s="578"/>
      <c r="C88" s="578"/>
      <c r="D88" s="69"/>
      <c r="E88" s="43"/>
      <c r="F88" s="276"/>
      <c r="G88" s="37"/>
      <c r="H88" s="422"/>
      <c r="I88" s="101"/>
    </row>
    <row r="89" spans="1:11" ht="15.75" customHeight="1" x14ac:dyDescent="0.25">
      <c r="A89" s="587" t="s">
        <v>99</v>
      </c>
      <c r="B89" s="578"/>
      <c r="C89" s="578"/>
      <c r="D89" s="69"/>
      <c r="E89" s="43" t="s">
        <v>3</v>
      </c>
      <c r="F89" s="290">
        <f>'1461'!F88</f>
        <v>0</v>
      </c>
      <c r="G89" s="37" t="s">
        <v>6</v>
      </c>
      <c r="H89" s="422">
        <f>H72</f>
        <v>0.105297</v>
      </c>
      <c r="I89" s="101">
        <f>SUM('1461:4131'!I88)</f>
        <v>0</v>
      </c>
    </row>
    <row r="90" spans="1:11" ht="15.75" customHeight="1" x14ac:dyDescent="0.25">
      <c r="A90" s="431"/>
      <c r="B90" s="69"/>
      <c r="C90" s="69"/>
      <c r="D90" s="69"/>
      <c r="E90" s="43"/>
      <c r="F90" s="276"/>
      <c r="G90" s="37"/>
      <c r="H90" s="422"/>
      <c r="I90" s="101"/>
    </row>
    <row r="91" spans="1:11" x14ac:dyDescent="0.25">
      <c r="A91" s="488" t="s">
        <v>456</v>
      </c>
      <c r="D91" s="69"/>
      <c r="E91" s="43" t="s">
        <v>421</v>
      </c>
      <c r="F91" s="290">
        <f>'1461'!F90</f>
        <v>19042026</v>
      </c>
      <c r="G91" s="37" t="s">
        <v>6</v>
      </c>
      <c r="H91" s="422">
        <f>H84</f>
        <v>0.118169</v>
      </c>
      <c r="I91" s="101">
        <f>SUM('1461:4131'!I90)</f>
        <v>2250177.1800000006</v>
      </c>
    </row>
    <row r="92" spans="1:11" x14ac:dyDescent="0.25">
      <c r="A92" s="399"/>
      <c r="D92" s="69"/>
      <c r="E92" s="43"/>
      <c r="F92" s="276"/>
      <c r="G92" s="37"/>
      <c r="H92" s="422"/>
      <c r="I92" s="101"/>
    </row>
    <row r="93" spans="1:11" x14ac:dyDescent="0.25">
      <c r="A93" s="488" t="s">
        <v>457</v>
      </c>
      <c r="D93" s="69"/>
      <c r="E93" s="43" t="s">
        <v>3</v>
      </c>
      <c r="F93" s="290">
        <f>'1461'!F92</f>
        <v>11441151</v>
      </c>
      <c r="G93" s="37" t="s">
        <v>6</v>
      </c>
      <c r="H93" s="422">
        <f>H78</f>
        <v>0.11795700000000001</v>
      </c>
      <c r="I93" s="101">
        <f>SUM('1461:4131'!I92)</f>
        <v>1349586.7300000002</v>
      </c>
    </row>
    <row r="94" spans="1:11" x14ac:dyDescent="0.25">
      <c r="A94" s="81"/>
      <c r="D94" s="69"/>
      <c r="E94" s="43"/>
      <c r="F94" s="116"/>
      <c r="G94" s="37"/>
      <c r="H94" s="418"/>
      <c r="I94" s="101"/>
    </row>
    <row r="95" spans="1:11" x14ac:dyDescent="0.25">
      <c r="A95" s="584" t="s">
        <v>422</v>
      </c>
      <c r="B95" s="578"/>
      <c r="C95" s="578"/>
      <c r="D95" s="69"/>
      <c r="E95" s="43" t="s">
        <v>4</v>
      </c>
      <c r="F95" s="290">
        <f>'1461'!F94</f>
        <v>247265670</v>
      </c>
      <c r="G95" s="37" t="s">
        <v>6</v>
      </c>
      <c r="H95" s="422">
        <f>H75</f>
        <v>0.108112</v>
      </c>
      <c r="I95" s="101">
        <f>SUM('1461:4131'!I94)</f>
        <v>26732633.379999999</v>
      </c>
    </row>
    <row r="96" spans="1:11" x14ac:dyDescent="0.25">
      <c r="A96" s="81"/>
      <c r="B96" s="69"/>
      <c r="C96" s="69"/>
      <c r="D96" s="69"/>
      <c r="E96" s="43"/>
      <c r="F96" s="276"/>
      <c r="G96" s="37"/>
      <c r="H96" s="422"/>
      <c r="I96" s="101"/>
    </row>
    <row r="97" spans="1:9" x14ac:dyDescent="0.25">
      <c r="A97" s="584" t="s">
        <v>423</v>
      </c>
      <c r="B97" s="578"/>
      <c r="C97" s="578"/>
      <c r="D97" s="69"/>
      <c r="E97" s="43" t="s">
        <v>4</v>
      </c>
      <c r="F97" s="290">
        <f>'1461'!F96</f>
        <v>0</v>
      </c>
      <c r="G97" s="37" t="s">
        <v>6</v>
      </c>
      <c r="H97" s="422">
        <f>H75</f>
        <v>0.108112</v>
      </c>
      <c r="I97" s="101">
        <f>SUM('1461:4131'!I96)</f>
        <v>0</v>
      </c>
    </row>
    <row r="98" spans="1:9" x14ac:dyDescent="0.25">
      <c r="A98" s="81"/>
      <c r="B98" s="69"/>
      <c r="C98" s="69"/>
      <c r="D98" s="69"/>
      <c r="E98" s="43"/>
      <c r="F98" s="276"/>
      <c r="G98" s="37"/>
      <c r="H98" s="422"/>
      <c r="I98" s="101"/>
    </row>
    <row r="99" spans="1:9" x14ac:dyDescent="0.25">
      <c r="A99" s="399" t="s">
        <v>424</v>
      </c>
    </row>
    <row r="100" spans="1:9" x14ac:dyDescent="0.25">
      <c r="B100" s="69"/>
      <c r="C100" s="563" t="s">
        <v>60</v>
      </c>
      <c r="D100" s="563"/>
      <c r="E100" s="69"/>
      <c r="F100" s="39" t="s">
        <v>28</v>
      </c>
      <c r="G100" s="69"/>
      <c r="H100" s="69"/>
      <c r="I100" s="69"/>
    </row>
    <row r="101" spans="1:9" x14ac:dyDescent="0.25">
      <c r="A101" s="3"/>
      <c r="B101" s="118"/>
      <c r="C101" s="564" t="s">
        <v>101</v>
      </c>
      <c r="D101" s="564"/>
      <c r="E101" s="119" t="s">
        <v>425</v>
      </c>
      <c r="F101" s="120" t="s">
        <v>106</v>
      </c>
      <c r="G101" s="121"/>
      <c r="H101" s="121"/>
      <c r="I101" s="121"/>
    </row>
    <row r="102" spans="1:9" x14ac:dyDescent="0.25">
      <c r="A102" s="26"/>
      <c r="B102" s="52" t="s">
        <v>105</v>
      </c>
      <c r="C102" s="596">
        <f>SUM('1461:4131'!C104)</f>
        <v>7867.8957000000009</v>
      </c>
      <c r="D102" s="596">
        <f>SUM('1461:4131'!D101)</f>
        <v>0</v>
      </c>
      <c r="E102" s="46">
        <f>'1461'!E104</f>
        <v>1.0407999999999999</v>
      </c>
      <c r="F102" s="291">
        <f>'1461'!F104</f>
        <v>950.92</v>
      </c>
      <c r="G102" s="39" t="s">
        <v>12</v>
      </c>
      <c r="H102" s="101">
        <f>SUM('1461:4131'!H104)</f>
        <v>7786994.3300000001</v>
      </c>
      <c r="I102" s="104"/>
    </row>
    <row r="103" spans="1:9" x14ac:dyDescent="0.25">
      <c r="A103" s="49"/>
      <c r="B103" s="49" t="s">
        <v>104</v>
      </c>
      <c r="C103" s="596">
        <f>SUM('1461:4131'!C105)</f>
        <v>10013.930399999999</v>
      </c>
      <c r="D103" s="596">
        <f>SUM('1461:4131'!D102)</f>
        <v>0</v>
      </c>
      <c r="E103" s="46">
        <f>'1461'!E105</f>
        <v>1.0407999999999999</v>
      </c>
      <c r="F103" s="291">
        <f>'1461'!F105</f>
        <v>907.92</v>
      </c>
      <c r="G103" s="39" t="s">
        <v>12</v>
      </c>
      <c r="H103" s="101">
        <f>SUM('1461:4131'!H105)</f>
        <v>9462795.0699999984</v>
      </c>
    </row>
    <row r="104" spans="1:9" x14ac:dyDescent="0.25">
      <c r="A104" s="52"/>
      <c r="B104" s="52" t="s">
        <v>103</v>
      </c>
      <c r="C104" s="596">
        <f>SUM('1461:4131'!C106)</f>
        <v>7512.7117000000017</v>
      </c>
      <c r="D104" s="596">
        <f>SUM('1461:4131'!D103)</f>
        <v>0</v>
      </c>
      <c r="E104" s="46">
        <f>'1461'!E106</f>
        <v>1.0407999999999999</v>
      </c>
      <c r="F104" s="291">
        <f>'1461'!F106</f>
        <v>910.12</v>
      </c>
      <c r="G104" s="39" t="s">
        <v>12</v>
      </c>
      <c r="H104" s="94">
        <f>SUM('1461:4131'!H106)</f>
        <v>7116437.9000000004</v>
      </c>
    </row>
    <row r="105" spans="1:9" ht="16.5" thickBot="1" x14ac:dyDescent="0.3">
      <c r="A105" s="55"/>
      <c r="B105" s="122" t="s">
        <v>102</v>
      </c>
      <c r="C105" s="586">
        <f>SUM(C102:C104)</f>
        <v>25394.537799999998</v>
      </c>
      <c r="D105" s="586"/>
      <c r="E105" s="123"/>
      <c r="F105" s="123"/>
      <c r="G105" s="123"/>
      <c r="H105" s="124" t="s">
        <v>100</v>
      </c>
      <c r="I105" s="101">
        <f>SUM('1461:4131'!I107)</f>
        <v>24366227.300000001</v>
      </c>
    </row>
    <row r="106" spans="1:9" ht="16.5" thickTop="1" x14ac:dyDescent="0.25">
      <c r="A106" s="555" t="s">
        <v>65</v>
      </c>
      <c r="B106" s="555"/>
      <c r="C106" s="555"/>
      <c r="D106" s="555"/>
      <c r="E106" s="555"/>
      <c r="F106" s="555"/>
      <c r="G106" s="555"/>
      <c r="H106" s="555"/>
      <c r="I106" s="555"/>
    </row>
    <row r="107" spans="1:9" x14ac:dyDescent="0.25">
      <c r="A107" s="432"/>
      <c r="B107" s="432"/>
      <c r="C107" s="432"/>
      <c r="D107" s="432"/>
      <c r="E107" s="432"/>
      <c r="F107" s="432"/>
      <c r="G107" s="432"/>
      <c r="H107" s="432"/>
      <c r="I107" s="432"/>
    </row>
    <row r="108" spans="1:9" x14ac:dyDescent="0.25">
      <c r="A108" s="81" t="s">
        <v>429</v>
      </c>
      <c r="C108" s="43"/>
      <c r="D108" s="69"/>
      <c r="E108" s="43" t="s">
        <v>32</v>
      </c>
      <c r="F108" s="556"/>
      <c r="G108" s="556"/>
      <c r="H108" s="556"/>
      <c r="I108" s="556"/>
    </row>
    <row r="109" spans="1:9" x14ac:dyDescent="0.25">
      <c r="B109" s="69"/>
      <c r="C109" s="88" t="s">
        <v>360</v>
      </c>
      <c r="D109" s="333" t="s">
        <v>361</v>
      </c>
      <c r="E109" s="89" t="s">
        <v>107</v>
      </c>
      <c r="F109" s="43"/>
      <c r="G109" s="43"/>
      <c r="H109" s="43"/>
      <c r="I109" s="43"/>
    </row>
    <row r="110" spans="1:9" x14ac:dyDescent="0.25">
      <c r="B110" s="69"/>
      <c r="C110" s="324" t="s">
        <v>2</v>
      </c>
      <c r="D110" s="324" t="s">
        <v>2</v>
      </c>
      <c r="E110" s="90" t="s">
        <v>2</v>
      </c>
      <c r="F110" s="43"/>
      <c r="G110" s="43"/>
      <c r="H110" s="43"/>
      <c r="I110" s="43"/>
    </row>
    <row r="111" spans="1:9" x14ac:dyDescent="0.25">
      <c r="A111" s="557" t="s">
        <v>381</v>
      </c>
      <c r="B111" s="558"/>
      <c r="C111" s="143">
        <f>SUM('1461:4131'!C113)</f>
        <v>4411</v>
      </c>
      <c r="D111" s="143">
        <f>SUM('1461:4131'!D113)</f>
        <v>4433</v>
      </c>
      <c r="E111" s="116">
        <f>SUM('1461:4131'!E113)</f>
        <v>4422</v>
      </c>
      <c r="F111" s="126" t="s">
        <v>30</v>
      </c>
      <c r="G111" s="292">
        <f>'1461'!G113</f>
        <v>576</v>
      </c>
      <c r="I111" s="101">
        <f>SUM('1461:4131'!I113)</f>
        <v>2547072</v>
      </c>
    </row>
    <row r="112" spans="1:9" x14ac:dyDescent="0.25">
      <c r="A112" s="557" t="s">
        <v>382</v>
      </c>
      <c r="B112" s="558"/>
      <c r="C112" s="143">
        <f>SUM('1461:4131'!C114)</f>
        <v>4</v>
      </c>
      <c r="D112" s="143">
        <f>SUM('1461:4131'!D114)</f>
        <v>1</v>
      </c>
      <c r="E112" s="116">
        <f>SUM('1461:4131'!E114)</f>
        <v>2.5</v>
      </c>
      <c r="F112" s="126" t="s">
        <v>30</v>
      </c>
      <c r="G112" s="292">
        <f>'1461'!G114</f>
        <v>1823</v>
      </c>
      <c r="I112" s="101">
        <f>SUM('1461:4131'!I114)</f>
        <v>4557.5</v>
      </c>
    </row>
    <row r="113" spans="1:10" hidden="1" x14ac:dyDescent="0.25">
      <c r="A113" s="127"/>
      <c r="B113" s="127"/>
      <c r="C113" s="65"/>
      <c r="D113" s="65"/>
      <c r="E113" s="65"/>
      <c r="F113" s="65"/>
      <c r="G113" s="128"/>
      <c r="H113" s="129"/>
      <c r="I113" s="101"/>
    </row>
    <row r="114" spans="1:10" x14ac:dyDescent="0.25">
      <c r="A114" s="127"/>
      <c r="B114" s="127"/>
      <c r="C114" s="65"/>
      <c r="D114" s="65"/>
      <c r="E114" s="65"/>
      <c r="F114" s="65"/>
      <c r="G114" s="128"/>
      <c r="H114" s="129"/>
      <c r="I114" s="101"/>
    </row>
    <row r="115" spans="1:10" ht="15.75" hidden="1" customHeight="1" x14ac:dyDescent="0.25">
      <c r="A115" s="584" t="s">
        <v>430</v>
      </c>
      <c r="B115" s="578"/>
      <c r="C115" s="578"/>
      <c r="D115" s="69"/>
      <c r="E115" s="39" t="s">
        <v>300</v>
      </c>
      <c r="F115" s="563"/>
      <c r="G115" s="563"/>
      <c r="H115" s="563"/>
      <c r="I115" s="563"/>
    </row>
    <row r="116" spans="1:10" hidden="1" x14ac:dyDescent="0.25">
      <c r="B116" s="69"/>
      <c r="C116" s="564" t="s">
        <v>66</v>
      </c>
      <c r="D116" s="564"/>
      <c r="E116" s="564"/>
      <c r="F116" s="37"/>
      <c r="G116" s="37"/>
      <c r="H116" s="39" t="s">
        <v>108</v>
      </c>
      <c r="I116" s="37"/>
    </row>
    <row r="117" spans="1:10" hidden="1" x14ac:dyDescent="0.25">
      <c r="B117" s="69"/>
      <c r="C117" s="88" t="str">
        <f>C109</f>
        <v>Oct 2022</v>
      </c>
      <c r="D117" s="88" t="str">
        <f>D109</f>
        <v>Feb 2023</v>
      </c>
      <c r="E117" s="137" t="s">
        <v>8</v>
      </c>
      <c r="F117" s="565" t="s">
        <v>109</v>
      </c>
      <c r="G117" s="563"/>
      <c r="H117" s="37" t="s">
        <v>29</v>
      </c>
      <c r="I117" s="37"/>
    </row>
    <row r="118" spans="1:10" ht="15.75" hidden="1" customHeight="1" x14ac:dyDescent="0.25">
      <c r="A118" s="564" t="s">
        <v>69</v>
      </c>
      <c r="B118" s="564"/>
      <c r="C118" s="90" t="s">
        <v>2</v>
      </c>
      <c r="D118" s="90" t="s">
        <v>2</v>
      </c>
      <c r="E118" s="59" t="s">
        <v>2</v>
      </c>
      <c r="F118" s="564" t="s">
        <v>28</v>
      </c>
      <c r="G118" s="564"/>
      <c r="H118" s="59" t="s">
        <v>28</v>
      </c>
      <c r="I118" s="59" t="s">
        <v>8</v>
      </c>
    </row>
    <row r="119" spans="1:10" ht="15.75" hidden="1" customHeight="1" x14ac:dyDescent="0.25">
      <c r="A119" s="561" t="s">
        <v>56</v>
      </c>
      <c r="B119" s="561"/>
      <c r="C119" s="141">
        <v>0</v>
      </c>
      <c r="D119" s="141">
        <v>0</v>
      </c>
      <c r="E119" s="187">
        <f>IF(D31=0,C119*2,C119+D119)</f>
        <v>0</v>
      </c>
      <c r="F119" s="562">
        <v>0</v>
      </c>
      <c r="G119" s="562"/>
      <c r="H119" s="224">
        <f>IF(C119=0,0,125)</f>
        <v>0</v>
      </c>
      <c r="I119" s="101">
        <f>ROUND((H119+F119)*E119,2)</f>
        <v>0</v>
      </c>
    </row>
    <row r="120" spans="1:10" ht="15.75" hidden="1" customHeight="1" x14ac:dyDescent="0.25">
      <c r="A120" s="581" t="s">
        <v>57</v>
      </c>
      <c r="B120" s="581"/>
      <c r="C120" s="143">
        <v>0</v>
      </c>
      <c r="D120" s="143">
        <v>0</v>
      </c>
      <c r="E120" s="116">
        <f>IF(D32=0,C120*2,C120+D120)</f>
        <v>0</v>
      </c>
      <c r="F120" s="598">
        <f>ROUND(F119/2,2)</f>
        <v>0</v>
      </c>
      <c r="G120" s="598"/>
      <c r="H120" s="224">
        <f>IF(C120=0,0,62.5)</f>
        <v>0</v>
      </c>
      <c r="I120" s="101">
        <f>ROUND((H120+F120)*E120,2)</f>
        <v>0</v>
      </c>
    </row>
    <row r="121" spans="1:10" ht="15.75" hidden="1" customHeight="1" x14ac:dyDescent="0.25">
      <c r="A121" s="581" t="s">
        <v>58</v>
      </c>
      <c r="B121" s="581"/>
      <c r="C121" s="143">
        <v>0</v>
      </c>
      <c r="D121" s="143">
        <v>0</v>
      </c>
      <c r="E121" s="116">
        <f>IF(D33=0,C121*2,C121+D121)</f>
        <v>0</v>
      </c>
      <c r="F121" s="599"/>
      <c r="G121" s="599"/>
      <c r="H121" s="225">
        <f>IF(H119&gt;0,436,0)</f>
        <v>0</v>
      </c>
      <c r="I121" s="101">
        <f>ROUND(H121*E121,2)</f>
        <v>0</v>
      </c>
    </row>
    <row r="122" spans="1:10" ht="16.5" hidden="1" customHeight="1" x14ac:dyDescent="0.25">
      <c r="A122" s="563" t="s">
        <v>8</v>
      </c>
      <c r="B122" s="563"/>
      <c r="C122" s="65"/>
      <c r="D122" s="65"/>
      <c r="E122" s="65"/>
      <c r="F122" s="65"/>
      <c r="G122" s="65"/>
      <c r="H122" s="65"/>
      <c r="I122" s="97">
        <f>SUM(I119:I121)</f>
        <v>0</v>
      </c>
    </row>
    <row r="123" spans="1:10" hidden="1" x14ac:dyDescent="0.25">
      <c r="A123" s="37"/>
      <c r="B123" s="37"/>
      <c r="C123" s="65"/>
      <c r="D123" s="65"/>
      <c r="E123" s="65"/>
      <c r="F123" s="65"/>
      <c r="G123" s="65"/>
      <c r="H123" s="65"/>
      <c r="I123" s="101"/>
    </row>
    <row r="124" spans="1:10" x14ac:dyDescent="0.25">
      <c r="A124" s="584" t="s">
        <v>432</v>
      </c>
      <c r="B124" s="578"/>
      <c r="C124" s="578"/>
      <c r="D124" s="69"/>
      <c r="E124" s="68" t="s">
        <v>34</v>
      </c>
      <c r="F124" s="597"/>
      <c r="G124" s="597"/>
      <c r="H124" s="597"/>
      <c r="I124" s="154">
        <f>SUM('1461:4131'!I126)</f>
        <v>0</v>
      </c>
    </row>
    <row r="125" spans="1:10" x14ac:dyDescent="0.25">
      <c r="B125" s="69"/>
      <c r="C125" s="69"/>
      <c r="D125" s="69"/>
      <c r="E125" s="68"/>
      <c r="F125" s="68"/>
      <c r="G125" s="68"/>
      <c r="H125" s="68"/>
      <c r="I125" s="116"/>
    </row>
    <row r="126" spans="1:10" x14ac:dyDescent="0.25">
      <c r="A126" s="590" t="s">
        <v>8</v>
      </c>
      <c r="B126" s="590"/>
      <c r="C126" s="590"/>
      <c r="D126" s="590"/>
      <c r="E126" s="590"/>
      <c r="F126" s="590"/>
      <c r="G126" s="590"/>
      <c r="H126" s="590"/>
      <c r="I126" s="94">
        <f>SUM('1461:4131'!I128)</f>
        <v>208446744.68999997</v>
      </c>
      <c r="J126" s="251"/>
    </row>
    <row r="127" spans="1:10" x14ac:dyDescent="0.25">
      <c r="A127" s="26"/>
      <c r="B127" s="26"/>
      <c r="C127" s="26"/>
      <c r="D127" s="26"/>
      <c r="E127" s="26"/>
      <c r="F127" s="26"/>
      <c r="G127" s="26"/>
      <c r="H127" s="26"/>
      <c r="I127" s="101"/>
      <c r="J127" s="251"/>
    </row>
    <row r="128" spans="1:10" x14ac:dyDescent="0.25">
      <c r="A128" s="81" t="s">
        <v>464</v>
      </c>
      <c r="B128" s="26"/>
      <c r="C128" s="26"/>
      <c r="D128" s="26"/>
      <c r="E128" s="26"/>
      <c r="F128" s="26"/>
      <c r="G128" s="26"/>
      <c r="H128" s="26"/>
      <c r="I128" s="101">
        <f>SUM('1461:4131'!I130)</f>
        <v>200059561.01000008</v>
      </c>
      <c r="J128" s="251"/>
    </row>
    <row r="129" spans="1:13" x14ac:dyDescent="0.25">
      <c r="A129" s="26"/>
      <c r="B129" s="26"/>
      <c r="C129" s="26"/>
      <c r="D129" s="26"/>
      <c r="E129" s="26"/>
      <c r="F129" s="26"/>
      <c r="G129" s="26"/>
      <c r="H129" s="26"/>
      <c r="I129" s="101"/>
      <c r="J129" s="251"/>
    </row>
    <row r="130" spans="1:13" x14ac:dyDescent="0.25">
      <c r="A130" s="584" t="s">
        <v>465</v>
      </c>
      <c r="B130" s="578"/>
      <c r="C130" s="578"/>
      <c r="D130" s="578"/>
      <c r="E130" s="578"/>
      <c r="F130" s="578"/>
      <c r="G130" s="578"/>
      <c r="H130" s="81" t="s">
        <v>333</v>
      </c>
      <c r="I130" s="134"/>
      <c r="J130" s="251"/>
    </row>
    <row r="131" spans="1:13" x14ac:dyDescent="0.25">
      <c r="A131" s="578" t="s">
        <v>70</v>
      </c>
      <c r="B131" s="578"/>
      <c r="C131" s="578"/>
      <c r="D131" s="578"/>
      <c r="E131" s="578"/>
      <c r="F131" s="578"/>
      <c r="G131" s="578"/>
      <c r="H131" s="70"/>
      <c r="I131" s="116">
        <f>SUM('1461:4131'!I130)</f>
        <v>200059561.01000008</v>
      </c>
    </row>
    <row r="132" spans="1:13" x14ac:dyDescent="0.25">
      <c r="B132" s="69"/>
      <c r="C132" s="69"/>
      <c r="D132" s="69"/>
      <c r="E132" s="69"/>
      <c r="F132" s="69"/>
      <c r="G132" s="69"/>
      <c r="H132" s="65"/>
      <c r="I132" s="101"/>
    </row>
    <row r="133" spans="1:13" x14ac:dyDescent="0.25">
      <c r="A133" s="3" t="s">
        <v>73</v>
      </c>
      <c r="B133" s="69"/>
      <c r="C133" s="69"/>
      <c r="D133" s="69"/>
      <c r="E133" s="69"/>
      <c r="F133" s="69"/>
      <c r="G133" s="258"/>
      <c r="H133" s="139">
        <f>IF(H131=1,I131,I128)</f>
        <v>200059561.01000008</v>
      </c>
      <c r="I133" s="94">
        <f>SUM('1461:4131'!I135)</f>
        <v>-3240798.6100000003</v>
      </c>
    </row>
    <row r="134" spans="1:13" x14ac:dyDescent="0.25">
      <c r="B134" s="69"/>
      <c r="C134" s="69"/>
      <c r="D134" s="69"/>
      <c r="E134" s="69"/>
      <c r="F134" s="69"/>
      <c r="G134" s="69"/>
      <c r="H134" s="65"/>
      <c r="I134" s="101"/>
    </row>
    <row r="135" spans="1:13" x14ac:dyDescent="0.25">
      <c r="A135" s="309" t="s">
        <v>74</v>
      </c>
      <c r="B135" s="310"/>
      <c r="C135" s="310"/>
      <c r="D135" s="310"/>
      <c r="E135" s="310"/>
      <c r="F135" s="310"/>
      <c r="G135" s="310"/>
      <c r="H135" s="311"/>
      <c r="I135" s="312">
        <f>SUM('1461:4131'!I137)</f>
        <v>205205946.07999995</v>
      </c>
    </row>
    <row r="136" spans="1:13" x14ac:dyDescent="0.25">
      <c r="B136" s="69"/>
      <c r="C136" s="69"/>
      <c r="D136" s="69"/>
      <c r="E136" s="69"/>
      <c r="F136" s="69"/>
      <c r="G136" s="69"/>
      <c r="H136" s="65"/>
      <c r="I136" s="101"/>
    </row>
    <row r="137" spans="1:13" x14ac:dyDescent="0.25">
      <c r="A137" s="3" t="s">
        <v>75</v>
      </c>
      <c r="B137" s="69"/>
      <c r="C137" s="140"/>
      <c r="D137" s="69"/>
      <c r="F137" s="69"/>
      <c r="G137" s="69"/>
      <c r="H137" s="65"/>
      <c r="I137" s="272">
        <f>SUM('1461:4131'!I139)</f>
        <v>0</v>
      </c>
    </row>
    <row r="138" spans="1:13" x14ac:dyDescent="0.25">
      <c r="B138" s="69"/>
      <c r="C138" s="69"/>
      <c r="D138" s="69"/>
      <c r="E138" s="69"/>
      <c r="F138" s="69"/>
      <c r="G138" s="69"/>
      <c r="H138" s="65"/>
      <c r="I138" s="101"/>
    </row>
    <row r="139" spans="1:13" x14ac:dyDescent="0.25">
      <c r="A139" s="3" t="s">
        <v>247</v>
      </c>
      <c r="B139" s="69"/>
      <c r="C139" s="69"/>
      <c r="D139" s="69"/>
      <c r="E139" s="69"/>
      <c r="F139" s="69"/>
      <c r="G139" s="69"/>
      <c r="H139" s="65"/>
      <c r="I139" s="101">
        <f>SUM('1461:4131'!I141)</f>
        <v>205205946.07999995</v>
      </c>
    </row>
    <row r="140" spans="1:13" x14ac:dyDescent="0.25">
      <c r="A140" s="3"/>
      <c r="B140" s="69"/>
      <c r="C140" s="69"/>
      <c r="D140" s="69"/>
      <c r="E140" s="69"/>
      <c r="F140" s="69"/>
      <c r="G140" s="69"/>
      <c r="H140" s="65"/>
      <c r="I140" s="101"/>
    </row>
    <row r="141" spans="1:13" x14ac:dyDescent="0.25">
      <c r="A141" s="3" t="s">
        <v>248</v>
      </c>
      <c r="B141" s="69"/>
      <c r="C141" s="69"/>
      <c r="D141" s="69"/>
      <c r="E141" s="69"/>
      <c r="F141" s="69"/>
      <c r="G141" s="69"/>
      <c r="H141" s="65"/>
      <c r="I141" s="273">
        <f>'1461'!I143</f>
        <v>12</v>
      </c>
    </row>
    <row r="142" spans="1:13" x14ac:dyDescent="0.25">
      <c r="B142" s="69"/>
      <c r="C142" s="69"/>
      <c r="D142" s="69"/>
      <c r="E142" s="69"/>
      <c r="F142" s="69"/>
      <c r="G142" s="69"/>
      <c r="H142" s="65"/>
      <c r="I142" s="101"/>
    </row>
    <row r="143" spans="1:13" ht="16.5" thickBot="1" x14ac:dyDescent="0.3">
      <c r="A143" s="3" t="s">
        <v>76</v>
      </c>
      <c r="B143" s="69"/>
      <c r="C143" s="69"/>
      <c r="D143" s="69"/>
      <c r="E143" s="69"/>
      <c r="F143" s="69"/>
      <c r="G143" s="69"/>
      <c r="H143" s="65"/>
      <c r="I143" s="155">
        <f>SUM('1461:4131'!I145)</f>
        <v>17016582.480000004</v>
      </c>
      <c r="K143" s="418"/>
      <c r="L143" s="418"/>
      <c r="M143" s="418"/>
    </row>
    <row r="144" spans="1:13" s="135" customFormat="1" ht="16.5" thickTop="1" x14ac:dyDescent="0.25">
      <c r="A144" s="425"/>
      <c r="B144" s="425"/>
      <c r="C144" s="426"/>
      <c r="D144" s="427"/>
      <c r="E144" s="428"/>
      <c r="F144" s="223"/>
      <c r="G144" s="429"/>
      <c r="H144" s="430"/>
      <c r="I144" s="424"/>
    </row>
    <row r="145" spans="1:8" x14ac:dyDescent="0.25">
      <c r="A145" s="559" t="s">
        <v>7</v>
      </c>
      <c r="B145" s="559"/>
      <c r="C145" s="559"/>
      <c r="D145" s="559"/>
      <c r="E145" s="559"/>
      <c r="F145" s="559"/>
      <c r="G145" s="559"/>
      <c r="H145" s="559"/>
    </row>
    <row r="146" spans="1:8" ht="26.25" customHeight="1" x14ac:dyDescent="0.25">
      <c r="A146" s="560" t="s">
        <v>466</v>
      </c>
      <c r="B146" s="560"/>
      <c r="C146" s="560"/>
      <c r="D146" s="560"/>
      <c r="E146" s="560"/>
      <c r="F146" s="560"/>
      <c r="G146" s="560"/>
      <c r="H146" s="560"/>
    </row>
    <row r="147" spans="1:8" x14ac:dyDescent="0.25">
      <c r="A147" s="559" t="s">
        <v>373</v>
      </c>
      <c r="B147" s="559"/>
      <c r="C147" s="559"/>
      <c r="D147" s="559"/>
      <c r="E147" s="559"/>
      <c r="F147" s="559"/>
      <c r="G147" s="559"/>
      <c r="H147" s="559"/>
    </row>
    <row r="148" spans="1:8" x14ac:dyDescent="0.25">
      <c r="A148" s="559" t="s">
        <v>374</v>
      </c>
      <c r="B148" s="559"/>
      <c r="C148" s="559"/>
      <c r="D148" s="559"/>
      <c r="E148" s="559"/>
      <c r="F148" s="559"/>
      <c r="G148" s="559"/>
      <c r="H148" s="559"/>
    </row>
    <row r="149" spans="1:8" x14ac:dyDescent="0.25">
      <c r="A149" s="559" t="s">
        <v>375</v>
      </c>
      <c r="B149" s="559"/>
      <c r="C149" s="559"/>
      <c r="D149" s="559"/>
      <c r="E149" s="559"/>
      <c r="F149" s="559"/>
      <c r="G149" s="559"/>
      <c r="H149" s="559"/>
    </row>
    <row r="150" spans="1:8" x14ac:dyDescent="0.25">
      <c r="A150" s="559" t="s">
        <v>376</v>
      </c>
      <c r="B150" s="559"/>
      <c r="C150" s="559"/>
      <c r="D150" s="559"/>
      <c r="E150" s="559"/>
      <c r="F150" s="559"/>
      <c r="G150" s="559"/>
      <c r="H150" s="559"/>
    </row>
    <row r="151" spans="1:8" x14ac:dyDescent="0.25">
      <c r="A151" s="559" t="s">
        <v>377</v>
      </c>
      <c r="B151" s="559"/>
      <c r="C151" s="559"/>
      <c r="D151" s="559"/>
      <c r="E151" s="559"/>
      <c r="F151" s="559"/>
      <c r="G151" s="559"/>
      <c r="H151" s="559"/>
    </row>
    <row r="152" spans="1:8" ht="26.25" customHeight="1" x14ac:dyDescent="0.25">
      <c r="A152" s="592" t="s">
        <v>467</v>
      </c>
      <c r="B152" s="592"/>
      <c r="C152" s="592"/>
      <c r="D152" s="592"/>
      <c r="E152" s="592"/>
      <c r="F152" s="592"/>
      <c r="G152" s="592"/>
      <c r="H152" s="592"/>
    </row>
    <row r="153" spans="1:8" ht="26.25" customHeight="1" x14ac:dyDescent="0.25">
      <c r="A153" s="560" t="s">
        <v>468</v>
      </c>
      <c r="B153" s="560"/>
      <c r="C153" s="560"/>
      <c r="D153" s="560"/>
      <c r="E153" s="560"/>
      <c r="F153" s="560"/>
      <c r="G153" s="560"/>
      <c r="H153" s="560"/>
    </row>
    <row r="154" spans="1:8" ht="26.25" customHeight="1" x14ac:dyDescent="0.25">
      <c r="A154" s="560" t="s">
        <v>383</v>
      </c>
      <c r="B154" s="560"/>
      <c r="C154" s="560"/>
      <c r="D154" s="560"/>
      <c r="E154" s="560"/>
      <c r="F154" s="560"/>
      <c r="G154" s="560"/>
      <c r="H154" s="560"/>
    </row>
    <row r="155" spans="1:8" ht="16.5" customHeight="1" x14ac:dyDescent="0.25">
      <c r="A155" s="492" t="s">
        <v>288</v>
      </c>
      <c r="B155" s="492"/>
      <c r="C155" s="492"/>
      <c r="D155" s="492"/>
      <c r="E155" s="492"/>
      <c r="F155" s="492"/>
      <c r="G155" s="492"/>
      <c r="H155" s="492"/>
    </row>
    <row r="156" spans="1:8" ht="26.25" customHeight="1" x14ac:dyDescent="0.25">
      <c r="A156" s="592" t="s">
        <v>469</v>
      </c>
      <c r="B156" s="592"/>
      <c r="C156" s="592"/>
      <c r="D156" s="592"/>
      <c r="E156" s="592"/>
      <c r="F156" s="592"/>
      <c r="G156" s="592"/>
      <c r="H156" s="592"/>
    </row>
    <row r="157" spans="1:8" ht="26.25" customHeight="1" x14ac:dyDescent="0.25">
      <c r="A157" s="592" t="s">
        <v>470</v>
      </c>
      <c r="B157" s="592"/>
      <c r="C157" s="592"/>
      <c r="D157" s="592"/>
      <c r="E157" s="592"/>
      <c r="F157" s="592"/>
      <c r="G157" s="592"/>
      <c r="H157" s="592"/>
    </row>
    <row r="158" spans="1:8" x14ac:dyDescent="0.25">
      <c r="A158" s="591" t="s">
        <v>67</v>
      </c>
      <c r="B158" s="592"/>
      <c r="C158" s="592"/>
      <c r="D158" s="592"/>
      <c r="E158" s="592"/>
      <c r="F158" s="592"/>
      <c r="G158" s="592"/>
      <c r="H158" s="592"/>
    </row>
    <row r="159" spans="1:8" ht="54.75" customHeight="1" x14ac:dyDescent="0.25">
      <c r="A159" s="593" t="s">
        <v>471</v>
      </c>
      <c r="B159" s="593"/>
      <c r="C159" s="593"/>
      <c r="D159" s="593"/>
      <c r="E159" s="593"/>
      <c r="F159" s="593"/>
      <c r="G159" s="593"/>
      <c r="H159" s="593"/>
    </row>
    <row r="160" spans="1:8" ht="42.75" customHeight="1" x14ac:dyDescent="0.25">
      <c r="A160" s="593" t="s">
        <v>472</v>
      </c>
      <c r="B160" s="593"/>
      <c r="C160" s="593"/>
      <c r="D160" s="593"/>
      <c r="E160" s="593"/>
      <c r="F160" s="593"/>
      <c r="G160" s="593"/>
      <c r="H160" s="593"/>
    </row>
    <row r="161" spans="1:8" x14ac:dyDescent="0.25">
      <c r="A161" s="493"/>
      <c r="B161" s="493"/>
      <c r="C161" s="493"/>
      <c r="D161" s="493"/>
      <c r="E161" s="493"/>
      <c r="F161" s="493"/>
      <c r="G161" s="493"/>
      <c r="H161" s="493"/>
    </row>
    <row r="162" spans="1:8" x14ac:dyDescent="0.25">
      <c r="A162" s="594" t="s">
        <v>68</v>
      </c>
      <c r="B162" s="594"/>
      <c r="C162" s="594"/>
      <c r="D162" s="594"/>
      <c r="E162" s="594"/>
      <c r="F162" s="594"/>
      <c r="G162" s="594"/>
      <c r="H162" s="594"/>
    </row>
    <row r="163" spans="1:8" ht="26.25" customHeight="1" x14ac:dyDescent="0.25">
      <c r="A163" s="593" t="s">
        <v>473</v>
      </c>
      <c r="B163" s="593"/>
      <c r="C163" s="593"/>
      <c r="D163" s="593"/>
      <c r="E163" s="593"/>
      <c r="F163" s="593"/>
      <c r="G163" s="593"/>
      <c r="H163" s="593"/>
    </row>
    <row r="164" spans="1:8" x14ac:dyDescent="0.25">
      <c r="A164" s="595" t="s">
        <v>11</v>
      </c>
      <c r="B164" s="595"/>
      <c r="C164" s="595"/>
      <c r="D164" s="595"/>
      <c r="E164" s="595"/>
      <c r="F164" s="595"/>
      <c r="G164" s="595"/>
      <c r="H164" s="595"/>
    </row>
  </sheetData>
  <mergeCells count="114">
    <mergeCell ref="A158:H158"/>
    <mergeCell ref="A159:H159"/>
    <mergeCell ref="A160:H160"/>
    <mergeCell ref="A162:H162"/>
    <mergeCell ref="A163:H163"/>
    <mergeCell ref="A164:H164"/>
    <mergeCell ref="C102:D102"/>
    <mergeCell ref="C103:D103"/>
    <mergeCell ref="C104:D104"/>
    <mergeCell ref="A124:C124"/>
    <mergeCell ref="A152:H152"/>
    <mergeCell ref="A153:H153"/>
    <mergeCell ref="A154:H154"/>
    <mergeCell ref="A156:H156"/>
    <mergeCell ref="A157:H157"/>
    <mergeCell ref="F124:H124"/>
    <mergeCell ref="A126:H126"/>
    <mergeCell ref="A130:G130"/>
    <mergeCell ref="A131:G131"/>
    <mergeCell ref="A120:B120"/>
    <mergeCell ref="F120:G120"/>
    <mergeCell ref="A121:B121"/>
    <mergeCell ref="F121:G121"/>
    <mergeCell ref="A115:C115"/>
    <mergeCell ref="A41:B41"/>
    <mergeCell ref="A42:B42"/>
    <mergeCell ref="A43:B43"/>
    <mergeCell ref="A44:B44"/>
    <mergeCell ref="A80:B80"/>
    <mergeCell ref="D80:G80"/>
    <mergeCell ref="C100:D100"/>
    <mergeCell ref="C101:D101"/>
    <mergeCell ref="C105:D105"/>
    <mergeCell ref="A77:B77"/>
    <mergeCell ref="D77:G77"/>
    <mergeCell ref="A71:B71"/>
    <mergeCell ref="D71:G71"/>
    <mergeCell ref="A74:B74"/>
    <mergeCell ref="D74:G74"/>
    <mergeCell ref="A88:C88"/>
    <mergeCell ref="A89:C89"/>
    <mergeCell ref="A95:C95"/>
    <mergeCell ref="A97:C97"/>
    <mergeCell ref="A83:B83"/>
    <mergeCell ref="D83:G83"/>
    <mergeCell ref="A59:B67"/>
    <mergeCell ref="F68:H68"/>
    <mergeCell ref="A29:B29"/>
    <mergeCell ref="F29:G29"/>
    <mergeCell ref="A30:B30"/>
    <mergeCell ref="F30:G30"/>
    <mergeCell ref="F31:G31"/>
    <mergeCell ref="A32:B32"/>
    <mergeCell ref="A38:B38"/>
    <mergeCell ref="A39:B39"/>
    <mergeCell ref="A40:B40"/>
    <mergeCell ref="A24:B24"/>
    <mergeCell ref="F24:G24"/>
    <mergeCell ref="A25:B25"/>
    <mergeCell ref="F25:G25"/>
    <mergeCell ref="A26:B26"/>
    <mergeCell ref="F26:G26"/>
    <mergeCell ref="A27:B27"/>
    <mergeCell ref="F27:G27"/>
    <mergeCell ref="A28:B28"/>
    <mergeCell ref="F28:G28"/>
    <mergeCell ref="A19:B19"/>
    <mergeCell ref="F19:G19"/>
    <mergeCell ref="A20:B20"/>
    <mergeCell ref="F20:G20"/>
    <mergeCell ref="A21:B21"/>
    <mergeCell ref="F21:G21"/>
    <mergeCell ref="A22:B22"/>
    <mergeCell ref="F22:G22"/>
    <mergeCell ref="A23:B23"/>
    <mergeCell ref="F23:G23"/>
    <mergeCell ref="A14:B14"/>
    <mergeCell ref="F14:G14"/>
    <mergeCell ref="A15:B15"/>
    <mergeCell ref="F15:G15"/>
    <mergeCell ref="A16:B16"/>
    <mergeCell ref="F16:G16"/>
    <mergeCell ref="A17:B17"/>
    <mergeCell ref="F17:G17"/>
    <mergeCell ref="A18:B18"/>
    <mergeCell ref="F18:G18"/>
    <mergeCell ref="B1:I1"/>
    <mergeCell ref="A4:B4"/>
    <mergeCell ref="C4:E4"/>
    <mergeCell ref="A7:I7"/>
    <mergeCell ref="F11:G11"/>
    <mergeCell ref="A12:B12"/>
    <mergeCell ref="F12:G12"/>
    <mergeCell ref="A13:B13"/>
    <mergeCell ref="F13:G13"/>
    <mergeCell ref="A151:H151"/>
    <mergeCell ref="A112:B112"/>
    <mergeCell ref="A119:B119"/>
    <mergeCell ref="F119:G119"/>
    <mergeCell ref="A122:B122"/>
    <mergeCell ref="F115:I115"/>
    <mergeCell ref="C116:E116"/>
    <mergeCell ref="F117:G117"/>
    <mergeCell ref="A118:B118"/>
    <mergeCell ref="F118:G118"/>
    <mergeCell ref="A106:I106"/>
    <mergeCell ref="F108:I108"/>
    <mergeCell ref="A111:B111"/>
    <mergeCell ref="A145:H145"/>
    <mergeCell ref="A146:H146"/>
    <mergeCell ref="A147:H147"/>
    <mergeCell ref="A148:H148"/>
    <mergeCell ref="A149:H149"/>
    <mergeCell ref="A150:H150"/>
  </mergeCells>
  <pageMargins left="0.75" right="0.1" top="0.5" bottom="0.5" header="0" footer="0.1"/>
  <pageSetup scale="65" fitToHeight="2" orientation="portrait" r:id="rId1"/>
  <headerFooter alignWithMargins="0">
    <oddFooter>&amp;L&amp;8&amp;Z&amp;F&amp;R&amp;8&amp;P / &amp;N</oddFooter>
  </headerFooter>
  <rowBreaks count="1" manualBreakCount="1">
    <brk id="84" max="16383" man="1"/>
  </rowBreaks>
  <colBreaks count="1" manualBreakCount="1">
    <brk id="9" max="1048575"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6">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6" t="s">
        <v>15</v>
      </c>
      <c r="C1" s="567"/>
      <c r="D1" s="567"/>
      <c r="E1" s="567"/>
      <c r="F1" s="567"/>
      <c r="G1" s="567"/>
      <c r="H1" s="567"/>
      <c r="I1" s="567"/>
      <c r="J1" s="135"/>
      <c r="K1" s="135"/>
      <c r="L1" s="135"/>
      <c r="N1" s="82">
        <f>A1</f>
        <v>0</v>
      </c>
      <c r="O1" s="658" t="s">
        <v>15</v>
      </c>
      <c r="P1" s="659"/>
      <c r="Q1" s="659"/>
      <c r="R1" s="659"/>
      <c r="S1" s="659"/>
      <c r="T1" s="659"/>
      <c r="U1" s="659"/>
    </row>
    <row r="2" spans="1:21" ht="21" x14ac:dyDescent="0.35">
      <c r="A2" s="1" t="s">
        <v>128</v>
      </c>
      <c r="B2" s="2"/>
      <c r="C2" s="2"/>
      <c r="D2" s="2"/>
      <c r="E2" s="2"/>
      <c r="F2" s="2"/>
      <c r="G2" s="2"/>
      <c r="H2" s="2"/>
      <c r="I2" s="2"/>
      <c r="N2" s="660" t="s">
        <v>18</v>
      </c>
      <c r="O2" s="660"/>
      <c r="P2" s="660"/>
      <c r="Q2" s="660"/>
      <c r="R2" s="660"/>
      <c r="S2" s="660"/>
      <c r="T2" s="660"/>
      <c r="U2" s="660"/>
    </row>
    <row r="3" spans="1:21" x14ac:dyDescent="0.25">
      <c r="A3" s="81" t="str">
        <f>'1461'!A3</f>
        <v>Based on the FLDOE 2024-25 Conference Calculation</v>
      </c>
      <c r="N3" s="627" t="str">
        <f>A3</f>
        <v>Based on the FLDOE 2024-25 Conference Calculation</v>
      </c>
      <c r="O3" s="627"/>
      <c r="P3" s="627"/>
      <c r="Q3" s="627"/>
      <c r="R3" s="627"/>
      <c r="S3" s="627"/>
      <c r="T3" s="627"/>
      <c r="U3" s="627"/>
    </row>
    <row r="4" spans="1:21" x14ac:dyDescent="0.25">
      <c r="A4" s="568" t="s">
        <v>0</v>
      </c>
      <c r="B4" s="568"/>
      <c r="C4" s="569" t="s">
        <v>9</v>
      </c>
      <c r="D4" s="569"/>
      <c r="E4" s="569"/>
      <c r="F4" s="4" t="str">
        <f>'1461'!F4</f>
        <v>July 2024</v>
      </c>
      <c r="G4" s="4"/>
      <c r="H4" s="4"/>
      <c r="I4" s="4"/>
      <c r="N4" s="661" t="s">
        <v>0</v>
      </c>
      <c r="O4" s="661"/>
      <c r="P4" s="662" t="str">
        <f>C4</f>
        <v>Palm Beach</v>
      </c>
      <c r="Q4" s="662"/>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70" t="s">
        <v>433</v>
      </c>
      <c r="B7" s="664"/>
      <c r="C7" s="664"/>
      <c r="D7" s="664"/>
      <c r="E7" s="664"/>
      <c r="F7" s="664"/>
      <c r="G7" s="664"/>
      <c r="H7" s="664"/>
      <c r="I7" s="664"/>
      <c r="N7" s="661" t="str">
        <f>A7</f>
        <v>1A.   2023-24 FEFP State and Local Funding</v>
      </c>
      <c r="O7" s="661"/>
      <c r="P7" s="661"/>
      <c r="Q7" s="661"/>
      <c r="R7" s="661"/>
      <c r="S7" s="661"/>
      <c r="T7" s="661"/>
      <c r="U7" s="661"/>
    </row>
    <row r="8" spans="1:21" x14ac:dyDescent="0.25">
      <c r="A8" s="84"/>
      <c r="B8" s="85" t="s">
        <v>92</v>
      </c>
      <c r="C8" s="299">
        <f>'1461'!C8</f>
        <v>5330.98</v>
      </c>
      <c r="D8" s="86"/>
      <c r="E8" s="87"/>
      <c r="F8" s="84"/>
      <c r="G8" s="85" t="s">
        <v>393</v>
      </c>
      <c r="H8" s="287">
        <f>'1461'!H8</f>
        <v>1.0407999999999999</v>
      </c>
      <c r="I8" s="75"/>
      <c r="N8" s="665" t="s">
        <v>10</v>
      </c>
      <c r="O8" s="665"/>
      <c r="P8" s="666">
        <f>C8</f>
        <v>5330.98</v>
      </c>
      <c r="Q8" s="666"/>
      <c r="R8" s="648" t="s">
        <v>394</v>
      </c>
      <c r="S8" s="649"/>
      <c r="T8" s="650">
        <f>H8</f>
        <v>1.0407999999999999</v>
      </c>
      <c r="U8" s="650"/>
    </row>
    <row r="9" spans="1:21" x14ac:dyDescent="0.25">
      <c r="A9" s="84"/>
      <c r="B9" s="85"/>
      <c r="C9" s="222"/>
      <c r="D9" s="86"/>
      <c r="E9" s="87"/>
      <c r="F9" s="84"/>
      <c r="G9" s="85" t="s">
        <v>391</v>
      </c>
      <c r="H9" s="287">
        <f>'1461'!H9</f>
        <v>1</v>
      </c>
      <c r="I9" s="75"/>
      <c r="N9" s="12"/>
      <c r="O9" s="12"/>
      <c r="P9" s="13"/>
      <c r="Q9" s="13"/>
      <c r="R9" s="387" t="s">
        <v>392</v>
      </c>
      <c r="S9" s="384"/>
      <c r="T9" s="650">
        <f>H9</f>
        <v>1</v>
      </c>
      <c r="U9" s="650"/>
    </row>
    <row r="10" spans="1:21" x14ac:dyDescent="0.25">
      <c r="A10" s="7"/>
      <c r="B10" s="42" t="s">
        <v>310</v>
      </c>
      <c r="C10" s="334" t="str">
        <f>'1461'!C10</f>
        <v xml:space="preserve"> </v>
      </c>
      <c r="D10" s="334" t="str">
        <f>'1461'!D10</f>
        <v xml:space="preserve"> </v>
      </c>
      <c r="E10" s="8"/>
      <c r="F10" s="9"/>
      <c r="G10" s="9"/>
      <c r="H10" s="10"/>
      <c r="I10" s="305" t="str">
        <f>'1461'!I10</f>
        <v>2024-25</v>
      </c>
      <c r="N10" s="12"/>
      <c r="O10" s="12"/>
      <c r="P10" s="13"/>
      <c r="Q10" s="13"/>
      <c r="R10" s="14"/>
      <c r="S10" s="14"/>
      <c r="T10" s="15"/>
      <c r="U10" s="366" t="str">
        <f>I10</f>
        <v>2024-25</v>
      </c>
    </row>
    <row r="11" spans="1:21" x14ac:dyDescent="0.25">
      <c r="A11" s="7"/>
      <c r="B11" s="7"/>
      <c r="C11" s="88" t="str">
        <f>'1461'!C11</f>
        <v>Oct 2023</v>
      </c>
      <c r="D11" s="333" t="str">
        <f>'1461'!D11</f>
        <v>Feb 2024</v>
      </c>
      <c r="E11" s="89" t="s">
        <v>8</v>
      </c>
      <c r="F11" s="571" t="s">
        <v>1</v>
      </c>
      <c r="G11" s="571"/>
      <c r="H11" s="10" t="s">
        <v>60</v>
      </c>
      <c r="I11" s="11" t="s">
        <v>27</v>
      </c>
      <c r="N11" s="12"/>
      <c r="O11" s="12"/>
      <c r="P11" s="13"/>
      <c r="Q11" s="13"/>
      <c r="R11" s="651" t="s">
        <v>1</v>
      </c>
      <c r="S11" s="651"/>
      <c r="T11" s="15" t="s">
        <v>60</v>
      </c>
      <c r="U11" s="16" t="s">
        <v>27</v>
      </c>
    </row>
    <row r="12" spans="1:21" ht="15.75" customHeight="1" x14ac:dyDescent="0.25">
      <c r="A12" s="572" t="s">
        <v>1</v>
      </c>
      <c r="B12" s="572"/>
      <c r="C12" s="324" t="str">
        <f>'1461'!C12</f>
        <v>FTE</v>
      </c>
      <c r="D12" s="324" t="str">
        <f>'1461'!D12</f>
        <v>FTE</v>
      </c>
      <c r="E12" s="324" t="s">
        <v>2</v>
      </c>
      <c r="F12" s="573" t="s">
        <v>63</v>
      </c>
      <c r="G12" s="573"/>
      <c r="H12" s="17" t="s">
        <v>59</v>
      </c>
      <c r="I12" s="388" t="s">
        <v>395</v>
      </c>
      <c r="N12" s="639" t="s">
        <v>1</v>
      </c>
      <c r="O12" s="639"/>
      <c r="P12" s="652" t="s">
        <v>19</v>
      </c>
      <c r="Q12" s="652"/>
      <c r="R12" s="653" t="s">
        <v>63</v>
      </c>
      <c r="S12" s="653"/>
      <c r="T12" s="18" t="s">
        <v>59</v>
      </c>
      <c r="U12" s="19" t="str">
        <f>I12</f>
        <v>(WFTE x BSA x CWF x SDF)</v>
      </c>
    </row>
    <row r="13" spans="1:21" x14ac:dyDescent="0.25">
      <c r="A13" s="574" t="s">
        <v>36</v>
      </c>
      <c r="B13" s="574"/>
      <c r="C13" s="91"/>
      <c r="D13" s="91"/>
      <c r="E13" s="92" t="s">
        <v>37</v>
      </c>
      <c r="F13" s="575" t="s">
        <v>38</v>
      </c>
      <c r="G13" s="575"/>
      <c r="H13" s="20" t="s">
        <v>39</v>
      </c>
      <c r="I13" s="21" t="s">
        <v>40</v>
      </c>
      <c r="N13" s="654" t="s">
        <v>36</v>
      </c>
      <c r="O13" s="654"/>
      <c r="P13" s="655" t="s">
        <v>37</v>
      </c>
      <c r="Q13" s="655"/>
      <c r="R13" s="656" t="s">
        <v>38</v>
      </c>
      <c r="S13" s="656"/>
      <c r="T13" s="22" t="s">
        <v>39</v>
      </c>
      <c r="U13" s="23" t="s">
        <v>40</v>
      </c>
    </row>
    <row r="14" spans="1:21" x14ac:dyDescent="0.25">
      <c r="A14" s="576" t="s">
        <v>20</v>
      </c>
      <c r="B14" s="576"/>
      <c r="C14" s="143">
        <v>54.37</v>
      </c>
      <c r="D14" s="141">
        <v>52.92</v>
      </c>
      <c r="E14" s="187">
        <f>IF(D$30=0,C14*2,C14+D14)</f>
        <v>107.28999999999999</v>
      </c>
      <c r="F14" s="667">
        <f>'1461'!F14:G14</f>
        <v>1.1180000000000001</v>
      </c>
      <c r="G14" s="667"/>
      <c r="H14" s="145">
        <f>ROUND(E14*F14,4)</f>
        <v>119.9502</v>
      </c>
      <c r="I14" s="111">
        <f>ROUND(ROUND(ROUND(H14*$C$8,4)*($H$8),2)*(MAX($H$9,1)),2)</f>
        <v>665541.76</v>
      </c>
      <c r="N14" s="641" t="s">
        <v>20</v>
      </c>
      <c r="O14" s="641"/>
      <c r="P14" s="642">
        <f t="shared" ref="P14:P29" si="0">IF($H$133=1,E14,0)</f>
        <v>0</v>
      </c>
      <c r="Q14" s="642"/>
      <c r="R14" s="657">
        <v>1</v>
      </c>
      <c r="S14" s="657"/>
      <c r="T14" s="95">
        <f>ROUND(P14*R14,4)</f>
        <v>0</v>
      </c>
      <c r="U14" s="473">
        <f>ROUND(ROUND(ROUND(T14*$C$8,4)*($H$8),2)*(MAX($H$9,1)),2)</f>
        <v>0</v>
      </c>
    </row>
    <row r="15" spans="1:21" x14ac:dyDescent="0.25">
      <c r="A15" s="578" t="s">
        <v>21</v>
      </c>
      <c r="B15" s="578"/>
      <c r="C15" s="143">
        <v>5.5</v>
      </c>
      <c r="D15" s="143">
        <v>6.5</v>
      </c>
      <c r="E15" s="116">
        <f t="shared" ref="E15:E29" si="1">IF(D$30=0,C15*2,C15+D15)</f>
        <v>12</v>
      </c>
      <c r="F15" s="663">
        <f>'1461'!F15:G15</f>
        <v>1.1180000000000001</v>
      </c>
      <c r="G15" s="663"/>
      <c r="H15" s="80">
        <f t="shared" ref="H15:H29" si="2">ROUND(E15*F15,4)</f>
        <v>13.416</v>
      </c>
      <c r="I15" s="101">
        <f t="shared" ref="I15:I29" si="3">ROUND(ROUND(ROUND(H15*$C$8,4)*($H$8),2)*(MAX($H$9,1)),2)</f>
        <v>74438.460000000006</v>
      </c>
      <c r="J15" s="65" t="str">
        <f>IF(ROUND(E15,2)=ROUND(SUM(E57:E59),2)," ","CHECK PK-3 LINES BELOW")</f>
        <v xml:space="preserve"> </v>
      </c>
      <c r="N15" s="601" t="s">
        <v>21</v>
      </c>
      <c r="O15" s="601"/>
      <c r="P15" s="642">
        <f t="shared" si="0"/>
        <v>0</v>
      </c>
      <c r="Q15" s="642"/>
      <c r="R15" s="647">
        <v>1</v>
      </c>
      <c r="S15" s="647"/>
      <c r="T15" s="95">
        <f t="shared" ref="T15:T29" si="4">ROUND(P15*R15,4)</f>
        <v>0</v>
      </c>
      <c r="U15" s="473">
        <f t="shared" ref="U15:U29" si="5">ROUND(ROUND(ROUND(T15*$C$8,4)*($H$8),2)*(MAX($H$9,1)),2)</f>
        <v>0</v>
      </c>
    </row>
    <row r="16" spans="1:21" x14ac:dyDescent="0.25">
      <c r="A16" s="578" t="s">
        <v>22</v>
      </c>
      <c r="B16" s="578"/>
      <c r="C16" s="143">
        <v>84.26</v>
      </c>
      <c r="D16" s="143">
        <v>84.89</v>
      </c>
      <c r="E16" s="116">
        <f t="shared" si="1"/>
        <v>169.15</v>
      </c>
      <c r="F16" s="663">
        <f>'1461'!F16:G16</f>
        <v>1</v>
      </c>
      <c r="G16" s="663"/>
      <c r="H16" s="80">
        <f t="shared" si="2"/>
        <v>169.15</v>
      </c>
      <c r="I16" s="101">
        <f t="shared" si="3"/>
        <v>938526.07</v>
      </c>
      <c r="N16" s="601" t="s">
        <v>22</v>
      </c>
      <c r="O16" s="601"/>
      <c r="P16" s="642">
        <f t="shared" si="0"/>
        <v>0</v>
      </c>
      <c r="Q16" s="642"/>
      <c r="R16" s="647">
        <v>1</v>
      </c>
      <c r="S16" s="647"/>
      <c r="T16" s="95">
        <f t="shared" si="4"/>
        <v>0</v>
      </c>
      <c r="U16" s="473">
        <f t="shared" si="5"/>
        <v>0</v>
      </c>
    </row>
    <row r="17" spans="1:21" x14ac:dyDescent="0.25">
      <c r="A17" s="578" t="s">
        <v>23</v>
      </c>
      <c r="B17" s="578"/>
      <c r="C17" s="143">
        <v>13</v>
      </c>
      <c r="D17" s="143">
        <v>12</v>
      </c>
      <c r="E17" s="116">
        <f t="shared" si="1"/>
        <v>25</v>
      </c>
      <c r="F17" s="663">
        <f>'1461'!F17:G17</f>
        <v>1</v>
      </c>
      <c r="G17" s="663"/>
      <c r="H17" s="80">
        <f t="shared" si="2"/>
        <v>25</v>
      </c>
      <c r="I17" s="101">
        <f t="shared" si="3"/>
        <v>138712.1</v>
      </c>
      <c r="J17" s="65" t="str">
        <f>IF(ROUND(E17,2)=ROUND(SUM(E60:E62),2)," ","CHECK 4-8 LINES BELOW")</f>
        <v xml:space="preserve"> </v>
      </c>
      <c r="N17" s="601" t="s">
        <v>23</v>
      </c>
      <c r="O17" s="601"/>
      <c r="P17" s="642">
        <f t="shared" si="0"/>
        <v>0</v>
      </c>
      <c r="Q17" s="642"/>
      <c r="R17" s="647">
        <v>1</v>
      </c>
      <c r="S17" s="647"/>
      <c r="T17" s="95">
        <f t="shared" si="4"/>
        <v>0</v>
      </c>
      <c r="U17" s="473">
        <f t="shared" si="5"/>
        <v>0</v>
      </c>
    </row>
    <row r="18" spans="1:21" x14ac:dyDescent="0.25">
      <c r="A18" s="578" t="s">
        <v>24</v>
      </c>
      <c r="B18" s="578"/>
      <c r="C18" s="143">
        <v>0</v>
      </c>
      <c r="D18" s="143">
        <v>0</v>
      </c>
      <c r="E18" s="116">
        <f t="shared" si="1"/>
        <v>0</v>
      </c>
      <c r="F18" s="663">
        <f>'1461'!F18:G18</f>
        <v>0.97799999999999998</v>
      </c>
      <c r="G18" s="663"/>
      <c r="H18" s="80">
        <f t="shared" si="2"/>
        <v>0</v>
      </c>
      <c r="I18" s="101">
        <f t="shared" si="3"/>
        <v>0</v>
      </c>
      <c r="N18" s="601" t="s">
        <v>24</v>
      </c>
      <c r="O18" s="601"/>
      <c r="P18" s="642">
        <f t="shared" si="0"/>
        <v>0</v>
      </c>
      <c r="Q18" s="642"/>
      <c r="R18" s="647">
        <v>1</v>
      </c>
      <c r="S18" s="647"/>
      <c r="T18" s="95">
        <f t="shared" si="4"/>
        <v>0</v>
      </c>
      <c r="U18" s="473">
        <f t="shared" si="5"/>
        <v>0</v>
      </c>
    </row>
    <row r="19" spans="1:21" x14ac:dyDescent="0.25">
      <c r="A19" s="578" t="s">
        <v>25</v>
      </c>
      <c r="B19" s="578"/>
      <c r="C19" s="143">
        <v>0</v>
      </c>
      <c r="D19" s="143">
        <v>0</v>
      </c>
      <c r="E19" s="116">
        <f t="shared" si="1"/>
        <v>0</v>
      </c>
      <c r="F19" s="663">
        <f>'1461'!F19:G19</f>
        <v>0.97799999999999998</v>
      </c>
      <c r="G19" s="663"/>
      <c r="H19" s="80">
        <f t="shared" si="2"/>
        <v>0</v>
      </c>
      <c r="I19" s="101">
        <f t="shared" si="3"/>
        <v>0</v>
      </c>
      <c r="J19" s="65" t="str">
        <f>IF(ROUND(E19,2)=ROUND(SUM(E63:E65),2)," ","CHECK 4-8 LINES BELOW")</f>
        <v xml:space="preserve"> </v>
      </c>
      <c r="N19" s="601" t="s">
        <v>25</v>
      </c>
      <c r="O19" s="601"/>
      <c r="P19" s="642">
        <f t="shared" si="0"/>
        <v>0</v>
      </c>
      <c r="Q19" s="642"/>
      <c r="R19" s="647">
        <v>1</v>
      </c>
      <c r="S19" s="647"/>
      <c r="T19" s="95">
        <f t="shared" si="4"/>
        <v>0</v>
      </c>
      <c r="U19" s="472">
        <f t="shared" si="5"/>
        <v>0</v>
      </c>
    </row>
    <row r="20" spans="1:21" x14ac:dyDescent="0.25">
      <c r="A20" s="578" t="s">
        <v>79</v>
      </c>
      <c r="B20" s="578"/>
      <c r="C20" s="143">
        <v>0</v>
      </c>
      <c r="D20" s="143">
        <v>0</v>
      </c>
      <c r="E20" s="116">
        <f t="shared" si="1"/>
        <v>0</v>
      </c>
      <c r="F20" s="663">
        <f>'1461'!F20:G20</f>
        <v>3.6970000000000001</v>
      </c>
      <c r="G20" s="663"/>
      <c r="H20" s="80">
        <f t="shared" si="2"/>
        <v>0</v>
      </c>
      <c r="I20" s="101">
        <f t="shared" si="3"/>
        <v>0</v>
      </c>
      <c r="N20" s="601" t="s">
        <v>79</v>
      </c>
      <c r="O20" s="601"/>
      <c r="P20" s="642">
        <f t="shared" si="0"/>
        <v>0</v>
      </c>
      <c r="Q20" s="642"/>
      <c r="R20" s="647">
        <v>1</v>
      </c>
      <c r="S20" s="647"/>
      <c r="T20" s="95">
        <f t="shared" si="4"/>
        <v>0</v>
      </c>
      <c r="U20" s="473">
        <f t="shared" si="5"/>
        <v>0</v>
      </c>
    </row>
    <row r="21" spans="1:21" x14ac:dyDescent="0.25">
      <c r="A21" s="578" t="s">
        <v>80</v>
      </c>
      <c r="B21" s="578"/>
      <c r="C21" s="143">
        <v>0</v>
      </c>
      <c r="D21" s="143">
        <v>0</v>
      </c>
      <c r="E21" s="116">
        <f t="shared" si="1"/>
        <v>0</v>
      </c>
      <c r="F21" s="663">
        <f>'1461'!F21:G21</f>
        <v>3.6970000000000001</v>
      </c>
      <c r="G21" s="663"/>
      <c r="H21" s="80">
        <f t="shared" si="2"/>
        <v>0</v>
      </c>
      <c r="I21" s="101">
        <f t="shared" si="3"/>
        <v>0</v>
      </c>
      <c r="N21" s="601" t="s">
        <v>80</v>
      </c>
      <c r="O21" s="601"/>
      <c r="P21" s="642">
        <f t="shared" si="0"/>
        <v>0</v>
      </c>
      <c r="Q21" s="642"/>
      <c r="R21" s="647">
        <v>1</v>
      </c>
      <c r="S21" s="647"/>
      <c r="T21" s="95">
        <f t="shared" si="4"/>
        <v>0</v>
      </c>
      <c r="U21" s="473">
        <f t="shared" si="5"/>
        <v>0</v>
      </c>
    </row>
    <row r="22" spans="1:21" x14ac:dyDescent="0.25">
      <c r="A22" s="578" t="s">
        <v>81</v>
      </c>
      <c r="B22" s="578"/>
      <c r="C22" s="143">
        <v>0</v>
      </c>
      <c r="D22" s="143">
        <v>0</v>
      </c>
      <c r="E22" s="116">
        <f t="shared" si="1"/>
        <v>0</v>
      </c>
      <c r="F22" s="663">
        <f>'1461'!F22:G22</f>
        <v>3.6970000000000001</v>
      </c>
      <c r="G22" s="663"/>
      <c r="H22" s="80">
        <f t="shared" si="2"/>
        <v>0</v>
      </c>
      <c r="I22" s="101">
        <f t="shared" si="3"/>
        <v>0</v>
      </c>
      <c r="N22" s="601" t="s">
        <v>81</v>
      </c>
      <c r="O22" s="601"/>
      <c r="P22" s="642">
        <f t="shared" si="0"/>
        <v>0</v>
      </c>
      <c r="Q22" s="642"/>
      <c r="R22" s="647">
        <v>1</v>
      </c>
      <c r="S22" s="647"/>
      <c r="T22" s="95">
        <f t="shared" si="4"/>
        <v>0</v>
      </c>
      <c r="U22" s="473">
        <f t="shared" si="5"/>
        <v>0</v>
      </c>
    </row>
    <row r="23" spans="1:21" x14ac:dyDescent="0.25">
      <c r="A23" s="578" t="s">
        <v>82</v>
      </c>
      <c r="B23" s="578"/>
      <c r="C23" s="143">
        <v>0</v>
      </c>
      <c r="D23" s="143">
        <v>0</v>
      </c>
      <c r="E23" s="116">
        <f t="shared" si="1"/>
        <v>0</v>
      </c>
      <c r="F23" s="663">
        <f>'1461'!F23:G23</f>
        <v>5.992</v>
      </c>
      <c r="G23" s="663"/>
      <c r="H23" s="80">
        <f t="shared" si="2"/>
        <v>0</v>
      </c>
      <c r="I23" s="101">
        <f t="shared" si="3"/>
        <v>0</v>
      </c>
      <c r="N23" s="601" t="s">
        <v>82</v>
      </c>
      <c r="O23" s="601"/>
      <c r="P23" s="642">
        <f t="shared" si="0"/>
        <v>0</v>
      </c>
      <c r="Q23" s="642"/>
      <c r="R23" s="647">
        <v>1</v>
      </c>
      <c r="S23" s="647"/>
      <c r="T23" s="95">
        <f t="shared" si="4"/>
        <v>0</v>
      </c>
      <c r="U23" s="473">
        <f t="shared" si="5"/>
        <v>0</v>
      </c>
    </row>
    <row r="24" spans="1:21" x14ac:dyDescent="0.25">
      <c r="A24" s="578" t="s">
        <v>83</v>
      </c>
      <c r="B24" s="578"/>
      <c r="C24" s="143">
        <v>0</v>
      </c>
      <c r="D24" s="143">
        <v>0</v>
      </c>
      <c r="E24" s="116">
        <f t="shared" si="1"/>
        <v>0</v>
      </c>
      <c r="F24" s="663">
        <f>'1461'!F24:G24</f>
        <v>5.992</v>
      </c>
      <c r="G24" s="663"/>
      <c r="H24" s="80">
        <f t="shared" si="2"/>
        <v>0</v>
      </c>
      <c r="I24" s="101">
        <f t="shared" si="3"/>
        <v>0</v>
      </c>
      <c r="N24" s="601" t="s">
        <v>83</v>
      </c>
      <c r="O24" s="601"/>
      <c r="P24" s="642">
        <f t="shared" si="0"/>
        <v>0</v>
      </c>
      <c r="Q24" s="642"/>
      <c r="R24" s="647">
        <v>1</v>
      </c>
      <c r="S24" s="647"/>
      <c r="T24" s="95">
        <f t="shared" si="4"/>
        <v>0</v>
      </c>
      <c r="U24" s="473">
        <f t="shared" si="5"/>
        <v>0</v>
      </c>
    </row>
    <row r="25" spans="1:21" x14ac:dyDescent="0.25">
      <c r="A25" s="578" t="s">
        <v>84</v>
      </c>
      <c r="B25" s="578"/>
      <c r="C25" s="143">
        <v>0</v>
      </c>
      <c r="D25" s="143">
        <v>0</v>
      </c>
      <c r="E25" s="116">
        <f t="shared" si="1"/>
        <v>0</v>
      </c>
      <c r="F25" s="663">
        <f>'1461'!F25:G25</f>
        <v>5.992</v>
      </c>
      <c r="G25" s="663"/>
      <c r="H25" s="80">
        <f t="shared" si="2"/>
        <v>0</v>
      </c>
      <c r="I25" s="101">
        <f t="shared" si="3"/>
        <v>0</v>
      </c>
      <c r="N25" s="601" t="s">
        <v>84</v>
      </c>
      <c r="O25" s="601"/>
      <c r="P25" s="642">
        <f t="shared" si="0"/>
        <v>0</v>
      </c>
      <c r="Q25" s="642"/>
      <c r="R25" s="647">
        <v>1</v>
      </c>
      <c r="S25" s="647"/>
      <c r="T25" s="95">
        <f t="shared" si="4"/>
        <v>0</v>
      </c>
      <c r="U25" s="473">
        <f t="shared" si="5"/>
        <v>0</v>
      </c>
    </row>
    <row r="26" spans="1:21" x14ac:dyDescent="0.25">
      <c r="A26" s="578" t="s">
        <v>85</v>
      </c>
      <c r="B26" s="578"/>
      <c r="C26" s="143">
        <v>3.13</v>
      </c>
      <c r="D26" s="143">
        <v>2.69</v>
      </c>
      <c r="E26" s="116">
        <f t="shared" si="1"/>
        <v>5.82</v>
      </c>
      <c r="F26" s="663">
        <f>'1461'!F26:G26</f>
        <v>1.1919999999999999</v>
      </c>
      <c r="G26" s="663"/>
      <c r="H26" s="80">
        <f t="shared" si="2"/>
        <v>6.9374000000000002</v>
      </c>
      <c r="I26" s="101">
        <f t="shared" si="3"/>
        <v>38492.050000000003</v>
      </c>
      <c r="N26" s="601" t="s">
        <v>85</v>
      </c>
      <c r="O26" s="601"/>
      <c r="P26" s="642">
        <f t="shared" si="0"/>
        <v>0</v>
      </c>
      <c r="Q26" s="642"/>
      <c r="R26" s="647">
        <v>1</v>
      </c>
      <c r="S26" s="647"/>
      <c r="T26" s="95">
        <f t="shared" si="4"/>
        <v>0</v>
      </c>
      <c r="U26" s="473">
        <f t="shared" si="5"/>
        <v>0</v>
      </c>
    </row>
    <row r="27" spans="1:21" x14ac:dyDescent="0.25">
      <c r="A27" s="578" t="s">
        <v>86</v>
      </c>
      <c r="B27" s="578"/>
      <c r="C27" s="143">
        <v>3.45</v>
      </c>
      <c r="D27" s="143">
        <v>3.4</v>
      </c>
      <c r="E27" s="116">
        <f t="shared" si="1"/>
        <v>6.85</v>
      </c>
      <c r="F27" s="663">
        <f>'1461'!F27:G27</f>
        <v>1.1919999999999999</v>
      </c>
      <c r="G27" s="663"/>
      <c r="H27" s="80">
        <f t="shared" si="2"/>
        <v>8.1652000000000005</v>
      </c>
      <c r="I27" s="101">
        <f t="shared" si="3"/>
        <v>45304.480000000003</v>
      </c>
      <c r="N27" s="601" t="s">
        <v>86</v>
      </c>
      <c r="O27" s="601"/>
      <c r="P27" s="642">
        <f t="shared" si="0"/>
        <v>0</v>
      </c>
      <c r="Q27" s="642"/>
      <c r="R27" s="647">
        <v>1</v>
      </c>
      <c r="S27" s="647"/>
      <c r="T27" s="95">
        <f t="shared" si="4"/>
        <v>0</v>
      </c>
      <c r="U27" s="473">
        <f t="shared" si="5"/>
        <v>0</v>
      </c>
    </row>
    <row r="28" spans="1:21" x14ac:dyDescent="0.25">
      <c r="A28" s="578" t="s">
        <v>87</v>
      </c>
      <c r="B28" s="578"/>
      <c r="C28" s="143">
        <v>0</v>
      </c>
      <c r="D28" s="143">
        <v>0</v>
      </c>
      <c r="E28" s="116">
        <f t="shared" si="1"/>
        <v>0</v>
      </c>
      <c r="F28" s="663">
        <f>'1461'!F28:G28</f>
        <v>1.1919999999999999</v>
      </c>
      <c r="G28" s="663"/>
      <c r="H28" s="80">
        <f t="shared" si="2"/>
        <v>0</v>
      </c>
      <c r="I28" s="101">
        <f t="shared" si="3"/>
        <v>0</v>
      </c>
      <c r="N28" s="601" t="s">
        <v>87</v>
      </c>
      <c r="O28" s="601"/>
      <c r="P28" s="642">
        <f t="shared" si="0"/>
        <v>0</v>
      </c>
      <c r="Q28" s="642"/>
      <c r="R28" s="647">
        <v>1</v>
      </c>
      <c r="S28" s="647"/>
      <c r="T28" s="95">
        <f t="shared" si="4"/>
        <v>0</v>
      </c>
      <c r="U28" s="473">
        <f t="shared" si="5"/>
        <v>0</v>
      </c>
    </row>
    <row r="29" spans="1:21" x14ac:dyDescent="0.25">
      <c r="A29" s="578" t="s">
        <v>88</v>
      </c>
      <c r="B29" s="578"/>
      <c r="C29" s="110">
        <v>0</v>
      </c>
      <c r="D29" s="110">
        <v>0</v>
      </c>
      <c r="E29" s="154">
        <f t="shared" si="1"/>
        <v>0</v>
      </c>
      <c r="F29" s="663">
        <f>'1461'!F29:G29</f>
        <v>1.079</v>
      </c>
      <c r="G29" s="663"/>
      <c r="H29" s="93">
        <f t="shared" si="2"/>
        <v>0</v>
      </c>
      <c r="I29" s="94">
        <f t="shared" si="3"/>
        <v>0</v>
      </c>
      <c r="N29" s="616" t="s">
        <v>88</v>
      </c>
      <c r="O29" s="616"/>
      <c r="P29" s="642">
        <f t="shared" si="0"/>
        <v>0</v>
      </c>
      <c r="Q29" s="642"/>
      <c r="R29" s="643">
        <v>1</v>
      </c>
      <c r="S29" s="643"/>
      <c r="T29" s="95">
        <f t="shared" si="4"/>
        <v>0</v>
      </c>
      <c r="U29" s="473">
        <f t="shared" si="5"/>
        <v>0</v>
      </c>
    </row>
    <row r="30" spans="1:21" x14ac:dyDescent="0.25">
      <c r="A30" s="590" t="s">
        <v>5</v>
      </c>
      <c r="B30" s="590"/>
      <c r="C30" s="94">
        <f>SUM(C14:C29)</f>
        <v>163.70999999999998</v>
      </c>
      <c r="D30" s="94">
        <f>SUM(D14:D29)</f>
        <v>162.4</v>
      </c>
      <c r="E30" s="94">
        <f>SUM(E14:E29)</f>
        <v>326.11</v>
      </c>
      <c r="F30" s="582"/>
      <c r="G30" s="582"/>
      <c r="H30" s="99">
        <f>SUM(H14:H29)</f>
        <v>342.61880000000008</v>
      </c>
      <c r="I30" s="94">
        <f>SUM(I14:I29)</f>
        <v>1901014.9200000002</v>
      </c>
      <c r="N30" s="644" t="s">
        <v>5</v>
      </c>
      <c r="O30" s="644"/>
      <c r="P30" s="645">
        <f>SUM(P14:P29)</f>
        <v>0</v>
      </c>
      <c r="Q30" s="645"/>
      <c r="R30" s="617"/>
      <c r="S30" s="617"/>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0" t="s">
        <v>233</v>
      </c>
      <c r="G34" s="670"/>
      <c r="H34" s="670"/>
      <c r="I34" s="101"/>
      <c r="N34" s="28"/>
      <c r="O34" s="28"/>
      <c r="P34" s="29"/>
      <c r="Q34" s="29"/>
      <c r="R34" s="30"/>
      <c r="S34" s="30"/>
      <c r="T34" s="102"/>
      <c r="U34" s="103"/>
    </row>
    <row r="35" spans="1:21" hidden="1" x14ac:dyDescent="0.25">
      <c r="A35" s="3"/>
      <c r="B35" s="69"/>
      <c r="C35" s="69"/>
      <c r="D35" s="69"/>
      <c r="E35" s="69"/>
      <c r="F35" s="670"/>
      <c r="G35" s="670"/>
      <c r="H35" s="670"/>
      <c r="I35" s="24" t="s">
        <v>61</v>
      </c>
      <c r="N35" s="627" t="s">
        <v>26</v>
      </c>
      <c r="O35" s="627"/>
      <c r="P35" s="627"/>
      <c r="Q35" s="627"/>
      <c r="R35" s="627"/>
      <c r="S35" s="627"/>
      <c r="T35" s="627"/>
      <c r="U35" s="25" t="str">
        <f>I35</f>
        <v>2015-16</v>
      </c>
    </row>
    <row r="36" spans="1:21" hidden="1" x14ac:dyDescent="0.25">
      <c r="A36" s="26"/>
      <c r="B36" s="26"/>
      <c r="C36" s="88" t="s">
        <v>93</v>
      </c>
      <c r="D36" s="88" t="s">
        <v>94</v>
      </c>
      <c r="E36" s="89" t="s">
        <v>8</v>
      </c>
      <c r="F36" s="670"/>
      <c r="G36" s="670"/>
      <c r="H36" s="670"/>
      <c r="I36" s="24" t="s">
        <v>27</v>
      </c>
      <c r="N36" s="28"/>
      <c r="O36" s="28"/>
      <c r="P36" s="29"/>
      <c r="Q36" s="29"/>
      <c r="R36" s="30"/>
      <c r="S36" s="30"/>
      <c r="T36" s="102"/>
      <c r="U36" s="25" t="s">
        <v>27</v>
      </c>
    </row>
    <row r="37" spans="1:21" ht="26.25" hidden="1" x14ac:dyDescent="0.25">
      <c r="A37" s="572" t="s">
        <v>50</v>
      </c>
      <c r="B37" s="572"/>
      <c r="C37" s="90" t="s">
        <v>2</v>
      </c>
      <c r="D37" s="90" t="s">
        <v>2</v>
      </c>
      <c r="E37" s="90" t="s">
        <v>2</v>
      </c>
      <c r="F37" s="671"/>
      <c r="G37" s="671"/>
      <c r="H37" s="671"/>
      <c r="I37" s="31" t="s">
        <v>395</v>
      </c>
      <c r="N37" s="639" t="s">
        <v>50</v>
      </c>
      <c r="O37" s="639"/>
      <c r="P37" s="640" t="s">
        <v>19</v>
      </c>
      <c r="Q37" s="640"/>
      <c r="R37" s="640"/>
      <c r="S37" s="640"/>
      <c r="T37" s="640"/>
      <c r="U37" s="19" t="str">
        <f>I37</f>
        <v>(WFTE x BSA x CWF x SDF)</v>
      </c>
    </row>
    <row r="38" spans="1:21" hidden="1" x14ac:dyDescent="0.25">
      <c r="A38" s="576" t="s">
        <v>45</v>
      </c>
      <c r="B38" s="576"/>
      <c r="C38" s="147">
        <v>0</v>
      </c>
      <c r="D38" s="147">
        <v>0</v>
      </c>
      <c r="E38" s="187">
        <f t="shared" ref="E38:E43" si="6">IF(D$44=0,C38*2,C38+D38)</f>
        <v>0</v>
      </c>
      <c r="F38" s="148"/>
      <c r="G38" s="148"/>
      <c r="H38" s="148"/>
      <c r="I38" s="111">
        <f>ROUND(ROUND(ROUND(E38*$C$8,4)*($H$8),2)*(MAX($H$9,1)),2)</f>
        <v>0</v>
      </c>
      <c r="N38" s="641" t="s">
        <v>45</v>
      </c>
      <c r="O38" s="641"/>
      <c r="P38" s="608">
        <f t="shared" ref="P38:P43" si="7">IF($H$133=1,E38,0)</f>
        <v>0</v>
      </c>
      <c r="Q38" s="608"/>
      <c r="R38" s="608"/>
      <c r="S38" s="608"/>
      <c r="T38" s="608"/>
      <c r="U38" s="98">
        <f>ROUND(ROUND(ROUND(P38*$C$8,4)*($H$8),2)*(MAX($H$9,1)),2)</f>
        <v>0</v>
      </c>
    </row>
    <row r="39" spans="1:21" hidden="1" x14ac:dyDescent="0.25">
      <c r="A39" s="578" t="s">
        <v>46</v>
      </c>
      <c r="B39" s="578"/>
      <c r="C39" s="150">
        <v>0</v>
      </c>
      <c r="D39" s="150">
        <v>0</v>
      </c>
      <c r="E39" s="116">
        <f t="shared" si="6"/>
        <v>0</v>
      </c>
      <c r="F39" s="151"/>
      <c r="G39" s="151"/>
      <c r="H39" s="151"/>
      <c r="I39" s="101">
        <f t="shared" ref="I39:I43" si="8">ROUND(ROUND(ROUND(E39*$C$8,4)*($H$8),2)*(MAX($H$9,1)),2)</f>
        <v>0</v>
      </c>
      <c r="N39" s="601" t="s">
        <v>46</v>
      </c>
      <c r="O39" s="601"/>
      <c r="P39" s="608">
        <f t="shared" si="7"/>
        <v>0</v>
      </c>
      <c r="Q39" s="608"/>
      <c r="R39" s="608"/>
      <c r="S39" s="608"/>
      <c r="T39" s="608"/>
      <c r="U39" s="98">
        <f t="shared" ref="U39:U43" si="9">ROUND(ROUND(ROUND(P39*$C$8,4)*($H$8),2)*(MAX($H$9,1)),2)</f>
        <v>0</v>
      </c>
    </row>
    <row r="40" spans="1:21" hidden="1" x14ac:dyDescent="0.25">
      <c r="A40" s="583" t="s">
        <v>47</v>
      </c>
      <c r="B40" s="583"/>
      <c r="C40" s="150">
        <v>0</v>
      </c>
      <c r="D40" s="150">
        <v>0</v>
      </c>
      <c r="E40" s="116">
        <f t="shared" si="6"/>
        <v>0</v>
      </c>
      <c r="F40" s="151"/>
      <c r="G40" s="151"/>
      <c r="H40" s="151"/>
      <c r="I40" s="101">
        <f t="shared" si="8"/>
        <v>0</v>
      </c>
      <c r="N40" s="646" t="s">
        <v>47</v>
      </c>
      <c r="O40" s="646"/>
      <c r="P40" s="608">
        <f t="shared" si="7"/>
        <v>0</v>
      </c>
      <c r="Q40" s="608"/>
      <c r="R40" s="608"/>
      <c r="S40" s="608"/>
      <c r="T40" s="608"/>
      <c r="U40" s="98">
        <f t="shared" si="9"/>
        <v>0</v>
      </c>
    </row>
    <row r="41" spans="1:21" hidden="1" x14ac:dyDescent="0.25">
      <c r="A41" s="578" t="s">
        <v>48</v>
      </c>
      <c r="B41" s="578"/>
      <c r="C41" s="150">
        <v>0</v>
      </c>
      <c r="D41" s="150">
        <v>0</v>
      </c>
      <c r="E41" s="116">
        <f t="shared" si="6"/>
        <v>0</v>
      </c>
      <c r="F41" s="151"/>
      <c r="G41" s="151"/>
      <c r="H41" s="151"/>
      <c r="I41" s="101">
        <f t="shared" si="8"/>
        <v>0</v>
      </c>
      <c r="N41" s="601" t="s">
        <v>48</v>
      </c>
      <c r="O41" s="601"/>
      <c r="P41" s="608">
        <f t="shared" si="7"/>
        <v>0</v>
      </c>
      <c r="Q41" s="608"/>
      <c r="R41" s="608"/>
      <c r="S41" s="608"/>
      <c r="T41" s="608"/>
      <c r="U41" s="98">
        <f t="shared" si="9"/>
        <v>0</v>
      </c>
    </row>
    <row r="42" spans="1:21" hidden="1" x14ac:dyDescent="0.25">
      <c r="A42" s="578" t="s">
        <v>49</v>
      </c>
      <c r="B42" s="578"/>
      <c r="C42" s="150">
        <v>0</v>
      </c>
      <c r="D42" s="150">
        <v>0</v>
      </c>
      <c r="E42" s="116">
        <f t="shared" si="6"/>
        <v>0</v>
      </c>
      <c r="F42" s="151"/>
      <c r="G42" s="151"/>
      <c r="H42" s="151"/>
      <c r="I42" s="101">
        <f t="shared" si="8"/>
        <v>0</v>
      </c>
      <c r="N42" s="601" t="s">
        <v>49</v>
      </c>
      <c r="O42" s="601"/>
      <c r="P42" s="608">
        <f t="shared" si="7"/>
        <v>0</v>
      </c>
      <c r="Q42" s="608"/>
      <c r="R42" s="608"/>
      <c r="S42" s="608"/>
      <c r="T42" s="608"/>
      <c r="U42" s="98">
        <f t="shared" si="9"/>
        <v>0</v>
      </c>
    </row>
    <row r="43" spans="1:21" hidden="1" x14ac:dyDescent="0.25">
      <c r="A43" s="578" t="s">
        <v>41</v>
      </c>
      <c r="B43" s="578"/>
      <c r="C43" s="149">
        <v>0</v>
      </c>
      <c r="D43" s="149">
        <v>0</v>
      </c>
      <c r="E43" s="154">
        <f t="shared" si="6"/>
        <v>0</v>
      </c>
      <c r="F43" s="151"/>
      <c r="G43" s="151"/>
      <c r="H43" s="151"/>
      <c r="I43" s="94">
        <f t="shared" si="8"/>
        <v>0</v>
      </c>
      <c r="N43" s="616" t="s">
        <v>41</v>
      </c>
      <c r="O43" s="616"/>
      <c r="P43" s="608">
        <f t="shared" si="7"/>
        <v>0</v>
      </c>
      <c r="Q43" s="608"/>
      <c r="R43" s="608"/>
      <c r="S43" s="608"/>
      <c r="T43" s="60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3" t="s">
        <v>43</v>
      </c>
      <c r="O44" s="603"/>
      <c r="P44" s="603"/>
      <c r="Q44" s="603"/>
      <c r="R44" s="33">
        <f>SUM(P38:R43)</f>
        <v>0</v>
      </c>
      <c r="S44" s="617" t="s">
        <v>51</v>
      </c>
      <c r="T44" s="617"/>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342.61880000000008</v>
      </c>
      <c r="F46" s="34"/>
      <c r="G46" s="106"/>
      <c r="H46" s="107" t="s">
        <v>98</v>
      </c>
      <c r="I46" s="94">
        <f>SUM(I44,I30)</f>
        <v>1901014.9200000002</v>
      </c>
      <c r="N46" s="603" t="s">
        <v>44</v>
      </c>
      <c r="O46" s="603"/>
      <c r="P46" s="603"/>
      <c r="Q46" s="603"/>
      <c r="R46" s="35">
        <f>R44+T30</f>
        <v>0</v>
      </c>
      <c r="S46" s="617" t="s">
        <v>42</v>
      </c>
      <c r="T46" s="617"/>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396</v>
      </c>
      <c r="B48" s="26"/>
      <c r="C48" s="26"/>
      <c r="D48" s="26"/>
      <c r="E48" s="26"/>
      <c r="F48" s="34"/>
      <c r="G48" s="27"/>
      <c r="H48" s="27"/>
      <c r="I48" s="101"/>
      <c r="N48" s="383" t="s">
        <v>396</v>
      </c>
      <c r="O48" s="28"/>
      <c r="P48" s="28"/>
      <c r="Q48" s="28"/>
      <c r="R48" s="35"/>
      <c r="S48" s="30"/>
      <c r="T48" s="30"/>
      <c r="U48" s="402"/>
    </row>
    <row r="49" spans="1:22" s="391" customFormat="1" ht="9" customHeight="1" x14ac:dyDescent="0.2">
      <c r="A49" s="481" t="s">
        <v>397</v>
      </c>
      <c r="F49" s="392"/>
      <c r="G49" s="393"/>
      <c r="H49" s="393"/>
      <c r="I49" s="394"/>
      <c r="N49" s="403" t="s">
        <v>397</v>
      </c>
      <c r="O49" s="395"/>
      <c r="P49" s="395"/>
      <c r="Q49" s="395"/>
      <c r="R49" s="396"/>
      <c r="S49" s="397"/>
      <c r="T49" s="397"/>
      <c r="U49" s="404"/>
    </row>
    <row r="50" spans="1:22" s="391" customFormat="1" ht="11.25" customHeight="1" x14ac:dyDescent="0.2">
      <c r="A50" s="483" t="s">
        <v>398</v>
      </c>
      <c r="F50" s="392"/>
      <c r="G50" s="393"/>
      <c r="H50" s="393"/>
      <c r="I50" s="394"/>
      <c r="N50" s="405" t="s">
        <v>398</v>
      </c>
      <c r="O50" s="395"/>
      <c r="P50" s="395"/>
      <c r="Q50" s="395"/>
      <c r="R50" s="396"/>
      <c r="S50" s="397"/>
      <c r="T50" s="397"/>
      <c r="U50" s="404"/>
    </row>
    <row r="51" spans="1:22" x14ac:dyDescent="0.25">
      <c r="A51" s="389"/>
      <c r="B51" s="399" t="s">
        <v>399</v>
      </c>
      <c r="C51" s="26"/>
      <c r="D51" s="26"/>
      <c r="E51" s="43" t="s">
        <v>400</v>
      </c>
      <c r="F51" s="400">
        <f>I46</f>
        <v>1901014.9200000002</v>
      </c>
      <c r="G51" s="109" t="s">
        <v>6</v>
      </c>
      <c r="H51" s="401">
        <v>4.5199999999999997E-2</v>
      </c>
      <c r="I51" s="101">
        <f>ROUND(F51*H51,2)</f>
        <v>85925.87</v>
      </c>
      <c r="N51" s="406"/>
      <c r="O51" s="407" t="s">
        <v>399</v>
      </c>
      <c r="P51" s="28"/>
      <c r="Q51" s="44" t="s">
        <v>400</v>
      </c>
      <c r="R51" s="408">
        <f>U30</f>
        <v>0</v>
      </c>
      <c r="S51" s="409" t="s">
        <v>6</v>
      </c>
      <c r="T51" s="410">
        <v>4.5199999999999997E-2</v>
      </c>
      <c r="U51" s="402">
        <f>ROUND(R51*T51,2)</f>
        <v>0</v>
      </c>
    </row>
    <row r="52" spans="1:22" x14ac:dyDescent="0.25">
      <c r="A52" s="26"/>
      <c r="B52" s="81" t="s">
        <v>401</v>
      </c>
      <c r="C52" s="26"/>
      <c r="D52" s="26"/>
      <c r="E52" s="43" t="s">
        <v>400</v>
      </c>
      <c r="F52" s="400">
        <f>I46</f>
        <v>1901014.9200000002</v>
      </c>
      <c r="G52" s="109" t="s">
        <v>6</v>
      </c>
      <c r="H52" s="401">
        <v>1.41E-2</v>
      </c>
      <c r="I52" s="101">
        <f>ROUND(F52*H52,2)</f>
        <v>26804.31</v>
      </c>
      <c r="N52" s="28"/>
      <c r="O52" s="383" t="s">
        <v>401</v>
      </c>
      <c r="P52" s="28"/>
      <c r="Q52" s="44" t="s">
        <v>400</v>
      </c>
      <c r="R52" s="408">
        <f>U30</f>
        <v>0</v>
      </c>
      <c r="S52" s="409" t="s">
        <v>6</v>
      </c>
      <c r="T52" s="410">
        <v>1.41E-2</v>
      </c>
      <c r="U52" s="411">
        <f>ROUND(R52*T52,2)</f>
        <v>0</v>
      </c>
    </row>
    <row r="53" spans="1:22" x14ac:dyDescent="0.25">
      <c r="A53" s="26"/>
      <c r="B53" s="81" t="s">
        <v>402</v>
      </c>
      <c r="C53" s="26"/>
      <c r="D53" s="26"/>
      <c r="E53" s="43"/>
      <c r="F53" s="400"/>
      <c r="G53" s="109"/>
      <c r="H53" s="401"/>
      <c r="I53" s="97">
        <f>SUM(I51:I52)</f>
        <v>112730.18</v>
      </c>
      <c r="N53" s="28"/>
      <c r="O53" s="383" t="s">
        <v>402</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440</v>
      </c>
      <c r="G55" s="109" t="s">
        <v>441</v>
      </c>
      <c r="H55" s="454" t="s">
        <v>442</v>
      </c>
      <c r="I55" s="101"/>
      <c r="N55" s="448"/>
      <c r="O55" s="448"/>
      <c r="P55" s="464"/>
      <c r="Q55" s="465"/>
      <c r="R55" s="466"/>
      <c r="S55" s="468" t="s">
        <v>441</v>
      </c>
      <c r="T55" s="469" t="s">
        <v>442</v>
      </c>
      <c r="U55" s="467"/>
      <c r="V55" s="424"/>
    </row>
    <row r="56" spans="1:22" x14ac:dyDescent="0.25">
      <c r="A56" s="36" t="s">
        <v>443</v>
      </c>
      <c r="B56" s="36"/>
      <c r="C56" s="324" t="str">
        <f>'1461'!C56</f>
        <v>FTE</v>
      </c>
      <c r="D56" s="324" t="str">
        <f>'1461'!D56</f>
        <v>FTE</v>
      </c>
      <c r="E56" s="90" t="s">
        <v>2</v>
      </c>
      <c r="F56" s="439" t="s">
        <v>444</v>
      </c>
      <c r="G56" s="441" t="s">
        <v>444</v>
      </c>
      <c r="H56" s="455" t="s">
        <v>445</v>
      </c>
      <c r="I56" s="36"/>
      <c r="N56" s="459" t="s">
        <v>443</v>
      </c>
      <c r="O56" s="459"/>
      <c r="P56" s="620" t="s">
        <v>2</v>
      </c>
      <c r="Q56" s="620"/>
      <c r="R56" s="459" t="s">
        <v>449</v>
      </c>
      <c r="S56" s="450" t="s">
        <v>444</v>
      </c>
      <c r="T56" s="470" t="s">
        <v>445</v>
      </c>
      <c r="U56" s="459"/>
      <c r="V56" s="458"/>
    </row>
    <row r="57" spans="1:22" x14ac:dyDescent="0.25">
      <c r="A57" s="588" t="s">
        <v>447</v>
      </c>
      <c r="B57" s="588"/>
      <c r="C57" s="143">
        <v>5</v>
      </c>
      <c r="D57" s="143">
        <v>5.08</v>
      </c>
      <c r="E57" s="116">
        <f t="shared" ref="E57:E65" si="10">IF(D$66=0,C57*2,C57+D57)</f>
        <v>10.08</v>
      </c>
      <c r="F57" s="443" t="s">
        <v>439</v>
      </c>
      <c r="G57" s="443">
        <v>251</v>
      </c>
      <c r="H57" s="457">
        <f>'1461'!H57</f>
        <v>1047</v>
      </c>
      <c r="I57" s="101">
        <f>ROUND(E57*H57,2)</f>
        <v>10553.76</v>
      </c>
      <c r="N57" s="618" t="s">
        <v>447</v>
      </c>
      <c r="O57" s="618"/>
      <c r="P57" s="621"/>
      <c r="Q57" s="621"/>
      <c r="R57" s="449" t="s">
        <v>439</v>
      </c>
      <c r="S57" s="449">
        <v>251</v>
      </c>
      <c r="T57" s="460">
        <f>H57</f>
        <v>1047</v>
      </c>
      <c r="U57" s="474">
        <f>ROUND(P57*T57,2)</f>
        <v>0</v>
      </c>
      <c r="V57" s="424"/>
    </row>
    <row r="58" spans="1:22" x14ac:dyDescent="0.25">
      <c r="A58" s="589"/>
      <c r="B58" s="589"/>
      <c r="C58" s="143">
        <v>0.5</v>
      </c>
      <c r="D58" s="143">
        <v>1.42</v>
      </c>
      <c r="E58" s="116">
        <f t="shared" si="10"/>
        <v>1.92</v>
      </c>
      <c r="F58" s="443" t="s">
        <v>439</v>
      </c>
      <c r="G58" s="443">
        <v>252</v>
      </c>
      <c r="H58" s="457">
        <f>'1461'!H58</f>
        <v>3380</v>
      </c>
      <c r="I58" s="101">
        <f t="shared" ref="I58:I65" si="11">ROUND(E58*H58,2)</f>
        <v>6489.6</v>
      </c>
      <c r="N58" s="619"/>
      <c r="O58" s="619"/>
      <c r="P58" s="622"/>
      <c r="Q58" s="622"/>
      <c r="R58" s="449" t="s">
        <v>439</v>
      </c>
      <c r="S58" s="449">
        <v>252</v>
      </c>
      <c r="T58" s="460">
        <f t="shared" ref="T58:T65" si="12">H58</f>
        <v>3380</v>
      </c>
      <c r="U58" s="474">
        <f t="shared" ref="U58:U65" si="13">ROUND(P58*T58,2)</f>
        <v>0</v>
      </c>
      <c r="V58" s="424"/>
    </row>
    <row r="59" spans="1:22" x14ac:dyDescent="0.25">
      <c r="A59" s="589"/>
      <c r="B59" s="589"/>
      <c r="C59" s="143">
        <v>0</v>
      </c>
      <c r="D59" s="143">
        <v>0</v>
      </c>
      <c r="E59" s="116">
        <f t="shared" si="10"/>
        <v>0</v>
      </c>
      <c r="F59" s="443" t="s">
        <v>439</v>
      </c>
      <c r="G59" s="443">
        <v>253</v>
      </c>
      <c r="H59" s="457">
        <f>'1461'!H59</f>
        <v>6896</v>
      </c>
      <c r="I59" s="101">
        <f t="shared" si="11"/>
        <v>0</v>
      </c>
      <c r="N59" s="619"/>
      <c r="O59" s="619"/>
      <c r="P59" s="622"/>
      <c r="Q59" s="622"/>
      <c r="R59" s="449" t="s">
        <v>439</v>
      </c>
      <c r="S59" s="449">
        <v>253</v>
      </c>
      <c r="T59" s="460">
        <f t="shared" si="12"/>
        <v>6896</v>
      </c>
      <c r="U59" s="474">
        <f t="shared" si="13"/>
        <v>0</v>
      </c>
      <c r="V59" s="424"/>
    </row>
    <row r="60" spans="1:22" x14ac:dyDescent="0.25">
      <c r="A60" s="589"/>
      <c r="B60" s="589"/>
      <c r="C60" s="143">
        <v>12</v>
      </c>
      <c r="D60" s="143">
        <v>11.09</v>
      </c>
      <c r="E60" s="116">
        <f t="shared" si="10"/>
        <v>23.09</v>
      </c>
      <c r="F60" s="444" t="s">
        <v>13</v>
      </c>
      <c r="G60" s="443">
        <v>251</v>
      </c>
      <c r="H60" s="457">
        <f>'1461'!H60</f>
        <v>1173</v>
      </c>
      <c r="I60" s="101">
        <f t="shared" si="11"/>
        <v>27084.57</v>
      </c>
      <c r="N60" s="619"/>
      <c r="O60" s="619"/>
      <c r="P60" s="622"/>
      <c r="Q60" s="622"/>
      <c r="R60" s="40" t="s">
        <v>13</v>
      </c>
      <c r="S60" s="449">
        <v>251</v>
      </c>
      <c r="T60" s="460">
        <f t="shared" si="12"/>
        <v>1173</v>
      </c>
      <c r="U60" s="474">
        <f t="shared" si="13"/>
        <v>0</v>
      </c>
      <c r="V60" s="424"/>
    </row>
    <row r="61" spans="1:22" x14ac:dyDescent="0.25">
      <c r="A61" s="589"/>
      <c r="B61" s="589"/>
      <c r="C61" s="143">
        <v>1</v>
      </c>
      <c r="D61" s="143">
        <v>0.91</v>
      </c>
      <c r="E61" s="116">
        <f t="shared" si="10"/>
        <v>1.9100000000000001</v>
      </c>
      <c r="F61" s="444" t="s">
        <v>13</v>
      </c>
      <c r="G61" s="443">
        <v>252</v>
      </c>
      <c r="H61" s="457">
        <f>'1461'!H61</f>
        <v>3506</v>
      </c>
      <c r="I61" s="101">
        <f t="shared" si="11"/>
        <v>6696.46</v>
      </c>
      <c r="N61" s="619"/>
      <c r="O61" s="619"/>
      <c r="P61" s="622"/>
      <c r="Q61" s="622"/>
      <c r="R61" s="40" t="s">
        <v>13</v>
      </c>
      <c r="S61" s="449">
        <v>252</v>
      </c>
      <c r="T61" s="460">
        <f t="shared" si="12"/>
        <v>3506</v>
      </c>
      <c r="U61" s="474">
        <f t="shared" si="13"/>
        <v>0</v>
      </c>
      <c r="V61" s="424"/>
    </row>
    <row r="62" spans="1:22" x14ac:dyDescent="0.25">
      <c r="A62" s="589"/>
      <c r="B62" s="589"/>
      <c r="C62" s="143">
        <v>0</v>
      </c>
      <c r="D62" s="143">
        <v>0</v>
      </c>
      <c r="E62" s="116">
        <f t="shared" si="10"/>
        <v>0</v>
      </c>
      <c r="F62" s="444" t="s">
        <v>13</v>
      </c>
      <c r="G62" s="443">
        <v>253</v>
      </c>
      <c r="H62" s="457">
        <f>'1461'!H62</f>
        <v>7023</v>
      </c>
      <c r="I62" s="101">
        <f t="shared" si="11"/>
        <v>0</v>
      </c>
      <c r="N62" s="619"/>
      <c r="O62" s="619"/>
      <c r="P62" s="622"/>
      <c r="Q62" s="622"/>
      <c r="R62" s="40" t="s">
        <v>13</v>
      </c>
      <c r="S62" s="449">
        <v>253</v>
      </c>
      <c r="T62" s="460">
        <f t="shared" si="12"/>
        <v>7023</v>
      </c>
      <c r="U62" s="474">
        <f t="shared" si="13"/>
        <v>0</v>
      </c>
      <c r="V62" s="424"/>
    </row>
    <row r="63" spans="1:22" x14ac:dyDescent="0.25">
      <c r="A63" s="589"/>
      <c r="B63" s="589"/>
      <c r="C63" s="143">
        <v>0</v>
      </c>
      <c r="D63" s="143">
        <v>0</v>
      </c>
      <c r="E63" s="116">
        <f t="shared" si="10"/>
        <v>0</v>
      </c>
      <c r="F63" s="444" t="s">
        <v>14</v>
      </c>
      <c r="G63" s="443">
        <v>251</v>
      </c>
      <c r="H63" s="457">
        <f>'1461'!H63</f>
        <v>835</v>
      </c>
      <c r="I63" s="101">
        <f t="shared" si="11"/>
        <v>0</v>
      </c>
      <c r="N63" s="619"/>
      <c r="O63" s="619"/>
      <c r="P63" s="622"/>
      <c r="Q63" s="622"/>
      <c r="R63" s="40" t="s">
        <v>14</v>
      </c>
      <c r="S63" s="449">
        <v>251</v>
      </c>
      <c r="T63" s="460">
        <f t="shared" si="12"/>
        <v>835</v>
      </c>
      <c r="U63" s="474">
        <f t="shared" si="13"/>
        <v>0</v>
      </c>
      <c r="V63" s="424"/>
    </row>
    <row r="64" spans="1:22" x14ac:dyDescent="0.25">
      <c r="A64" s="589"/>
      <c r="B64" s="589"/>
      <c r="C64" s="143">
        <v>0</v>
      </c>
      <c r="D64" s="143">
        <v>0</v>
      </c>
      <c r="E64" s="116">
        <f t="shared" si="10"/>
        <v>0</v>
      </c>
      <c r="F64" s="444" t="s">
        <v>14</v>
      </c>
      <c r="G64" s="443">
        <v>252</v>
      </c>
      <c r="H64" s="457">
        <f>'1461'!H64</f>
        <v>3168</v>
      </c>
      <c r="I64" s="101">
        <f t="shared" si="11"/>
        <v>0</v>
      </c>
      <c r="N64" s="619"/>
      <c r="O64" s="619"/>
      <c r="P64" s="622"/>
      <c r="Q64" s="622"/>
      <c r="R64" s="40" t="s">
        <v>14</v>
      </c>
      <c r="S64" s="449">
        <v>252</v>
      </c>
      <c r="T64" s="460">
        <f t="shared" si="12"/>
        <v>3168</v>
      </c>
      <c r="U64" s="474">
        <f t="shared" si="13"/>
        <v>0</v>
      </c>
      <c r="V64" s="424"/>
    </row>
    <row r="65" spans="1:22" ht="16.5" thickBot="1" x14ac:dyDescent="0.3">
      <c r="A65" s="589"/>
      <c r="B65" s="589"/>
      <c r="C65" s="143">
        <v>0</v>
      </c>
      <c r="D65" s="143">
        <v>0</v>
      </c>
      <c r="E65" s="116">
        <f t="shared" si="10"/>
        <v>0</v>
      </c>
      <c r="F65" s="444" t="s">
        <v>14</v>
      </c>
      <c r="G65" s="443">
        <v>253</v>
      </c>
      <c r="H65" s="457">
        <f>'1461'!H65</f>
        <v>6685</v>
      </c>
      <c r="I65" s="101">
        <f t="shared" si="11"/>
        <v>0</v>
      </c>
      <c r="N65" s="619"/>
      <c r="O65" s="619"/>
      <c r="P65" s="623"/>
      <c r="Q65" s="623"/>
      <c r="R65" s="40" t="s">
        <v>14</v>
      </c>
      <c r="S65" s="449">
        <v>253</v>
      </c>
      <c r="T65" s="460">
        <f t="shared" si="12"/>
        <v>6685</v>
      </c>
      <c r="U65" s="475">
        <f t="shared" si="13"/>
        <v>0</v>
      </c>
      <c r="V65" s="424"/>
    </row>
    <row r="66" spans="1:22" ht="16.5" thickBot="1" x14ac:dyDescent="0.3">
      <c r="A66" s="440"/>
      <c r="C66" s="97">
        <f>SUM(C57:C65)</f>
        <v>18.5</v>
      </c>
      <c r="D66" s="97">
        <f>SUM(D57:D65)</f>
        <v>18.5</v>
      </c>
      <c r="E66" s="97">
        <f>SUM(E57:E65)</f>
        <v>37</v>
      </c>
      <c r="F66" s="590" t="s">
        <v>448</v>
      </c>
      <c r="G66" s="590"/>
      <c r="H66" s="590"/>
      <c r="I66" s="97">
        <f>SUM(I57:I65)</f>
        <v>50824.39</v>
      </c>
      <c r="N66" s="446"/>
      <c r="O66" s="51"/>
      <c r="P66" s="602">
        <f>SUM(P57:P65)</f>
        <v>0</v>
      </c>
      <c r="Q66" s="602"/>
      <c r="R66" s="603" t="s">
        <v>448</v>
      </c>
      <c r="S66" s="603"/>
      <c r="T66" s="603"/>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450</v>
      </c>
      <c r="N68" s="453" t="s">
        <v>458</v>
      </c>
      <c r="O68" s="51"/>
      <c r="P68" s="51"/>
      <c r="Q68" s="51"/>
      <c r="R68" s="51"/>
      <c r="S68" s="51"/>
      <c r="T68" s="51"/>
      <c r="U68" s="51"/>
    </row>
    <row r="69" spans="1:22" x14ac:dyDescent="0.25">
      <c r="A69" s="584" t="s">
        <v>403</v>
      </c>
      <c r="B69" s="578"/>
      <c r="C69" s="112">
        <f>E30</f>
        <v>326.11</v>
      </c>
      <c r="D69" s="565" t="s">
        <v>414</v>
      </c>
      <c r="E69" s="565"/>
      <c r="F69" s="565"/>
      <c r="G69" s="565"/>
      <c r="H69" s="300">
        <f>'1461'!H69</f>
        <v>210228.91</v>
      </c>
      <c r="I69" s="113"/>
      <c r="N69" s="600" t="s">
        <v>407</v>
      </c>
      <c r="O69" s="601"/>
      <c r="P69" s="41">
        <f>P30</f>
        <v>0</v>
      </c>
      <c r="Q69" s="606" t="s">
        <v>409</v>
      </c>
      <c r="R69" s="607"/>
      <c r="S69" s="607"/>
      <c r="T69" s="604">
        <f>H69</f>
        <v>210228.91</v>
      </c>
      <c r="U69" s="604"/>
    </row>
    <row r="70" spans="1:22" x14ac:dyDescent="0.25">
      <c r="B70" s="69"/>
      <c r="G70" s="42" t="s">
        <v>12</v>
      </c>
      <c r="H70" s="114">
        <f>ROUND(C69/H69,6)</f>
        <v>1.5510000000000001E-3</v>
      </c>
      <c r="I70" s="115"/>
      <c r="N70" s="601"/>
      <c r="O70" s="601"/>
      <c r="P70" s="601"/>
      <c r="Q70" s="601"/>
      <c r="R70" s="601"/>
      <c r="S70" s="601"/>
      <c r="T70" s="605">
        <f>ROUND(P69/T69,6)</f>
        <v>0</v>
      </c>
      <c r="U70" s="605"/>
    </row>
    <row r="71" spans="1:22" x14ac:dyDescent="0.25">
      <c r="A71" s="442" t="s">
        <v>451</v>
      </c>
      <c r="N71" s="453" t="s">
        <v>459</v>
      </c>
      <c r="O71" s="51"/>
      <c r="P71" s="51"/>
      <c r="Q71" s="51"/>
      <c r="R71" s="51"/>
      <c r="S71" s="51"/>
      <c r="T71" s="51"/>
      <c r="U71" s="51"/>
    </row>
    <row r="72" spans="1:22" x14ac:dyDescent="0.25">
      <c r="A72" s="584" t="s">
        <v>404</v>
      </c>
      <c r="B72" s="578"/>
      <c r="C72" s="112">
        <f>H30</f>
        <v>342.61880000000008</v>
      </c>
      <c r="D72" s="565" t="s">
        <v>415</v>
      </c>
      <c r="E72" s="565"/>
      <c r="F72" s="565"/>
      <c r="G72" s="565"/>
      <c r="H72" s="301">
        <f>'1461'!H72</f>
        <v>234891.44</v>
      </c>
      <c r="I72" s="116"/>
      <c r="N72" s="600" t="s">
        <v>408</v>
      </c>
      <c r="O72" s="601"/>
      <c r="P72" s="41">
        <f>T30</f>
        <v>0</v>
      </c>
      <c r="Q72" s="606" t="s">
        <v>410</v>
      </c>
      <c r="R72" s="607"/>
      <c r="S72" s="607"/>
      <c r="T72" s="604">
        <f>H72</f>
        <v>234891.44</v>
      </c>
      <c r="U72" s="604"/>
    </row>
    <row r="73" spans="1:22" x14ac:dyDescent="0.25">
      <c r="G73" s="42" t="s">
        <v>12</v>
      </c>
      <c r="H73" s="114">
        <f>ROUND(C72/H72,6)</f>
        <v>1.459E-3</v>
      </c>
      <c r="I73" s="114"/>
      <c r="N73" s="601"/>
      <c r="O73" s="601"/>
      <c r="P73" s="601"/>
      <c r="Q73" s="601"/>
      <c r="R73" s="601"/>
      <c r="S73" s="601"/>
      <c r="T73" s="605">
        <f>ROUND(P72/T72,6)</f>
        <v>0</v>
      </c>
      <c r="U73" s="605"/>
    </row>
    <row r="74" spans="1:22" x14ac:dyDescent="0.25">
      <c r="A74" s="417" t="s">
        <v>452</v>
      </c>
      <c r="B74" s="414"/>
      <c r="C74" s="414"/>
      <c r="D74" s="414"/>
      <c r="E74" s="414"/>
      <c r="F74" s="414"/>
      <c r="G74" s="414"/>
      <c r="H74" s="414"/>
      <c r="I74" s="414"/>
      <c r="N74" s="416" t="s">
        <v>460</v>
      </c>
      <c r="O74" s="415"/>
      <c r="P74" s="415"/>
      <c r="Q74" s="415"/>
      <c r="R74" s="415"/>
      <c r="S74" s="415"/>
      <c r="T74" s="415"/>
      <c r="U74" s="415"/>
      <c r="V74" s="414"/>
    </row>
    <row r="75" spans="1:22" x14ac:dyDescent="0.25">
      <c r="A75" s="584" t="s">
        <v>405</v>
      </c>
      <c r="B75" s="578"/>
      <c r="C75" s="112">
        <f>E30</f>
        <v>326.11</v>
      </c>
      <c r="D75" s="557" t="s">
        <v>416</v>
      </c>
      <c r="E75" s="557"/>
      <c r="F75" s="557"/>
      <c r="G75" s="557"/>
      <c r="H75" s="300">
        <f>'1461'!H75</f>
        <v>187665.41</v>
      </c>
      <c r="I75" s="113"/>
      <c r="N75" s="600" t="s">
        <v>406</v>
      </c>
      <c r="O75" s="601"/>
      <c r="P75" s="41">
        <f>P30</f>
        <v>0</v>
      </c>
      <c r="Q75" s="636" t="s">
        <v>411</v>
      </c>
      <c r="R75" s="637"/>
      <c r="S75" s="637"/>
      <c r="T75" s="604">
        <f>H75</f>
        <v>187665.41</v>
      </c>
      <c r="U75" s="604"/>
    </row>
    <row r="76" spans="1:22" x14ac:dyDescent="0.25">
      <c r="B76" s="69"/>
      <c r="G76" s="42" t="s">
        <v>12</v>
      </c>
      <c r="H76" s="114">
        <f>ROUND(C75/H75,6)</f>
        <v>1.738E-3</v>
      </c>
      <c r="I76" s="115"/>
      <c r="N76" s="601"/>
      <c r="O76" s="601"/>
      <c r="P76" s="601"/>
      <c r="Q76" s="601"/>
      <c r="R76" s="601"/>
      <c r="S76" s="601"/>
      <c r="T76" s="605">
        <f>ROUND(P75/T75,6)</f>
        <v>0</v>
      </c>
      <c r="U76" s="605"/>
    </row>
    <row r="77" spans="1:22" x14ac:dyDescent="0.25">
      <c r="A77" s="417" t="s">
        <v>453</v>
      </c>
      <c r="B77" s="414"/>
      <c r="C77" s="414"/>
      <c r="D77" s="414"/>
      <c r="E77" s="414"/>
      <c r="F77" s="414"/>
      <c r="G77" s="414"/>
      <c r="H77" s="414"/>
      <c r="I77" s="414"/>
      <c r="N77" s="416" t="s">
        <v>461</v>
      </c>
      <c r="O77" s="415"/>
      <c r="P77" s="415"/>
      <c r="Q77" s="415"/>
      <c r="R77" s="415"/>
      <c r="S77" s="415"/>
      <c r="T77" s="415"/>
      <c r="U77" s="415"/>
      <c r="V77" s="414"/>
    </row>
    <row r="78" spans="1:22" x14ac:dyDescent="0.25">
      <c r="A78" s="584" t="s">
        <v>405</v>
      </c>
      <c r="B78" s="578"/>
      <c r="C78" s="112">
        <f>E30</f>
        <v>326.11</v>
      </c>
      <c r="D78" s="585" t="s">
        <v>417</v>
      </c>
      <c r="E78" s="585"/>
      <c r="F78" s="585"/>
      <c r="G78" s="585"/>
      <c r="H78" s="300">
        <f>'1461'!H78</f>
        <v>209892.26</v>
      </c>
      <c r="I78" s="113"/>
      <c r="N78" s="600" t="s">
        <v>406</v>
      </c>
      <c r="O78" s="601"/>
      <c r="P78" s="41">
        <f>P30</f>
        <v>0</v>
      </c>
      <c r="Q78" s="634" t="s">
        <v>412</v>
      </c>
      <c r="R78" s="635"/>
      <c r="S78" s="635"/>
      <c r="T78" s="604">
        <f>H78</f>
        <v>209892.26</v>
      </c>
      <c r="U78" s="604"/>
    </row>
    <row r="79" spans="1:22" x14ac:dyDescent="0.25">
      <c r="B79" s="69"/>
      <c r="G79" s="42" t="s">
        <v>12</v>
      </c>
      <c r="H79" s="114">
        <f>ROUND(C78/H78,6)</f>
        <v>1.554E-3</v>
      </c>
      <c r="I79" s="115"/>
      <c r="N79" s="601"/>
      <c r="O79" s="601"/>
      <c r="P79" s="601"/>
      <c r="Q79" s="601"/>
      <c r="R79" s="601"/>
      <c r="S79" s="601"/>
      <c r="T79" s="605">
        <f>ROUND(P78/T78,6)</f>
        <v>0</v>
      </c>
      <c r="U79" s="605"/>
    </row>
    <row r="80" spans="1:22" x14ac:dyDescent="0.25">
      <c r="A80" s="417" t="s">
        <v>454</v>
      </c>
      <c r="B80" s="414"/>
      <c r="C80" s="414"/>
      <c r="D80" s="414"/>
      <c r="E80" s="414"/>
      <c r="F80" s="414"/>
      <c r="G80" s="414"/>
      <c r="H80" s="414"/>
      <c r="I80" s="414"/>
      <c r="N80" s="416" t="s">
        <v>462</v>
      </c>
      <c r="O80" s="415"/>
      <c r="P80" s="415"/>
      <c r="Q80" s="415"/>
      <c r="R80" s="415"/>
      <c r="S80" s="415"/>
      <c r="T80" s="415"/>
      <c r="U80" s="415"/>
      <c r="V80" s="414"/>
    </row>
    <row r="81" spans="1:21" x14ac:dyDescent="0.25">
      <c r="A81" s="584" t="s">
        <v>413</v>
      </c>
      <c r="B81" s="578"/>
      <c r="C81" s="112">
        <f>E30</f>
        <v>326.11</v>
      </c>
      <c r="D81" s="557" t="s">
        <v>418</v>
      </c>
      <c r="E81" s="557"/>
      <c r="F81" s="557"/>
      <c r="G81" s="557"/>
      <c r="H81" s="300">
        <f>'1461'!H81</f>
        <v>187328.76</v>
      </c>
      <c r="I81" s="113"/>
      <c r="N81" s="600" t="s">
        <v>419</v>
      </c>
      <c r="O81" s="601"/>
      <c r="P81" s="41">
        <f>P30</f>
        <v>0</v>
      </c>
      <c r="Q81" s="636" t="s">
        <v>420</v>
      </c>
      <c r="R81" s="637"/>
      <c r="S81" s="637"/>
      <c r="T81" s="604">
        <f>H81</f>
        <v>187328.76</v>
      </c>
      <c r="U81" s="604"/>
    </row>
    <row r="82" spans="1:21" x14ac:dyDescent="0.25">
      <c r="B82" s="69"/>
      <c r="G82" s="42" t="s">
        <v>12</v>
      </c>
      <c r="H82" s="114">
        <f>ROUND(C81/H81,6)</f>
        <v>1.7409999999999999E-3</v>
      </c>
      <c r="I82" s="115"/>
      <c r="N82" s="601"/>
      <c r="O82" s="601"/>
      <c r="P82" s="601"/>
      <c r="Q82" s="601"/>
      <c r="R82" s="601"/>
      <c r="S82" s="601"/>
      <c r="T82" s="605">
        <f>ROUND(P81/T81,6)</f>
        <v>0</v>
      </c>
      <c r="U82" s="605"/>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455</v>
      </c>
      <c r="D85" s="69"/>
      <c r="E85" s="43" t="s">
        <v>299</v>
      </c>
      <c r="F85" s="302">
        <f>'1461'!F85</f>
        <v>46163704</v>
      </c>
      <c r="G85" s="37" t="s">
        <v>6</v>
      </c>
      <c r="H85" s="422">
        <f>H79</f>
        <v>1.554E-3</v>
      </c>
      <c r="I85" s="101">
        <f>ROUND(F85*H85,2)</f>
        <v>71738.399999999994</v>
      </c>
      <c r="N85" s="453" t="s">
        <v>455</v>
      </c>
      <c r="O85" s="51"/>
      <c r="P85" s="51"/>
      <c r="Q85" s="44"/>
      <c r="R85" s="419">
        <f>F85</f>
        <v>46163704</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87" t="s">
        <v>71</v>
      </c>
      <c r="B87" s="578"/>
      <c r="C87" s="578"/>
      <c r="D87" s="69"/>
      <c r="E87" s="43"/>
      <c r="F87" s="117"/>
      <c r="G87" s="37"/>
      <c r="H87" s="422"/>
      <c r="I87" s="101"/>
      <c r="N87" s="600" t="s">
        <v>463</v>
      </c>
      <c r="O87" s="601"/>
      <c r="P87" s="601"/>
      <c r="Q87" s="51"/>
      <c r="R87" s="420"/>
      <c r="S87" s="51"/>
      <c r="T87" s="38"/>
      <c r="U87" s="478"/>
    </row>
    <row r="88" spans="1:21" x14ac:dyDescent="0.25">
      <c r="A88" s="587" t="s">
        <v>99</v>
      </c>
      <c r="B88" s="578"/>
      <c r="C88" s="578"/>
      <c r="D88" s="69"/>
      <c r="E88" s="43" t="s">
        <v>3</v>
      </c>
      <c r="F88" s="302">
        <f>'1461'!F88</f>
        <v>0</v>
      </c>
      <c r="G88" s="37" t="s">
        <v>6</v>
      </c>
      <c r="H88" s="422">
        <f>H70</f>
        <v>1.5510000000000001E-3</v>
      </c>
      <c r="I88" s="101">
        <f>ROUND(F88*H88,2)</f>
        <v>0</v>
      </c>
      <c r="N88" s="638" t="s">
        <v>99</v>
      </c>
      <c r="O88" s="601"/>
      <c r="P88" s="601"/>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456</v>
      </c>
      <c r="D90" s="69"/>
      <c r="E90" s="43" t="s">
        <v>421</v>
      </c>
      <c r="F90" s="302">
        <f>'1461'!F90</f>
        <v>19042026</v>
      </c>
      <c r="G90" s="37" t="s">
        <v>6</v>
      </c>
      <c r="H90" s="422">
        <f>H82</f>
        <v>1.7409999999999999E-3</v>
      </c>
      <c r="I90" s="101">
        <f>ROUND(F90*H90,2)</f>
        <v>33152.17</v>
      </c>
      <c r="N90" s="453" t="s">
        <v>456</v>
      </c>
      <c r="O90" s="51"/>
      <c r="P90" s="51"/>
      <c r="Q90" s="44"/>
      <c r="R90" s="419">
        <f>F90</f>
        <v>19042026</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457</v>
      </c>
      <c r="D92" s="69"/>
      <c r="E92" s="43" t="s">
        <v>3</v>
      </c>
      <c r="F92" s="302">
        <f>'1461'!F92</f>
        <v>11441151</v>
      </c>
      <c r="G92" s="37" t="s">
        <v>6</v>
      </c>
      <c r="H92" s="422">
        <f>H76</f>
        <v>1.738E-3</v>
      </c>
      <c r="I92" s="101">
        <f t="shared" ref="I92:I96" si="14">ROUND(F92*H92,2)</f>
        <v>19884.72</v>
      </c>
      <c r="N92" s="453" t="s">
        <v>457</v>
      </c>
      <c r="O92" s="51"/>
      <c r="P92" s="51"/>
      <c r="Q92" s="44"/>
      <c r="R92" s="419">
        <f t="shared" ref="R92:R96" si="15">F92</f>
        <v>11441151</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84" t="s">
        <v>422</v>
      </c>
      <c r="B94" s="578"/>
      <c r="C94" s="578"/>
      <c r="D94" s="69"/>
      <c r="E94" s="43" t="s">
        <v>4</v>
      </c>
      <c r="F94" s="302">
        <f>'1461'!F94</f>
        <v>247265670</v>
      </c>
      <c r="G94" s="37" t="s">
        <v>6</v>
      </c>
      <c r="H94" s="422">
        <f>H73</f>
        <v>1.459E-3</v>
      </c>
      <c r="I94" s="101">
        <f t="shared" si="14"/>
        <v>360760.61</v>
      </c>
      <c r="N94" s="601" t="s">
        <v>422</v>
      </c>
      <c r="O94" s="601"/>
      <c r="P94" s="601"/>
      <c r="Q94" s="44"/>
      <c r="R94" s="419">
        <f t="shared" si="15"/>
        <v>247265670</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4" t="s">
        <v>423</v>
      </c>
      <c r="B96" s="578"/>
      <c r="C96" s="578"/>
      <c r="D96" s="69"/>
      <c r="E96" s="43" t="s">
        <v>4</v>
      </c>
      <c r="F96" s="302">
        <f>'1461'!F96</f>
        <v>0</v>
      </c>
      <c r="G96" s="37" t="s">
        <v>6</v>
      </c>
      <c r="H96" s="422">
        <f>H73</f>
        <v>1.459E-3</v>
      </c>
      <c r="I96" s="101">
        <f t="shared" si="14"/>
        <v>0</v>
      </c>
      <c r="N96" s="600" t="s">
        <v>423</v>
      </c>
      <c r="O96" s="601"/>
      <c r="P96" s="601"/>
      <c r="Q96" s="44"/>
      <c r="R96" s="419">
        <f t="shared" si="15"/>
        <v>0</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530" t="s">
        <v>497</v>
      </c>
      <c r="B98" s="529"/>
      <c r="C98" s="529"/>
      <c r="D98" s="529"/>
      <c r="E98" s="527" t="s">
        <v>3</v>
      </c>
      <c r="F98" s="290">
        <v>0</v>
      </c>
      <c r="G98" s="528" t="s">
        <v>6</v>
      </c>
      <c r="H98" s="422">
        <f>H70</f>
        <v>1.5510000000000001E-3</v>
      </c>
      <c r="I98" s="101">
        <f t="shared" ref="I98" si="16">ROUND(F98*H98,2)</f>
        <v>0</v>
      </c>
      <c r="N98" s="533" t="s">
        <v>497</v>
      </c>
      <c r="O98" s="533"/>
      <c r="P98" s="533"/>
      <c r="Q98" s="44"/>
      <c r="R98" s="536">
        <f>F98</f>
        <v>0</v>
      </c>
      <c r="S98" s="534" t="s">
        <v>6</v>
      </c>
      <c r="T98" s="421">
        <f>T70</f>
        <v>0</v>
      </c>
      <c r="U98" s="473">
        <f>ROUND(R98*T98,2)</f>
        <v>0</v>
      </c>
    </row>
    <row r="99" spans="1:21" x14ac:dyDescent="0.25">
      <c r="A99" s="530"/>
      <c r="B99" s="529"/>
      <c r="C99" s="529"/>
      <c r="D99" s="529"/>
      <c r="E99" s="527"/>
      <c r="F99" s="276"/>
      <c r="G99" s="528"/>
      <c r="H99" s="422"/>
      <c r="I99" s="101"/>
      <c r="N99" s="533"/>
      <c r="O99" s="533"/>
      <c r="P99" s="533"/>
      <c r="Q99" s="44"/>
      <c r="R99" s="535"/>
      <c r="S99" s="534"/>
      <c r="T99" s="421"/>
      <c r="U99" s="477"/>
    </row>
    <row r="100" spans="1:21" x14ac:dyDescent="0.25">
      <c r="A100" s="530"/>
      <c r="B100" s="529"/>
      <c r="C100" s="529"/>
      <c r="D100" s="529"/>
      <c r="E100" s="527"/>
      <c r="F100" s="276"/>
      <c r="G100" s="528"/>
      <c r="H100" s="422"/>
      <c r="I100" s="101"/>
      <c r="N100" s="533"/>
      <c r="O100" s="533"/>
      <c r="P100" s="533"/>
      <c r="Q100" s="44"/>
      <c r="R100" s="420"/>
      <c r="S100" s="534"/>
      <c r="T100" s="421"/>
      <c r="U100" s="103"/>
    </row>
    <row r="101" spans="1:21" x14ac:dyDescent="0.25">
      <c r="A101" s="399" t="s">
        <v>498</v>
      </c>
      <c r="N101" s="407" t="s">
        <v>498</v>
      </c>
      <c r="O101" s="51"/>
      <c r="P101" s="51"/>
      <c r="Q101" s="51"/>
      <c r="R101" s="51"/>
      <c r="S101" s="51"/>
      <c r="T101" s="51"/>
      <c r="U101" s="51"/>
    </row>
    <row r="102" spans="1:21" x14ac:dyDescent="0.25">
      <c r="B102" s="69"/>
      <c r="C102" s="563" t="s">
        <v>60</v>
      </c>
      <c r="D102" s="563"/>
      <c r="E102" s="69"/>
      <c r="F102" s="39" t="s">
        <v>28</v>
      </c>
      <c r="G102" s="69"/>
      <c r="H102" s="69"/>
      <c r="I102" s="69"/>
      <c r="N102" s="45"/>
      <c r="O102" s="45"/>
      <c r="P102" s="45"/>
      <c r="Q102" s="45"/>
      <c r="R102" s="45"/>
      <c r="S102" s="45"/>
      <c r="T102" s="45"/>
      <c r="U102" s="45"/>
    </row>
    <row r="103" spans="1:21" x14ac:dyDescent="0.25">
      <c r="A103" s="3"/>
      <c r="B103" s="118"/>
      <c r="C103" s="564" t="s">
        <v>101</v>
      </c>
      <c r="D103" s="564"/>
      <c r="E103" s="423" t="s">
        <v>426</v>
      </c>
      <c r="F103" s="120" t="s">
        <v>106</v>
      </c>
      <c r="G103" s="121"/>
      <c r="H103" s="121"/>
      <c r="I103" s="121"/>
      <c r="N103" s="631" t="s">
        <v>35</v>
      </c>
      <c r="O103" s="631"/>
      <c r="P103" s="672" t="s">
        <v>428</v>
      </c>
      <c r="Q103" s="633"/>
      <c r="R103" s="604" t="s">
        <v>31</v>
      </c>
      <c r="S103" s="604"/>
      <c r="T103" s="604"/>
      <c r="U103" s="604"/>
    </row>
    <row r="104" spans="1:21" x14ac:dyDescent="0.25">
      <c r="A104" s="26"/>
      <c r="B104" s="52" t="s">
        <v>105</v>
      </c>
      <c r="C104" s="596">
        <f>H14+H15+H20+H23+H26</f>
        <v>140.30359999999999</v>
      </c>
      <c r="D104" s="596"/>
      <c r="E104" s="46">
        <f>H8</f>
        <v>1.0407999999999999</v>
      </c>
      <c r="F104" s="303">
        <f>'1461'!F104</f>
        <v>950.92</v>
      </c>
      <c r="G104" s="39" t="s">
        <v>12</v>
      </c>
      <c r="H104" s="101">
        <f>ROUND(C104*E104*F104,2)</f>
        <v>138860.93</v>
      </c>
      <c r="I104" s="104"/>
      <c r="N104" s="28" t="s">
        <v>17</v>
      </c>
      <c r="O104" s="47">
        <f>T14+T15+T20+T23+T26</f>
        <v>0</v>
      </c>
      <c r="P104" s="611">
        <f>T8</f>
        <v>1.0407999999999999</v>
      </c>
      <c r="Q104" s="611"/>
      <c r="R104" s="48">
        <f>F104</f>
        <v>950.92</v>
      </c>
      <c r="S104" s="40" t="s">
        <v>12</v>
      </c>
      <c r="T104" s="479">
        <f>ROUND(O104*P104*R104,2)</f>
        <v>0</v>
      </c>
      <c r="U104" s="102"/>
    </row>
    <row r="105" spans="1:21" x14ac:dyDescent="0.25">
      <c r="A105" s="49"/>
      <c r="B105" s="49" t="s">
        <v>104</v>
      </c>
      <c r="C105" s="596">
        <f>H16+H17+H21+H24+H27</f>
        <v>202.3152</v>
      </c>
      <c r="D105" s="596"/>
      <c r="E105" s="46">
        <f>H8</f>
        <v>1.0407999999999999</v>
      </c>
      <c r="F105" s="303">
        <f>'1461'!F105</f>
        <v>907.92</v>
      </c>
      <c r="G105" s="39" t="s">
        <v>12</v>
      </c>
      <c r="H105" s="101">
        <f>ROUND(C105*E105*F105,2)</f>
        <v>191180.41</v>
      </c>
      <c r="N105" s="50" t="s">
        <v>13</v>
      </c>
      <c r="O105" s="47">
        <f>T16+T17+T21+T24+T27</f>
        <v>0</v>
      </c>
      <c r="P105" s="611">
        <f>T8</f>
        <v>1.0407999999999999</v>
      </c>
      <c r="Q105" s="611"/>
      <c r="R105" s="48">
        <f>F105</f>
        <v>907.92</v>
      </c>
      <c r="S105" s="40" t="s">
        <v>12</v>
      </c>
      <c r="T105" s="479">
        <f>ROUND(O105*P105*R105,2)</f>
        <v>0</v>
      </c>
      <c r="U105" s="51"/>
    </row>
    <row r="106" spans="1:21" ht="16.5" thickBot="1" x14ac:dyDescent="0.3">
      <c r="A106" s="52"/>
      <c r="B106" s="52" t="s">
        <v>103</v>
      </c>
      <c r="C106" s="596">
        <f>H18+H19+H22+H25+H28+H29</f>
        <v>0</v>
      </c>
      <c r="D106" s="596"/>
      <c r="E106" s="46">
        <f>H8</f>
        <v>1.0407999999999999</v>
      </c>
      <c r="F106" s="303">
        <f>'1461'!F106</f>
        <v>910.12</v>
      </c>
      <c r="G106" s="39" t="s">
        <v>12</v>
      </c>
      <c r="H106" s="94">
        <f>ROUND(C106*E106*F106,2)</f>
        <v>0</v>
      </c>
      <c r="N106" s="53" t="s">
        <v>14</v>
      </c>
      <c r="O106" s="54">
        <f>T18+T19+T22+T25+T28+T29</f>
        <v>0</v>
      </c>
      <c r="P106" s="611">
        <f>T8</f>
        <v>1.0407999999999999</v>
      </c>
      <c r="Q106" s="611"/>
      <c r="R106" s="48">
        <f>F106</f>
        <v>910.12</v>
      </c>
      <c r="S106" s="40" t="s">
        <v>12</v>
      </c>
      <c r="T106" s="479">
        <f>ROUND(O106*P106*R106,2)</f>
        <v>0</v>
      </c>
      <c r="U106" s="51"/>
    </row>
    <row r="107" spans="1:21" ht="16.5" thickBot="1" x14ac:dyDescent="0.3">
      <c r="A107" s="55"/>
      <c r="B107" s="122" t="s">
        <v>102</v>
      </c>
      <c r="C107" s="586">
        <f>SUM(C104:C106)</f>
        <v>342.61879999999996</v>
      </c>
      <c r="D107" s="586"/>
      <c r="E107" s="123"/>
      <c r="F107" s="123"/>
      <c r="G107" s="123"/>
      <c r="H107" s="124" t="s">
        <v>100</v>
      </c>
      <c r="I107" s="101">
        <f>IF(A1=75,0,H106+H105+H104)</f>
        <v>330041.33999999997</v>
      </c>
      <c r="N107" s="56" t="s">
        <v>89</v>
      </c>
      <c r="O107" s="57">
        <f>SUM(O104:O106)</f>
        <v>0</v>
      </c>
      <c r="P107" s="612" t="s">
        <v>16</v>
      </c>
      <c r="Q107" s="613"/>
      <c r="R107" s="613"/>
      <c r="S107" s="613"/>
      <c r="T107" s="613"/>
      <c r="U107" s="473">
        <f>IF(N1=75,0,T106+T105+T104)</f>
        <v>0</v>
      </c>
    </row>
    <row r="108" spans="1:21" ht="16.5" thickTop="1" x14ac:dyDescent="0.25">
      <c r="A108" s="555" t="s">
        <v>65</v>
      </c>
      <c r="B108" s="555"/>
      <c r="C108" s="555"/>
      <c r="D108" s="555"/>
      <c r="E108" s="555"/>
      <c r="F108" s="555"/>
      <c r="G108" s="555"/>
      <c r="H108" s="555"/>
      <c r="I108" s="555"/>
      <c r="N108" s="614" t="s">
        <v>65</v>
      </c>
      <c r="O108" s="614"/>
      <c r="P108" s="614"/>
      <c r="Q108" s="614"/>
      <c r="R108" s="614"/>
      <c r="S108" s="614"/>
      <c r="T108" s="614"/>
      <c r="U108" s="614"/>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0" t="s">
        <v>499</v>
      </c>
      <c r="C110" s="43"/>
      <c r="D110" s="69"/>
      <c r="E110" s="43" t="s">
        <v>32</v>
      </c>
      <c r="F110" s="556"/>
      <c r="G110" s="556"/>
      <c r="H110" s="556"/>
      <c r="I110" s="556"/>
      <c r="N110" s="600" t="s">
        <v>499</v>
      </c>
      <c r="O110" s="601"/>
      <c r="P110" s="601"/>
      <c r="Q110" s="615"/>
      <c r="R110" s="615"/>
      <c r="S110" s="615"/>
      <c r="T110" s="615"/>
      <c r="U110" s="103"/>
    </row>
    <row r="111" spans="1:21" x14ac:dyDescent="0.25">
      <c r="B111" s="69"/>
      <c r="C111" s="88" t="s">
        <v>494</v>
      </c>
      <c r="D111" s="333" t="s">
        <v>495</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57" t="s">
        <v>381</v>
      </c>
      <c r="B113" s="558"/>
      <c r="C113" s="143">
        <v>0</v>
      </c>
      <c r="D113" s="143">
        <v>0</v>
      </c>
      <c r="E113" s="116">
        <f>(C113+D113)/2</f>
        <v>0</v>
      </c>
      <c r="F113" s="126" t="s">
        <v>30</v>
      </c>
      <c r="G113" s="304">
        <f>'1461'!G113</f>
        <v>576</v>
      </c>
      <c r="I113" s="101">
        <f>ROUND(G113*E113,2)</f>
        <v>0</v>
      </c>
      <c r="N113" s="630" t="s">
        <v>52</v>
      </c>
      <c r="O113" s="630"/>
      <c r="P113" s="610">
        <f>IF(H133=1,E113,0)</f>
        <v>0</v>
      </c>
      <c r="Q113" s="610"/>
      <c r="R113" s="610"/>
      <c r="S113" s="83" t="s">
        <v>30</v>
      </c>
      <c r="T113" s="58">
        <f>G113</f>
        <v>576</v>
      </c>
      <c r="U113" s="473">
        <f>ROUND(T113*P113,2)</f>
        <v>0</v>
      </c>
    </row>
    <row r="114" spans="1:21" x14ac:dyDescent="0.25">
      <c r="A114" s="557" t="s">
        <v>382</v>
      </c>
      <c r="B114" s="558"/>
      <c r="C114" s="143">
        <v>0</v>
      </c>
      <c r="D114" s="143">
        <v>0</v>
      </c>
      <c r="E114" s="116">
        <f>(C114+D114)/2</f>
        <v>0</v>
      </c>
      <c r="F114" s="126" t="s">
        <v>30</v>
      </c>
      <c r="G114" s="304">
        <f>'1461'!G114</f>
        <v>1823</v>
      </c>
      <c r="I114" s="101">
        <f>ROUND(G114*E114,2)</f>
        <v>0</v>
      </c>
      <c r="N114" s="630" t="s">
        <v>64</v>
      </c>
      <c r="O114" s="630"/>
      <c r="P114" s="608"/>
      <c r="Q114" s="608"/>
      <c r="R114" s="608"/>
      <c r="S114" s="83" t="s">
        <v>30</v>
      </c>
      <c r="T114" s="58">
        <f>G114</f>
        <v>1823</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4" t="s">
        <v>430</v>
      </c>
      <c r="B117" s="578"/>
      <c r="C117" s="578"/>
      <c r="D117" s="69"/>
      <c r="E117" s="39" t="s">
        <v>300</v>
      </c>
      <c r="F117" s="563"/>
      <c r="G117" s="563"/>
      <c r="H117" s="563"/>
      <c r="I117" s="563"/>
      <c r="N117" s="600" t="s">
        <v>431</v>
      </c>
      <c r="O117" s="601"/>
      <c r="P117" s="601"/>
      <c r="Q117" s="601"/>
      <c r="R117" s="601"/>
      <c r="S117" s="601"/>
      <c r="T117" s="601"/>
      <c r="U117" s="601"/>
    </row>
    <row r="118" spans="1:21" hidden="1" x14ac:dyDescent="0.25">
      <c r="B118" s="69"/>
      <c r="C118" s="564" t="s">
        <v>66</v>
      </c>
      <c r="D118" s="564"/>
      <c r="E118" s="564"/>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5" t="s">
        <v>109</v>
      </c>
      <c r="G119" s="563"/>
      <c r="H119" s="37" t="s">
        <v>29</v>
      </c>
      <c r="I119" s="37"/>
      <c r="N119" s="45"/>
      <c r="O119" s="45"/>
      <c r="P119" s="45"/>
      <c r="Q119" s="45"/>
      <c r="R119" s="45"/>
      <c r="S119" s="45"/>
      <c r="T119" s="45"/>
      <c r="U119" s="45"/>
    </row>
    <row r="120" spans="1:21" hidden="1" x14ac:dyDescent="0.25">
      <c r="A120" s="564" t="s">
        <v>69</v>
      </c>
      <c r="B120" s="564"/>
      <c r="C120" s="90" t="s">
        <v>2</v>
      </c>
      <c r="D120" s="90" t="s">
        <v>2</v>
      </c>
      <c r="E120" s="59" t="s">
        <v>2</v>
      </c>
      <c r="F120" s="564" t="s">
        <v>28</v>
      </c>
      <c r="G120" s="564"/>
      <c r="H120" s="59" t="s">
        <v>28</v>
      </c>
      <c r="I120" s="59" t="s">
        <v>8</v>
      </c>
      <c r="N120" s="609" t="s">
        <v>53</v>
      </c>
      <c r="O120" s="609"/>
      <c r="P120" s="610" t="s">
        <v>66</v>
      </c>
      <c r="Q120" s="610"/>
      <c r="R120" s="609" t="s">
        <v>54</v>
      </c>
      <c r="S120" s="609"/>
      <c r="T120" s="60" t="s">
        <v>55</v>
      </c>
      <c r="U120" s="60" t="s">
        <v>8</v>
      </c>
    </row>
    <row r="121" spans="1:21" hidden="1" x14ac:dyDescent="0.25">
      <c r="A121" s="561" t="s">
        <v>56</v>
      </c>
      <c r="B121" s="561"/>
      <c r="C121" s="141">
        <v>0</v>
      </c>
      <c r="D121" s="141">
        <v>0</v>
      </c>
      <c r="E121" s="187">
        <f>IF(D30=0,C121*2,C121+D121)</f>
        <v>0</v>
      </c>
      <c r="F121" s="562">
        <v>0</v>
      </c>
      <c r="G121" s="562"/>
      <c r="H121" s="224">
        <f>IF(C121=0,0,125)</f>
        <v>0</v>
      </c>
      <c r="I121" s="101">
        <f>ROUND((H121+F121)*E121,2)</f>
        <v>0</v>
      </c>
      <c r="N121" s="601" t="s">
        <v>56</v>
      </c>
      <c r="O121" s="601"/>
      <c r="P121" s="608">
        <f>IF(H$133=1,C121,0)</f>
        <v>0</v>
      </c>
      <c r="Q121" s="608"/>
      <c r="R121" s="628">
        <f>F121</f>
        <v>0</v>
      </c>
      <c r="S121" s="628"/>
      <c r="T121" s="62">
        <f>H121</f>
        <v>0</v>
      </c>
      <c r="U121" s="96">
        <f>ROUND((T121+R121)*P121,0)</f>
        <v>0</v>
      </c>
    </row>
    <row r="122" spans="1:21" hidden="1" x14ac:dyDescent="0.25">
      <c r="A122" s="581" t="s">
        <v>57</v>
      </c>
      <c r="B122" s="581"/>
      <c r="C122" s="143">
        <v>0</v>
      </c>
      <c r="D122" s="143">
        <v>0</v>
      </c>
      <c r="E122" s="116">
        <f>IF(D31=0,C122*2,C122+D122)</f>
        <v>0</v>
      </c>
      <c r="F122" s="598">
        <f>ROUND(F121/2,2)</f>
        <v>0</v>
      </c>
      <c r="G122" s="598"/>
      <c r="H122" s="224">
        <f>IF(C122=0,0,62.5)</f>
        <v>0</v>
      </c>
      <c r="I122" s="101">
        <f>ROUND((H122+F122)*E122,2)</f>
        <v>0</v>
      </c>
      <c r="N122" s="601" t="s">
        <v>57</v>
      </c>
      <c r="O122" s="601"/>
      <c r="P122" s="608">
        <f>IF(H$133=1,C122,0)</f>
        <v>0</v>
      </c>
      <c r="Q122" s="608"/>
      <c r="R122" s="629">
        <f>ROUND(R121/2,2)</f>
        <v>0</v>
      </c>
      <c r="S122" s="629"/>
      <c r="T122" s="62">
        <f>H122</f>
        <v>0</v>
      </c>
      <c r="U122" s="96">
        <f>ROUND((T122+R122)*P122,0)</f>
        <v>0</v>
      </c>
    </row>
    <row r="123" spans="1:21" ht="16.5" hidden="1" thickBot="1" x14ac:dyDescent="0.3">
      <c r="A123" s="581" t="s">
        <v>58</v>
      </c>
      <c r="B123" s="581"/>
      <c r="C123" s="143">
        <v>0</v>
      </c>
      <c r="D123" s="143">
        <v>0</v>
      </c>
      <c r="E123" s="116">
        <f>IF(D32=0,C123*2,C123+D123)</f>
        <v>0</v>
      </c>
      <c r="F123" s="599"/>
      <c r="G123" s="599"/>
      <c r="H123" s="225">
        <f>IF(H121&gt;0,436,0)</f>
        <v>0</v>
      </c>
      <c r="I123" s="101">
        <f>ROUND(H123*E123,2)</f>
        <v>0</v>
      </c>
      <c r="N123" s="616" t="s">
        <v>58</v>
      </c>
      <c r="O123" s="616"/>
      <c r="P123" s="608">
        <f>IF(H$133=1,C123,0)</f>
        <v>0</v>
      </c>
      <c r="Q123" s="608"/>
      <c r="R123" s="609"/>
      <c r="S123" s="609"/>
      <c r="T123" s="64">
        <f>H123</f>
        <v>0</v>
      </c>
      <c r="U123" s="103">
        <f>ROUND(T123*P123,0)</f>
        <v>0</v>
      </c>
    </row>
    <row r="124" spans="1:21" ht="16.5" hidden="1" thickBot="1" x14ac:dyDescent="0.3">
      <c r="A124" s="563" t="s">
        <v>8</v>
      </c>
      <c r="B124" s="563"/>
      <c r="C124" s="65"/>
      <c r="D124" s="65"/>
      <c r="E124" s="65"/>
      <c r="F124" s="65"/>
      <c r="G124" s="65"/>
      <c r="H124" s="65"/>
      <c r="I124" s="97">
        <f>SUM(I121:I123)</f>
        <v>0</v>
      </c>
      <c r="N124" s="627" t="s">
        <v>8</v>
      </c>
      <c r="O124" s="627"/>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4" t="s">
        <v>432</v>
      </c>
      <c r="B126" s="578"/>
      <c r="C126" s="578"/>
      <c r="D126" s="69"/>
      <c r="E126" s="68" t="s">
        <v>34</v>
      </c>
      <c r="F126" s="597"/>
      <c r="G126" s="597"/>
      <c r="H126" s="597"/>
      <c r="I126" s="154">
        <v>0</v>
      </c>
      <c r="N126" s="600" t="s">
        <v>432</v>
      </c>
      <c r="O126" s="601"/>
      <c r="P126" s="601"/>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90" t="s">
        <v>8</v>
      </c>
      <c r="B128" s="590"/>
      <c r="C128" s="590"/>
      <c r="D128" s="590"/>
      <c r="E128" s="590"/>
      <c r="F128" s="590"/>
      <c r="G128" s="590"/>
      <c r="H128" s="590"/>
      <c r="I128" s="94">
        <f>SUM(I46,I66,I85,I88,I90,I92,I94,I96,I107,I113,I114,I124,I126)</f>
        <v>2767416.55</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434</v>
      </c>
      <c r="B130" s="26"/>
      <c r="C130" s="26"/>
      <c r="D130" s="26"/>
      <c r="E130" s="26"/>
      <c r="F130" s="26"/>
      <c r="G130" s="26"/>
      <c r="H130" s="26"/>
      <c r="I130" s="101">
        <f>I128-I53</f>
        <v>2654686.3699999996</v>
      </c>
      <c r="N130" s="601" t="s">
        <v>434</v>
      </c>
      <c r="O130" s="601"/>
      <c r="P130" s="601"/>
      <c r="Q130" s="601"/>
      <c r="R130" s="601"/>
      <c r="S130" s="601"/>
      <c r="T130" s="601"/>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4" t="s">
        <v>502</v>
      </c>
      <c r="B132" s="578"/>
      <c r="C132" s="578"/>
      <c r="D132" s="578"/>
      <c r="E132" s="578"/>
      <c r="F132" s="578"/>
      <c r="G132" s="578"/>
      <c r="H132" s="81" t="s">
        <v>333</v>
      </c>
      <c r="I132" s="134"/>
      <c r="N132" s="600" t="s">
        <v>502</v>
      </c>
      <c r="O132" s="601"/>
      <c r="P132" s="601"/>
      <c r="Q132" s="601"/>
      <c r="R132" s="601"/>
      <c r="S132" s="601"/>
      <c r="T132" s="601"/>
      <c r="U132" s="138"/>
    </row>
    <row r="133" spans="1:21" x14ac:dyDescent="0.25">
      <c r="A133" s="578" t="s">
        <v>70</v>
      </c>
      <c r="B133" s="578"/>
      <c r="C133" s="578"/>
      <c r="D133" s="578"/>
      <c r="E133" s="578"/>
      <c r="F133" s="578"/>
      <c r="G133" s="578"/>
      <c r="H133" s="70" t="str">
        <f>IF(E30=0,"",IF((E15+E17+SUM(E19:E25))/E30&gt;0.75,1,""))</f>
        <v/>
      </c>
      <c r="I133" s="116">
        <f>U130</f>
        <v>0</v>
      </c>
      <c r="N133" s="601" t="s">
        <v>70</v>
      </c>
      <c r="O133" s="601"/>
      <c r="P133" s="601"/>
      <c r="Q133" s="601"/>
      <c r="R133" s="601"/>
      <c r="S133" s="601"/>
      <c r="T133" s="601"/>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8" t="s">
        <v>240</v>
      </c>
      <c r="H135" s="139">
        <f>IF(H133=1,I133,I130)</f>
        <v>2654686.3699999996</v>
      </c>
      <c r="I135" s="94">
        <f>ROUND(IF(E30=0,0,IF(E30&gt;250,-(((250/E30)*H135)*IF(G135="H",0.02,0.05)),IF(G135="H",-0.02*H135,-0.05*H135))),2)</f>
        <v>-40702.31</v>
      </c>
      <c r="N135" s="626"/>
      <c r="O135" s="626"/>
      <c r="P135" s="626"/>
      <c r="Q135" s="626"/>
      <c r="R135" s="626"/>
      <c r="S135" s="626"/>
      <c r="T135" s="626"/>
      <c r="U135" s="626"/>
    </row>
    <row r="136" spans="1:21" x14ac:dyDescent="0.25">
      <c r="B136" s="69"/>
      <c r="C136" s="69"/>
      <c r="D136" s="69"/>
      <c r="E136" s="69"/>
      <c r="F136" s="69"/>
      <c r="G136" s="69"/>
      <c r="H136" s="65"/>
      <c r="I136" s="101"/>
      <c r="N136" s="624" t="s">
        <v>7</v>
      </c>
      <c r="O136" s="624"/>
      <c r="P136" s="624"/>
      <c r="Q136" s="624"/>
      <c r="R136" s="624"/>
      <c r="S136" s="624"/>
      <c r="T136" s="624"/>
      <c r="U136" s="624"/>
    </row>
    <row r="137" spans="1:21" x14ac:dyDescent="0.25">
      <c r="A137" s="309" t="s">
        <v>74</v>
      </c>
      <c r="B137" s="310"/>
      <c r="C137" s="310"/>
      <c r="D137" s="310"/>
      <c r="E137" s="310"/>
      <c r="F137" s="310"/>
      <c r="G137" s="310"/>
      <c r="H137" s="311"/>
      <c r="I137" s="312">
        <f>I128+I135</f>
        <v>2726714.2399999998</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Payments'!Q93</f>
        <v>0</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2726714.2399999998</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227226.19</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12391.42</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372</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373</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374</v>
      </c>
      <c r="B155" s="252"/>
      <c r="C155" s="252"/>
      <c r="D155" s="252"/>
      <c r="E155" s="252"/>
      <c r="F155" s="252"/>
      <c r="G155" s="252"/>
      <c r="H155" s="252"/>
      <c r="I155" s="252"/>
      <c r="N155" s="625"/>
      <c r="O155" s="625"/>
      <c r="P155" s="625"/>
      <c r="Q155" s="625"/>
      <c r="R155" s="625"/>
      <c r="S155" s="625"/>
      <c r="T155" s="625"/>
      <c r="U155" s="625"/>
    </row>
    <row r="156" spans="1:21" s="76" customFormat="1" x14ac:dyDescent="0.2">
      <c r="A156" s="320" t="s">
        <v>375</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376</v>
      </c>
      <c r="B157" s="252"/>
      <c r="C157" s="252"/>
      <c r="D157" s="252"/>
      <c r="E157" s="252"/>
      <c r="F157" s="252"/>
      <c r="G157" s="252"/>
      <c r="H157" s="252"/>
      <c r="I157" s="252"/>
      <c r="N157" s="78"/>
      <c r="O157" s="79"/>
      <c r="P157" s="79"/>
      <c r="Q157" s="79"/>
      <c r="R157" s="79"/>
      <c r="S157" s="79"/>
      <c r="T157" s="79"/>
      <c r="U157" s="79"/>
    </row>
    <row r="158" spans="1:21" s="76" customFormat="1" x14ac:dyDescent="0.2">
      <c r="A158" s="320" t="s">
        <v>377</v>
      </c>
      <c r="B158" s="252"/>
      <c r="C158" s="252"/>
      <c r="D158" s="252"/>
      <c r="E158" s="252"/>
      <c r="F158" s="252"/>
      <c r="G158" s="252"/>
      <c r="H158" s="252"/>
      <c r="I158" s="252"/>
      <c r="N158" s="78"/>
    </row>
    <row r="159" spans="1:21" s="76" customFormat="1" x14ac:dyDescent="0.2">
      <c r="A159" s="320" t="s">
        <v>379</v>
      </c>
      <c r="B159" s="252"/>
      <c r="C159" s="252"/>
      <c r="D159" s="252"/>
      <c r="E159" s="252"/>
      <c r="F159" s="252"/>
      <c r="G159" s="252"/>
      <c r="H159" s="252"/>
      <c r="I159" s="252"/>
      <c r="N159" s="78"/>
    </row>
    <row r="160" spans="1:21" s="76" customFormat="1" x14ac:dyDescent="0.2">
      <c r="A160" s="385" t="s">
        <v>378</v>
      </c>
      <c r="B160" s="252"/>
      <c r="C160" s="252"/>
      <c r="D160" s="252"/>
      <c r="E160" s="252"/>
      <c r="F160" s="252"/>
      <c r="G160" s="252"/>
      <c r="H160" s="252"/>
      <c r="I160" s="252"/>
      <c r="N160" s="78"/>
    </row>
    <row r="161" spans="1:14" s="76" customFormat="1" x14ac:dyDescent="0.2">
      <c r="A161" s="320" t="s">
        <v>380</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383</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385</v>
      </c>
      <c r="B165" s="293"/>
      <c r="C165" s="293"/>
      <c r="D165" s="293"/>
      <c r="E165" s="293"/>
      <c r="F165" s="293"/>
      <c r="G165" s="293"/>
      <c r="H165" s="293"/>
      <c r="I165" s="293"/>
      <c r="N165" s="78"/>
    </row>
    <row r="166" spans="1:14" s="76" customFormat="1" ht="15.75" customHeight="1" x14ac:dyDescent="0.2">
      <c r="A166" s="351" t="s">
        <v>384</v>
      </c>
      <c r="B166" s="293"/>
      <c r="C166" s="293"/>
      <c r="D166" s="293"/>
      <c r="E166" s="293"/>
      <c r="F166" s="293"/>
      <c r="G166" s="293"/>
      <c r="H166" s="293"/>
      <c r="I166" s="293"/>
      <c r="N166" s="78"/>
    </row>
    <row r="167" spans="1:14" s="76" customFormat="1" ht="15.75" customHeight="1" x14ac:dyDescent="0.2">
      <c r="A167" s="320" t="s">
        <v>386</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388</v>
      </c>
      <c r="B169" s="343"/>
      <c r="C169" s="343"/>
      <c r="D169" s="343"/>
      <c r="E169" s="343"/>
      <c r="F169" s="343"/>
      <c r="G169" s="343"/>
      <c r="H169" s="343"/>
      <c r="I169" s="343"/>
      <c r="N169" s="78"/>
    </row>
    <row r="170" spans="1:14" s="76" customFormat="1" ht="15.75" customHeight="1" x14ac:dyDescent="0.2">
      <c r="A170" s="351" t="s">
        <v>387</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389</v>
      </c>
      <c r="B175" s="293"/>
      <c r="C175" s="293"/>
      <c r="D175" s="293"/>
      <c r="E175" s="293"/>
      <c r="F175" s="293"/>
      <c r="G175" s="293"/>
      <c r="H175" s="293"/>
      <c r="I175" s="293"/>
      <c r="J175" s="3"/>
      <c r="K175" s="3"/>
      <c r="L175" s="3"/>
      <c r="M175" s="3"/>
      <c r="N175" s="78"/>
    </row>
    <row r="176" spans="1:14" s="76" customFormat="1" ht="15.75" customHeight="1" x14ac:dyDescent="0.2">
      <c r="A176" s="361" t="s">
        <v>390</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7">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6" t="s">
        <v>15</v>
      </c>
      <c r="C1" s="567"/>
      <c r="D1" s="567"/>
      <c r="E1" s="567"/>
      <c r="F1" s="567"/>
      <c r="G1" s="567"/>
      <c r="H1" s="567"/>
      <c r="I1" s="567"/>
      <c r="J1" s="135"/>
      <c r="K1" s="135"/>
      <c r="L1" s="135"/>
      <c r="N1" s="82">
        <f>A1</f>
        <v>0</v>
      </c>
      <c r="O1" s="658" t="s">
        <v>15</v>
      </c>
      <c r="P1" s="659"/>
      <c r="Q1" s="659"/>
      <c r="R1" s="659"/>
      <c r="S1" s="659"/>
      <c r="T1" s="659"/>
      <c r="U1" s="659"/>
    </row>
    <row r="2" spans="1:21" ht="21" x14ac:dyDescent="0.35">
      <c r="A2" s="1" t="s">
        <v>325</v>
      </c>
      <c r="B2" s="2"/>
      <c r="C2" s="2"/>
      <c r="D2" s="2"/>
      <c r="E2" s="2"/>
      <c r="F2" s="2"/>
      <c r="G2" s="2"/>
      <c r="H2" s="2"/>
      <c r="I2" s="2"/>
      <c r="N2" s="660" t="s">
        <v>18</v>
      </c>
      <c r="O2" s="660"/>
      <c r="P2" s="660"/>
      <c r="Q2" s="660"/>
      <c r="R2" s="660"/>
      <c r="S2" s="660"/>
      <c r="T2" s="660"/>
      <c r="U2" s="660"/>
    </row>
    <row r="3" spans="1:21" x14ac:dyDescent="0.25">
      <c r="A3" s="81" t="str">
        <f>'1461'!A3</f>
        <v>Based on the FLDOE 2024-25 Conference Calculation</v>
      </c>
      <c r="N3" s="627" t="str">
        <f>A3</f>
        <v>Based on the FLDOE 2024-25 Conference Calculation</v>
      </c>
      <c r="O3" s="627"/>
      <c r="P3" s="627"/>
      <c r="Q3" s="627"/>
      <c r="R3" s="627"/>
      <c r="S3" s="627"/>
      <c r="T3" s="627"/>
      <c r="U3" s="627"/>
    </row>
    <row r="4" spans="1:21" x14ac:dyDescent="0.25">
      <c r="A4" s="568" t="s">
        <v>0</v>
      </c>
      <c r="B4" s="568"/>
      <c r="C4" s="569" t="s">
        <v>9</v>
      </c>
      <c r="D4" s="569"/>
      <c r="E4" s="569"/>
      <c r="F4" s="4" t="str">
        <f>'1461'!F4</f>
        <v>July 2024</v>
      </c>
      <c r="G4" s="4"/>
      <c r="H4" s="4"/>
      <c r="I4" s="4"/>
      <c r="N4" s="661" t="s">
        <v>0</v>
      </c>
      <c r="O4" s="661"/>
      <c r="P4" s="662" t="str">
        <f>C4</f>
        <v>Palm Beach</v>
      </c>
      <c r="Q4" s="662"/>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70" t="s">
        <v>433</v>
      </c>
      <c r="B7" s="664"/>
      <c r="C7" s="664"/>
      <c r="D7" s="664"/>
      <c r="E7" s="664"/>
      <c r="F7" s="664"/>
      <c r="G7" s="664"/>
      <c r="H7" s="664"/>
      <c r="I7" s="664"/>
      <c r="N7" s="661" t="str">
        <f>A7</f>
        <v>1A.   2023-24 FEFP State and Local Funding</v>
      </c>
      <c r="O7" s="661"/>
      <c r="P7" s="661"/>
      <c r="Q7" s="661"/>
      <c r="R7" s="661"/>
      <c r="S7" s="661"/>
      <c r="T7" s="661"/>
      <c r="U7" s="661"/>
    </row>
    <row r="8" spans="1:21" x14ac:dyDescent="0.25">
      <c r="A8" s="84"/>
      <c r="B8" s="85" t="s">
        <v>92</v>
      </c>
      <c r="C8" s="299">
        <f>'1461'!C8</f>
        <v>5330.98</v>
      </c>
      <c r="D8" s="86"/>
      <c r="E8" s="87"/>
      <c r="F8" s="84"/>
      <c r="G8" s="85" t="s">
        <v>393</v>
      </c>
      <c r="H8" s="287">
        <f>'1461'!H8</f>
        <v>1.0407999999999999</v>
      </c>
      <c r="I8" s="75"/>
      <c r="N8" s="665" t="s">
        <v>10</v>
      </c>
      <c r="O8" s="665"/>
      <c r="P8" s="666">
        <f>C8</f>
        <v>5330.98</v>
      </c>
      <c r="Q8" s="666"/>
      <c r="R8" s="648" t="s">
        <v>394</v>
      </c>
      <c r="S8" s="649"/>
      <c r="T8" s="650">
        <f>H8</f>
        <v>1.0407999999999999</v>
      </c>
      <c r="U8" s="650"/>
    </row>
    <row r="9" spans="1:21" x14ac:dyDescent="0.25">
      <c r="A9" s="84"/>
      <c r="B9" s="85"/>
      <c r="C9" s="222"/>
      <c r="D9" s="86"/>
      <c r="E9" s="87"/>
      <c r="F9" s="84"/>
      <c r="G9" s="85" t="s">
        <v>391</v>
      </c>
      <c r="H9" s="287">
        <f>'1461'!H9</f>
        <v>1</v>
      </c>
      <c r="I9" s="75"/>
      <c r="N9" s="12"/>
      <c r="O9" s="12"/>
      <c r="P9" s="13"/>
      <c r="Q9" s="13"/>
      <c r="R9" s="387" t="s">
        <v>392</v>
      </c>
      <c r="S9" s="384"/>
      <c r="T9" s="650">
        <f>H9</f>
        <v>1</v>
      </c>
      <c r="U9" s="650"/>
    </row>
    <row r="10" spans="1:21" x14ac:dyDescent="0.25">
      <c r="A10" s="7"/>
      <c r="B10" s="42" t="s">
        <v>310</v>
      </c>
      <c r="C10" s="334" t="str">
        <f>'1461'!C10</f>
        <v xml:space="preserve"> </v>
      </c>
      <c r="D10" s="334" t="str">
        <f>'1461'!D10</f>
        <v xml:space="preserve"> </v>
      </c>
      <c r="E10" s="8"/>
      <c r="F10" s="9"/>
      <c r="G10" s="9"/>
      <c r="H10" s="10"/>
      <c r="I10" s="305" t="str">
        <f>'1461'!I10</f>
        <v>2024-25</v>
      </c>
      <c r="N10" s="12"/>
      <c r="O10" s="12"/>
      <c r="P10" s="13"/>
      <c r="Q10" s="13"/>
      <c r="R10" s="14"/>
      <c r="S10" s="14"/>
      <c r="T10" s="15"/>
      <c r="U10" s="366" t="str">
        <f>I10</f>
        <v>2024-25</v>
      </c>
    </row>
    <row r="11" spans="1:21" x14ac:dyDescent="0.25">
      <c r="A11" s="7"/>
      <c r="B11" s="7"/>
      <c r="C11" s="88" t="str">
        <f>'1461'!C11</f>
        <v>Oct 2023</v>
      </c>
      <c r="D11" s="333" t="str">
        <f>'1461'!D11</f>
        <v>Feb 2024</v>
      </c>
      <c r="E11" s="89" t="s">
        <v>8</v>
      </c>
      <c r="F11" s="571" t="s">
        <v>1</v>
      </c>
      <c r="G11" s="571"/>
      <c r="H11" s="10" t="s">
        <v>60</v>
      </c>
      <c r="I11" s="11" t="s">
        <v>27</v>
      </c>
      <c r="N11" s="12"/>
      <c r="O11" s="12"/>
      <c r="P11" s="13"/>
      <c r="Q11" s="13"/>
      <c r="R11" s="651" t="s">
        <v>1</v>
      </c>
      <c r="S11" s="651"/>
      <c r="T11" s="15" t="s">
        <v>60</v>
      </c>
      <c r="U11" s="16" t="s">
        <v>27</v>
      </c>
    </row>
    <row r="12" spans="1:21" ht="15.75" customHeight="1" x14ac:dyDescent="0.25">
      <c r="A12" s="572" t="s">
        <v>1</v>
      </c>
      <c r="B12" s="572"/>
      <c r="C12" s="324" t="str">
        <f>'1461'!C12</f>
        <v>FTE</v>
      </c>
      <c r="D12" s="324" t="str">
        <f>'1461'!D12</f>
        <v>FTE</v>
      </c>
      <c r="E12" s="324" t="s">
        <v>2</v>
      </c>
      <c r="F12" s="573" t="s">
        <v>63</v>
      </c>
      <c r="G12" s="573"/>
      <c r="H12" s="17" t="s">
        <v>59</v>
      </c>
      <c r="I12" s="388" t="s">
        <v>395</v>
      </c>
      <c r="N12" s="639" t="s">
        <v>1</v>
      </c>
      <c r="O12" s="639"/>
      <c r="P12" s="652" t="s">
        <v>19</v>
      </c>
      <c r="Q12" s="652"/>
      <c r="R12" s="653" t="s">
        <v>63</v>
      </c>
      <c r="S12" s="653"/>
      <c r="T12" s="18" t="s">
        <v>59</v>
      </c>
      <c r="U12" s="19" t="str">
        <f>I12</f>
        <v>(WFTE x BSA x CWF x SDF)</v>
      </c>
    </row>
    <row r="13" spans="1:21" x14ac:dyDescent="0.25">
      <c r="A13" s="574" t="s">
        <v>36</v>
      </c>
      <c r="B13" s="574"/>
      <c r="C13" s="91"/>
      <c r="D13" s="91"/>
      <c r="E13" s="92" t="s">
        <v>37</v>
      </c>
      <c r="F13" s="575" t="s">
        <v>38</v>
      </c>
      <c r="G13" s="575"/>
      <c r="H13" s="20" t="s">
        <v>39</v>
      </c>
      <c r="I13" s="21" t="s">
        <v>40</v>
      </c>
      <c r="N13" s="654" t="s">
        <v>36</v>
      </c>
      <c r="O13" s="654"/>
      <c r="P13" s="655" t="s">
        <v>37</v>
      </c>
      <c r="Q13" s="655"/>
      <c r="R13" s="656" t="s">
        <v>38</v>
      </c>
      <c r="S13" s="656"/>
      <c r="T13" s="22" t="s">
        <v>39</v>
      </c>
      <c r="U13" s="23" t="s">
        <v>40</v>
      </c>
    </row>
    <row r="14" spans="1:21" x14ac:dyDescent="0.25">
      <c r="A14" s="576" t="s">
        <v>20</v>
      </c>
      <c r="B14" s="576"/>
      <c r="C14" s="143">
        <v>0</v>
      </c>
      <c r="D14" s="141">
        <v>0</v>
      </c>
      <c r="E14" s="187">
        <f>IF(D$30=0,C14*2,C14+D14)</f>
        <v>0</v>
      </c>
      <c r="F14" s="667">
        <f>'1461'!F14:G14</f>
        <v>1.1180000000000001</v>
      </c>
      <c r="G14" s="667"/>
      <c r="H14" s="145">
        <f>ROUND(E14*F14,4)</f>
        <v>0</v>
      </c>
      <c r="I14" s="111">
        <f>ROUND(ROUND(ROUND(H14*$C$8,4)*($H$8),2)*(MAX($H$9,1)),2)</f>
        <v>0</v>
      </c>
      <c r="N14" s="641" t="s">
        <v>20</v>
      </c>
      <c r="O14" s="641"/>
      <c r="P14" s="642">
        <f t="shared" ref="P14:P29" si="0">IF($H$133=1,E14,0)</f>
        <v>0</v>
      </c>
      <c r="Q14" s="642"/>
      <c r="R14" s="657">
        <v>1</v>
      </c>
      <c r="S14" s="657"/>
      <c r="T14" s="95">
        <f>ROUND(P14*R14,4)</f>
        <v>0</v>
      </c>
      <c r="U14" s="473">
        <f>ROUND(ROUND(ROUND(T14*$C$8,4)*($H$8),2)*(MAX($H$9,1)),2)</f>
        <v>0</v>
      </c>
    </row>
    <row r="15" spans="1:21" x14ac:dyDescent="0.25">
      <c r="A15" s="578" t="s">
        <v>21</v>
      </c>
      <c r="B15" s="578"/>
      <c r="C15" s="143">
        <v>0</v>
      </c>
      <c r="D15" s="143">
        <v>0</v>
      </c>
      <c r="E15" s="116">
        <f t="shared" ref="E15:E29" si="1">IF(D$30=0,C15*2,C15+D15)</f>
        <v>0</v>
      </c>
      <c r="F15" s="663">
        <f>'1461'!F15:G15</f>
        <v>1.1180000000000001</v>
      </c>
      <c r="G15" s="663"/>
      <c r="H15" s="80">
        <f t="shared" ref="H15:H29" si="2">ROUND(E15*F15,4)</f>
        <v>0</v>
      </c>
      <c r="I15" s="101">
        <f t="shared" ref="I15:I29" si="3">ROUND(ROUND(ROUND(H15*$C$8,4)*($H$8),2)*(MAX($H$9,1)),2)</f>
        <v>0</v>
      </c>
      <c r="J15" s="65" t="str">
        <f>IF(ROUND(E15,2)=ROUND(SUM(E57:E59),2)," ","CHECK PK-3 LINES BELOW")</f>
        <v xml:space="preserve"> </v>
      </c>
      <c r="N15" s="601" t="s">
        <v>21</v>
      </c>
      <c r="O15" s="601"/>
      <c r="P15" s="642">
        <f t="shared" si="0"/>
        <v>0</v>
      </c>
      <c r="Q15" s="642"/>
      <c r="R15" s="647">
        <v>1</v>
      </c>
      <c r="S15" s="647"/>
      <c r="T15" s="95">
        <f t="shared" ref="T15:T29" si="4">ROUND(P15*R15,4)</f>
        <v>0</v>
      </c>
      <c r="U15" s="473">
        <f t="shared" ref="U15:U29" si="5">ROUND(ROUND(ROUND(T15*$C$8,4)*($H$8),2)*(MAX($H$9,1)),2)</f>
        <v>0</v>
      </c>
    </row>
    <row r="16" spans="1:21" x14ac:dyDescent="0.25">
      <c r="A16" s="578" t="s">
        <v>22</v>
      </c>
      <c r="B16" s="578"/>
      <c r="C16" s="143">
        <v>0</v>
      </c>
      <c r="D16" s="143">
        <v>0</v>
      </c>
      <c r="E16" s="116">
        <f t="shared" si="1"/>
        <v>0</v>
      </c>
      <c r="F16" s="663">
        <f>'1461'!F16:G16</f>
        <v>1</v>
      </c>
      <c r="G16" s="663"/>
      <c r="H16" s="80">
        <f t="shared" si="2"/>
        <v>0</v>
      </c>
      <c r="I16" s="101">
        <f t="shared" si="3"/>
        <v>0</v>
      </c>
      <c r="N16" s="601" t="s">
        <v>22</v>
      </c>
      <c r="O16" s="601"/>
      <c r="P16" s="642">
        <f t="shared" si="0"/>
        <v>0</v>
      </c>
      <c r="Q16" s="642"/>
      <c r="R16" s="647">
        <v>1</v>
      </c>
      <c r="S16" s="647"/>
      <c r="T16" s="95">
        <f t="shared" si="4"/>
        <v>0</v>
      </c>
      <c r="U16" s="473">
        <f t="shared" si="5"/>
        <v>0</v>
      </c>
    </row>
    <row r="17" spans="1:21" x14ac:dyDescent="0.25">
      <c r="A17" s="578" t="s">
        <v>23</v>
      </c>
      <c r="B17" s="578"/>
      <c r="C17" s="143">
        <v>0</v>
      </c>
      <c r="D17" s="143">
        <v>0</v>
      </c>
      <c r="E17" s="116">
        <f t="shared" si="1"/>
        <v>0</v>
      </c>
      <c r="F17" s="663">
        <f>'1461'!F17:G17</f>
        <v>1</v>
      </c>
      <c r="G17" s="663"/>
      <c r="H17" s="80">
        <f t="shared" si="2"/>
        <v>0</v>
      </c>
      <c r="I17" s="101">
        <f t="shared" si="3"/>
        <v>0</v>
      </c>
      <c r="J17" s="65" t="str">
        <f>IF(ROUND(E17,2)=ROUND(SUM(E60:E62),2)," ","CHECK 4-8 LINES BELOW")</f>
        <v xml:space="preserve"> </v>
      </c>
      <c r="N17" s="601" t="s">
        <v>23</v>
      </c>
      <c r="O17" s="601"/>
      <c r="P17" s="642">
        <f t="shared" si="0"/>
        <v>0</v>
      </c>
      <c r="Q17" s="642"/>
      <c r="R17" s="647">
        <v>1</v>
      </c>
      <c r="S17" s="647"/>
      <c r="T17" s="95">
        <f t="shared" si="4"/>
        <v>0</v>
      </c>
      <c r="U17" s="473">
        <f t="shared" si="5"/>
        <v>0</v>
      </c>
    </row>
    <row r="18" spans="1:21" x14ac:dyDescent="0.25">
      <c r="A18" s="578" t="s">
        <v>24</v>
      </c>
      <c r="B18" s="578"/>
      <c r="C18" s="143">
        <v>245.98</v>
      </c>
      <c r="D18" s="143">
        <v>268.41000000000003</v>
      </c>
      <c r="E18" s="116">
        <f t="shared" si="1"/>
        <v>514.39</v>
      </c>
      <c r="F18" s="663">
        <f>'1461'!F18:G18</f>
        <v>0.97799999999999998</v>
      </c>
      <c r="G18" s="663"/>
      <c r="H18" s="80">
        <f t="shared" si="2"/>
        <v>503.07339999999999</v>
      </c>
      <c r="I18" s="101">
        <f t="shared" si="3"/>
        <v>2791294.7</v>
      </c>
      <c r="N18" s="601" t="s">
        <v>24</v>
      </c>
      <c r="O18" s="601"/>
      <c r="P18" s="642">
        <f t="shared" si="0"/>
        <v>0</v>
      </c>
      <c r="Q18" s="642"/>
      <c r="R18" s="647">
        <v>1</v>
      </c>
      <c r="S18" s="647"/>
      <c r="T18" s="95">
        <f t="shared" si="4"/>
        <v>0</v>
      </c>
      <c r="U18" s="473">
        <f t="shared" si="5"/>
        <v>0</v>
      </c>
    </row>
    <row r="19" spans="1:21" x14ac:dyDescent="0.25">
      <c r="A19" s="578" t="s">
        <v>25</v>
      </c>
      <c r="B19" s="578"/>
      <c r="C19" s="143">
        <v>46.43</v>
      </c>
      <c r="D19" s="143">
        <v>48.4</v>
      </c>
      <c r="E19" s="116">
        <f t="shared" si="1"/>
        <v>94.83</v>
      </c>
      <c r="F19" s="663">
        <f>'1461'!F19:G19</f>
        <v>0.97799999999999998</v>
      </c>
      <c r="G19" s="663"/>
      <c r="H19" s="80">
        <f t="shared" si="2"/>
        <v>92.743700000000004</v>
      </c>
      <c r="I19" s="101">
        <f t="shared" si="3"/>
        <v>514586.93</v>
      </c>
      <c r="J19" s="65" t="str">
        <f>IF(ROUND(E19,2)=ROUND(SUM(E63:E65),2)," ","CHECK 4-8 LINES BELOW")</f>
        <v xml:space="preserve"> </v>
      </c>
      <c r="N19" s="601" t="s">
        <v>25</v>
      </c>
      <c r="O19" s="601"/>
      <c r="P19" s="642">
        <f t="shared" si="0"/>
        <v>0</v>
      </c>
      <c r="Q19" s="642"/>
      <c r="R19" s="647">
        <v>1</v>
      </c>
      <c r="S19" s="647"/>
      <c r="T19" s="95">
        <f t="shared" si="4"/>
        <v>0</v>
      </c>
      <c r="U19" s="472">
        <f t="shared" si="5"/>
        <v>0</v>
      </c>
    </row>
    <row r="20" spans="1:21" x14ac:dyDescent="0.25">
      <c r="A20" s="578" t="s">
        <v>79</v>
      </c>
      <c r="B20" s="578"/>
      <c r="C20" s="143">
        <v>0</v>
      </c>
      <c r="D20" s="143">
        <v>0</v>
      </c>
      <c r="E20" s="116">
        <f t="shared" si="1"/>
        <v>0</v>
      </c>
      <c r="F20" s="663">
        <f>'1461'!F20:G20</f>
        <v>3.6970000000000001</v>
      </c>
      <c r="G20" s="663"/>
      <c r="H20" s="80">
        <f t="shared" si="2"/>
        <v>0</v>
      </c>
      <c r="I20" s="101">
        <f t="shared" si="3"/>
        <v>0</v>
      </c>
      <c r="N20" s="601" t="s">
        <v>79</v>
      </c>
      <c r="O20" s="601"/>
      <c r="P20" s="642">
        <f t="shared" si="0"/>
        <v>0</v>
      </c>
      <c r="Q20" s="642"/>
      <c r="R20" s="647">
        <v>1</v>
      </c>
      <c r="S20" s="647"/>
      <c r="T20" s="95">
        <f t="shared" si="4"/>
        <v>0</v>
      </c>
      <c r="U20" s="473">
        <f t="shared" si="5"/>
        <v>0</v>
      </c>
    </row>
    <row r="21" spans="1:21" x14ac:dyDescent="0.25">
      <c r="A21" s="578" t="s">
        <v>80</v>
      </c>
      <c r="B21" s="578"/>
      <c r="C21" s="143">
        <v>0</v>
      </c>
      <c r="D21" s="143">
        <v>0</v>
      </c>
      <c r="E21" s="116">
        <f t="shared" si="1"/>
        <v>0</v>
      </c>
      <c r="F21" s="663">
        <f>'1461'!F21:G21</f>
        <v>3.6970000000000001</v>
      </c>
      <c r="G21" s="663"/>
      <c r="H21" s="80">
        <f t="shared" si="2"/>
        <v>0</v>
      </c>
      <c r="I21" s="101">
        <f t="shared" si="3"/>
        <v>0</v>
      </c>
      <c r="N21" s="601" t="s">
        <v>80</v>
      </c>
      <c r="O21" s="601"/>
      <c r="P21" s="642">
        <f t="shared" si="0"/>
        <v>0</v>
      </c>
      <c r="Q21" s="642"/>
      <c r="R21" s="647">
        <v>1</v>
      </c>
      <c r="S21" s="647"/>
      <c r="T21" s="95">
        <f t="shared" si="4"/>
        <v>0</v>
      </c>
      <c r="U21" s="473">
        <f t="shared" si="5"/>
        <v>0</v>
      </c>
    </row>
    <row r="22" spans="1:21" x14ac:dyDescent="0.25">
      <c r="A22" s="578" t="s">
        <v>81</v>
      </c>
      <c r="B22" s="578"/>
      <c r="C22" s="143">
        <v>0</v>
      </c>
      <c r="D22" s="143">
        <v>0</v>
      </c>
      <c r="E22" s="116">
        <f t="shared" si="1"/>
        <v>0</v>
      </c>
      <c r="F22" s="663">
        <f>'1461'!F22:G22</f>
        <v>3.6970000000000001</v>
      </c>
      <c r="G22" s="663"/>
      <c r="H22" s="80">
        <f t="shared" si="2"/>
        <v>0</v>
      </c>
      <c r="I22" s="101">
        <f t="shared" si="3"/>
        <v>0</v>
      </c>
      <c r="N22" s="601" t="s">
        <v>81</v>
      </c>
      <c r="O22" s="601"/>
      <c r="P22" s="642">
        <f t="shared" si="0"/>
        <v>0</v>
      </c>
      <c r="Q22" s="642"/>
      <c r="R22" s="647">
        <v>1</v>
      </c>
      <c r="S22" s="647"/>
      <c r="T22" s="95">
        <f t="shared" si="4"/>
        <v>0</v>
      </c>
      <c r="U22" s="473">
        <f t="shared" si="5"/>
        <v>0</v>
      </c>
    </row>
    <row r="23" spans="1:21" x14ac:dyDescent="0.25">
      <c r="A23" s="578" t="s">
        <v>82</v>
      </c>
      <c r="B23" s="578"/>
      <c r="C23" s="143">
        <v>0</v>
      </c>
      <c r="D23" s="143">
        <v>0</v>
      </c>
      <c r="E23" s="116">
        <f t="shared" si="1"/>
        <v>0</v>
      </c>
      <c r="F23" s="663">
        <f>'1461'!F23:G23</f>
        <v>5.992</v>
      </c>
      <c r="G23" s="663"/>
      <c r="H23" s="80">
        <f t="shared" si="2"/>
        <v>0</v>
      </c>
      <c r="I23" s="101">
        <f t="shared" si="3"/>
        <v>0</v>
      </c>
      <c r="N23" s="601" t="s">
        <v>82</v>
      </c>
      <c r="O23" s="601"/>
      <c r="P23" s="642">
        <f t="shared" si="0"/>
        <v>0</v>
      </c>
      <c r="Q23" s="642"/>
      <c r="R23" s="647">
        <v>1</v>
      </c>
      <c r="S23" s="647"/>
      <c r="T23" s="95">
        <f t="shared" si="4"/>
        <v>0</v>
      </c>
      <c r="U23" s="473">
        <f t="shared" si="5"/>
        <v>0</v>
      </c>
    </row>
    <row r="24" spans="1:21" x14ac:dyDescent="0.25">
      <c r="A24" s="578" t="s">
        <v>83</v>
      </c>
      <c r="B24" s="578"/>
      <c r="C24" s="143">
        <v>0</v>
      </c>
      <c r="D24" s="143">
        <v>0</v>
      </c>
      <c r="E24" s="116">
        <f t="shared" si="1"/>
        <v>0</v>
      </c>
      <c r="F24" s="663">
        <f>'1461'!F24:G24</f>
        <v>5.992</v>
      </c>
      <c r="G24" s="663"/>
      <c r="H24" s="80">
        <f t="shared" si="2"/>
        <v>0</v>
      </c>
      <c r="I24" s="101">
        <f t="shared" si="3"/>
        <v>0</v>
      </c>
      <c r="N24" s="601" t="s">
        <v>83</v>
      </c>
      <c r="O24" s="601"/>
      <c r="P24" s="642">
        <f t="shared" si="0"/>
        <v>0</v>
      </c>
      <c r="Q24" s="642"/>
      <c r="R24" s="647">
        <v>1</v>
      </c>
      <c r="S24" s="647"/>
      <c r="T24" s="95">
        <f t="shared" si="4"/>
        <v>0</v>
      </c>
      <c r="U24" s="473">
        <f t="shared" si="5"/>
        <v>0</v>
      </c>
    </row>
    <row r="25" spans="1:21" x14ac:dyDescent="0.25">
      <c r="A25" s="578" t="s">
        <v>84</v>
      </c>
      <c r="B25" s="578"/>
      <c r="C25" s="143">
        <v>0</v>
      </c>
      <c r="D25" s="143">
        <v>0</v>
      </c>
      <c r="E25" s="116">
        <f t="shared" si="1"/>
        <v>0</v>
      </c>
      <c r="F25" s="663">
        <f>'1461'!F25:G25</f>
        <v>5.992</v>
      </c>
      <c r="G25" s="663"/>
      <c r="H25" s="80">
        <f t="shared" si="2"/>
        <v>0</v>
      </c>
      <c r="I25" s="101">
        <f t="shared" si="3"/>
        <v>0</v>
      </c>
      <c r="N25" s="601" t="s">
        <v>84</v>
      </c>
      <c r="O25" s="601"/>
      <c r="P25" s="642">
        <f t="shared" si="0"/>
        <v>0</v>
      </c>
      <c r="Q25" s="642"/>
      <c r="R25" s="647">
        <v>1</v>
      </c>
      <c r="S25" s="647"/>
      <c r="T25" s="95">
        <f t="shared" si="4"/>
        <v>0</v>
      </c>
      <c r="U25" s="473">
        <f t="shared" si="5"/>
        <v>0</v>
      </c>
    </row>
    <row r="26" spans="1:21" x14ac:dyDescent="0.25">
      <c r="A26" s="578" t="s">
        <v>85</v>
      </c>
      <c r="B26" s="578"/>
      <c r="C26" s="143">
        <v>0</v>
      </c>
      <c r="D26" s="143">
        <v>0</v>
      </c>
      <c r="E26" s="116">
        <f t="shared" si="1"/>
        <v>0</v>
      </c>
      <c r="F26" s="663">
        <f>'1461'!F26:G26</f>
        <v>1.1919999999999999</v>
      </c>
      <c r="G26" s="663"/>
      <c r="H26" s="80">
        <f t="shared" si="2"/>
        <v>0</v>
      </c>
      <c r="I26" s="101">
        <f t="shared" si="3"/>
        <v>0</v>
      </c>
      <c r="N26" s="601" t="s">
        <v>85</v>
      </c>
      <c r="O26" s="601"/>
      <c r="P26" s="642">
        <f t="shared" si="0"/>
        <v>0</v>
      </c>
      <c r="Q26" s="642"/>
      <c r="R26" s="647">
        <v>1</v>
      </c>
      <c r="S26" s="647"/>
      <c r="T26" s="95">
        <f t="shared" si="4"/>
        <v>0</v>
      </c>
      <c r="U26" s="473">
        <f t="shared" si="5"/>
        <v>0</v>
      </c>
    </row>
    <row r="27" spans="1:21" x14ac:dyDescent="0.25">
      <c r="A27" s="578" t="s">
        <v>86</v>
      </c>
      <c r="B27" s="578"/>
      <c r="C27" s="143">
        <v>0</v>
      </c>
      <c r="D27" s="143">
        <v>0</v>
      </c>
      <c r="E27" s="116">
        <f t="shared" si="1"/>
        <v>0</v>
      </c>
      <c r="F27" s="663">
        <f>'1461'!F27:G27</f>
        <v>1.1919999999999999</v>
      </c>
      <c r="G27" s="663"/>
      <c r="H27" s="80">
        <f t="shared" si="2"/>
        <v>0</v>
      </c>
      <c r="I27" s="101">
        <f t="shared" si="3"/>
        <v>0</v>
      </c>
      <c r="N27" s="601" t="s">
        <v>86</v>
      </c>
      <c r="O27" s="601"/>
      <c r="P27" s="642">
        <f t="shared" si="0"/>
        <v>0</v>
      </c>
      <c r="Q27" s="642"/>
      <c r="R27" s="647">
        <v>1</v>
      </c>
      <c r="S27" s="647"/>
      <c r="T27" s="95">
        <f t="shared" si="4"/>
        <v>0</v>
      </c>
      <c r="U27" s="473">
        <f t="shared" si="5"/>
        <v>0</v>
      </c>
    </row>
    <row r="28" spans="1:21" x14ac:dyDescent="0.25">
      <c r="A28" s="578" t="s">
        <v>87</v>
      </c>
      <c r="B28" s="578"/>
      <c r="C28" s="143">
        <v>27.6</v>
      </c>
      <c r="D28" s="143">
        <v>29.15</v>
      </c>
      <c r="E28" s="116">
        <f t="shared" si="1"/>
        <v>56.75</v>
      </c>
      <c r="F28" s="663">
        <f>'1461'!F28:G28</f>
        <v>1.1919999999999999</v>
      </c>
      <c r="G28" s="663"/>
      <c r="H28" s="80">
        <f t="shared" si="2"/>
        <v>67.646000000000001</v>
      </c>
      <c r="I28" s="101">
        <f t="shared" si="3"/>
        <v>375332.75</v>
      </c>
      <c r="N28" s="601" t="s">
        <v>87</v>
      </c>
      <c r="O28" s="601"/>
      <c r="P28" s="642">
        <f t="shared" si="0"/>
        <v>0</v>
      </c>
      <c r="Q28" s="642"/>
      <c r="R28" s="647">
        <v>1</v>
      </c>
      <c r="S28" s="647"/>
      <c r="T28" s="95">
        <f t="shared" si="4"/>
        <v>0</v>
      </c>
      <c r="U28" s="473">
        <f t="shared" si="5"/>
        <v>0</v>
      </c>
    </row>
    <row r="29" spans="1:21" x14ac:dyDescent="0.25">
      <c r="A29" s="578" t="s">
        <v>88</v>
      </c>
      <c r="B29" s="578"/>
      <c r="C29" s="110">
        <v>0</v>
      </c>
      <c r="D29" s="110">
        <v>0</v>
      </c>
      <c r="E29" s="154">
        <f t="shared" si="1"/>
        <v>0</v>
      </c>
      <c r="F29" s="663">
        <f>'1461'!F29:G29</f>
        <v>1.079</v>
      </c>
      <c r="G29" s="663"/>
      <c r="H29" s="93">
        <f t="shared" si="2"/>
        <v>0</v>
      </c>
      <c r="I29" s="94">
        <f t="shared" si="3"/>
        <v>0</v>
      </c>
      <c r="N29" s="616" t="s">
        <v>88</v>
      </c>
      <c r="O29" s="616"/>
      <c r="P29" s="642">
        <f t="shared" si="0"/>
        <v>0</v>
      </c>
      <c r="Q29" s="642"/>
      <c r="R29" s="643">
        <v>1</v>
      </c>
      <c r="S29" s="643"/>
      <c r="T29" s="95">
        <f t="shared" si="4"/>
        <v>0</v>
      </c>
      <c r="U29" s="473">
        <f t="shared" si="5"/>
        <v>0</v>
      </c>
    </row>
    <row r="30" spans="1:21" x14ac:dyDescent="0.25">
      <c r="A30" s="590" t="s">
        <v>5</v>
      </c>
      <c r="B30" s="590"/>
      <c r="C30" s="94">
        <f>SUM(C14:C29)</f>
        <v>320.01</v>
      </c>
      <c r="D30" s="94">
        <f>SUM(D14:D29)</f>
        <v>345.96</v>
      </c>
      <c r="E30" s="94">
        <f>SUM(E14:E29)</f>
        <v>665.97</v>
      </c>
      <c r="F30" s="582"/>
      <c r="G30" s="582"/>
      <c r="H30" s="99">
        <f>SUM(H14:H29)</f>
        <v>663.46309999999994</v>
      </c>
      <c r="I30" s="94">
        <f>SUM(I14:I29)</f>
        <v>3681214.3800000004</v>
      </c>
      <c r="N30" s="644" t="s">
        <v>5</v>
      </c>
      <c r="O30" s="644"/>
      <c r="P30" s="645">
        <f>SUM(P14:P29)</f>
        <v>0</v>
      </c>
      <c r="Q30" s="645"/>
      <c r="R30" s="617"/>
      <c r="S30" s="617"/>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0" t="s">
        <v>233</v>
      </c>
      <c r="G34" s="670"/>
      <c r="H34" s="670"/>
      <c r="I34" s="101"/>
      <c r="N34" s="28"/>
      <c r="O34" s="28"/>
      <c r="P34" s="29"/>
      <c r="Q34" s="29"/>
      <c r="R34" s="30"/>
      <c r="S34" s="30"/>
      <c r="T34" s="102"/>
      <c r="U34" s="103"/>
    </row>
    <row r="35" spans="1:21" hidden="1" x14ac:dyDescent="0.25">
      <c r="A35" s="3"/>
      <c r="B35" s="69"/>
      <c r="C35" s="69"/>
      <c r="D35" s="69"/>
      <c r="E35" s="69"/>
      <c r="F35" s="670"/>
      <c r="G35" s="670"/>
      <c r="H35" s="670"/>
      <c r="I35" s="24" t="s">
        <v>61</v>
      </c>
      <c r="N35" s="627" t="s">
        <v>26</v>
      </c>
      <c r="O35" s="627"/>
      <c r="P35" s="627"/>
      <c r="Q35" s="627"/>
      <c r="R35" s="627"/>
      <c r="S35" s="627"/>
      <c r="T35" s="627"/>
      <c r="U35" s="25" t="str">
        <f>I35</f>
        <v>2015-16</v>
      </c>
    </row>
    <row r="36" spans="1:21" hidden="1" x14ac:dyDescent="0.25">
      <c r="A36" s="26"/>
      <c r="B36" s="26"/>
      <c r="C36" s="88" t="s">
        <v>93</v>
      </c>
      <c r="D36" s="88" t="s">
        <v>94</v>
      </c>
      <c r="E36" s="89" t="s">
        <v>8</v>
      </c>
      <c r="F36" s="670"/>
      <c r="G36" s="670"/>
      <c r="H36" s="670"/>
      <c r="I36" s="24" t="s">
        <v>27</v>
      </c>
      <c r="N36" s="28"/>
      <c r="O36" s="28"/>
      <c r="P36" s="29"/>
      <c r="Q36" s="29"/>
      <c r="R36" s="30"/>
      <c r="S36" s="30"/>
      <c r="T36" s="102"/>
      <c r="U36" s="25" t="s">
        <v>27</v>
      </c>
    </row>
    <row r="37" spans="1:21" ht="26.25" hidden="1" x14ac:dyDescent="0.25">
      <c r="A37" s="572" t="s">
        <v>50</v>
      </c>
      <c r="B37" s="572"/>
      <c r="C37" s="90" t="s">
        <v>2</v>
      </c>
      <c r="D37" s="90" t="s">
        <v>2</v>
      </c>
      <c r="E37" s="90" t="s">
        <v>2</v>
      </c>
      <c r="F37" s="671"/>
      <c r="G37" s="671"/>
      <c r="H37" s="671"/>
      <c r="I37" s="31" t="s">
        <v>395</v>
      </c>
      <c r="N37" s="639" t="s">
        <v>50</v>
      </c>
      <c r="O37" s="639"/>
      <c r="P37" s="640" t="s">
        <v>19</v>
      </c>
      <c r="Q37" s="640"/>
      <c r="R37" s="640"/>
      <c r="S37" s="640"/>
      <c r="T37" s="640"/>
      <c r="U37" s="19" t="str">
        <f>I37</f>
        <v>(WFTE x BSA x CWF x SDF)</v>
      </c>
    </row>
    <row r="38" spans="1:21" hidden="1" x14ac:dyDescent="0.25">
      <c r="A38" s="576" t="s">
        <v>45</v>
      </c>
      <c r="B38" s="576"/>
      <c r="C38" s="147">
        <v>0</v>
      </c>
      <c r="D38" s="147">
        <v>0</v>
      </c>
      <c r="E38" s="187">
        <f t="shared" ref="E38:E43" si="6">IF(D$44=0,C38*2,C38+D38)</f>
        <v>0</v>
      </c>
      <c r="F38" s="148"/>
      <c r="G38" s="148"/>
      <c r="H38" s="148"/>
      <c r="I38" s="111">
        <f>ROUND(ROUND(ROUND(E38*$C$8,4)*($H$8),2)*(MAX($H$9,1)),2)</f>
        <v>0</v>
      </c>
      <c r="N38" s="641" t="s">
        <v>45</v>
      </c>
      <c r="O38" s="641"/>
      <c r="P38" s="608">
        <f t="shared" ref="P38:P43" si="7">IF($H$133=1,E38,0)</f>
        <v>0</v>
      </c>
      <c r="Q38" s="608"/>
      <c r="R38" s="608"/>
      <c r="S38" s="608"/>
      <c r="T38" s="608"/>
      <c r="U38" s="98">
        <f>ROUND(ROUND(ROUND(P38*$C$8,4)*($H$8),2)*(MAX($H$9,1)),2)</f>
        <v>0</v>
      </c>
    </row>
    <row r="39" spans="1:21" hidden="1" x14ac:dyDescent="0.25">
      <c r="A39" s="578" t="s">
        <v>46</v>
      </c>
      <c r="B39" s="578"/>
      <c r="C39" s="150">
        <v>0</v>
      </c>
      <c r="D39" s="150">
        <v>0</v>
      </c>
      <c r="E39" s="116">
        <f t="shared" si="6"/>
        <v>0</v>
      </c>
      <c r="F39" s="151"/>
      <c r="G39" s="151"/>
      <c r="H39" s="151"/>
      <c r="I39" s="101">
        <f t="shared" ref="I39:I43" si="8">ROUND(ROUND(ROUND(E39*$C$8,4)*($H$8),2)*(MAX($H$9,1)),2)</f>
        <v>0</v>
      </c>
      <c r="N39" s="601" t="s">
        <v>46</v>
      </c>
      <c r="O39" s="601"/>
      <c r="P39" s="608">
        <f t="shared" si="7"/>
        <v>0</v>
      </c>
      <c r="Q39" s="608"/>
      <c r="R39" s="608"/>
      <c r="S39" s="608"/>
      <c r="T39" s="608"/>
      <c r="U39" s="98">
        <f t="shared" ref="U39:U43" si="9">ROUND(ROUND(ROUND(P39*$C$8,4)*($H$8),2)*(MAX($H$9,1)),2)</f>
        <v>0</v>
      </c>
    </row>
    <row r="40" spans="1:21" hidden="1" x14ac:dyDescent="0.25">
      <c r="A40" s="583" t="s">
        <v>47</v>
      </c>
      <c r="B40" s="583"/>
      <c r="C40" s="150">
        <v>0</v>
      </c>
      <c r="D40" s="150">
        <v>0</v>
      </c>
      <c r="E40" s="116">
        <f t="shared" si="6"/>
        <v>0</v>
      </c>
      <c r="F40" s="151"/>
      <c r="G40" s="151"/>
      <c r="H40" s="151"/>
      <c r="I40" s="101">
        <f t="shared" si="8"/>
        <v>0</v>
      </c>
      <c r="N40" s="646" t="s">
        <v>47</v>
      </c>
      <c r="O40" s="646"/>
      <c r="P40" s="608">
        <f t="shared" si="7"/>
        <v>0</v>
      </c>
      <c r="Q40" s="608"/>
      <c r="R40" s="608"/>
      <c r="S40" s="608"/>
      <c r="T40" s="608"/>
      <c r="U40" s="98">
        <f t="shared" si="9"/>
        <v>0</v>
      </c>
    </row>
    <row r="41" spans="1:21" hidden="1" x14ac:dyDescent="0.25">
      <c r="A41" s="578" t="s">
        <v>48</v>
      </c>
      <c r="B41" s="578"/>
      <c r="C41" s="150">
        <v>0</v>
      </c>
      <c r="D41" s="150">
        <v>0</v>
      </c>
      <c r="E41" s="116">
        <f t="shared" si="6"/>
        <v>0</v>
      </c>
      <c r="F41" s="151"/>
      <c r="G41" s="151"/>
      <c r="H41" s="151"/>
      <c r="I41" s="101">
        <f t="shared" si="8"/>
        <v>0</v>
      </c>
      <c r="N41" s="601" t="s">
        <v>48</v>
      </c>
      <c r="O41" s="601"/>
      <c r="P41" s="608">
        <f t="shared" si="7"/>
        <v>0</v>
      </c>
      <c r="Q41" s="608"/>
      <c r="R41" s="608"/>
      <c r="S41" s="608"/>
      <c r="T41" s="608"/>
      <c r="U41" s="98">
        <f t="shared" si="9"/>
        <v>0</v>
      </c>
    </row>
    <row r="42" spans="1:21" hidden="1" x14ac:dyDescent="0.25">
      <c r="A42" s="578" t="s">
        <v>49</v>
      </c>
      <c r="B42" s="578"/>
      <c r="C42" s="150">
        <v>0</v>
      </c>
      <c r="D42" s="150">
        <v>0</v>
      </c>
      <c r="E42" s="116">
        <f t="shared" si="6"/>
        <v>0</v>
      </c>
      <c r="F42" s="151"/>
      <c r="G42" s="151"/>
      <c r="H42" s="151"/>
      <c r="I42" s="101">
        <f t="shared" si="8"/>
        <v>0</v>
      </c>
      <c r="N42" s="601" t="s">
        <v>49</v>
      </c>
      <c r="O42" s="601"/>
      <c r="P42" s="608">
        <f t="shared" si="7"/>
        <v>0</v>
      </c>
      <c r="Q42" s="608"/>
      <c r="R42" s="608"/>
      <c r="S42" s="608"/>
      <c r="T42" s="608"/>
      <c r="U42" s="98">
        <f t="shared" si="9"/>
        <v>0</v>
      </c>
    </row>
    <row r="43" spans="1:21" hidden="1" x14ac:dyDescent="0.25">
      <c r="A43" s="578" t="s">
        <v>41</v>
      </c>
      <c r="B43" s="578"/>
      <c r="C43" s="149">
        <v>0</v>
      </c>
      <c r="D43" s="149">
        <v>0</v>
      </c>
      <c r="E43" s="154">
        <f t="shared" si="6"/>
        <v>0</v>
      </c>
      <c r="F43" s="151"/>
      <c r="G43" s="151"/>
      <c r="H43" s="151"/>
      <c r="I43" s="94">
        <f t="shared" si="8"/>
        <v>0</v>
      </c>
      <c r="N43" s="616" t="s">
        <v>41</v>
      </c>
      <c r="O43" s="616"/>
      <c r="P43" s="608">
        <f t="shared" si="7"/>
        <v>0</v>
      </c>
      <c r="Q43" s="608"/>
      <c r="R43" s="608"/>
      <c r="S43" s="608"/>
      <c r="T43" s="60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3" t="s">
        <v>43</v>
      </c>
      <c r="O44" s="603"/>
      <c r="P44" s="603"/>
      <c r="Q44" s="603"/>
      <c r="R44" s="33">
        <f>SUM(P38:R43)</f>
        <v>0</v>
      </c>
      <c r="S44" s="617" t="s">
        <v>51</v>
      </c>
      <c r="T44" s="617"/>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663.46309999999994</v>
      </c>
      <c r="F46" s="34"/>
      <c r="G46" s="106"/>
      <c r="H46" s="107" t="s">
        <v>98</v>
      </c>
      <c r="I46" s="94">
        <f>SUM(I44,I30)</f>
        <v>3681214.3800000004</v>
      </c>
      <c r="N46" s="603" t="s">
        <v>44</v>
      </c>
      <c r="O46" s="603"/>
      <c r="P46" s="603"/>
      <c r="Q46" s="603"/>
      <c r="R46" s="35">
        <f>R44+T30</f>
        <v>0</v>
      </c>
      <c r="S46" s="617" t="s">
        <v>42</v>
      </c>
      <c r="T46" s="617"/>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396</v>
      </c>
      <c r="B48" s="26"/>
      <c r="C48" s="26"/>
      <c r="D48" s="26"/>
      <c r="E48" s="26"/>
      <c r="F48" s="34"/>
      <c r="G48" s="27"/>
      <c r="H48" s="27"/>
      <c r="I48" s="101"/>
      <c r="N48" s="383" t="s">
        <v>396</v>
      </c>
      <c r="O48" s="28"/>
      <c r="P48" s="28"/>
      <c r="Q48" s="28"/>
      <c r="R48" s="35"/>
      <c r="S48" s="30"/>
      <c r="T48" s="30"/>
      <c r="U48" s="402"/>
    </row>
    <row r="49" spans="1:22" s="391" customFormat="1" ht="9" customHeight="1" x14ac:dyDescent="0.2">
      <c r="A49" s="481" t="s">
        <v>397</v>
      </c>
      <c r="F49" s="392"/>
      <c r="G49" s="393"/>
      <c r="H49" s="393"/>
      <c r="I49" s="394"/>
      <c r="N49" s="403" t="s">
        <v>397</v>
      </c>
      <c r="O49" s="395"/>
      <c r="P49" s="395"/>
      <c r="Q49" s="395"/>
      <c r="R49" s="396"/>
      <c r="S49" s="397"/>
      <c r="T49" s="397"/>
      <c r="U49" s="404"/>
    </row>
    <row r="50" spans="1:22" s="391" customFormat="1" ht="11.25" customHeight="1" x14ac:dyDescent="0.2">
      <c r="A50" s="483" t="s">
        <v>398</v>
      </c>
      <c r="F50" s="392"/>
      <c r="G50" s="393"/>
      <c r="H50" s="393"/>
      <c r="I50" s="394"/>
      <c r="N50" s="405" t="s">
        <v>398</v>
      </c>
      <c r="O50" s="395"/>
      <c r="P50" s="395"/>
      <c r="Q50" s="395"/>
      <c r="R50" s="396"/>
      <c r="S50" s="397"/>
      <c r="T50" s="397"/>
      <c r="U50" s="404"/>
    </row>
    <row r="51" spans="1:22" x14ac:dyDescent="0.25">
      <c r="A51" s="389"/>
      <c r="B51" s="399" t="s">
        <v>399</v>
      </c>
      <c r="C51" s="26"/>
      <c r="D51" s="26"/>
      <c r="E51" s="43" t="s">
        <v>400</v>
      </c>
      <c r="F51" s="400">
        <f>I46</f>
        <v>3681214.3800000004</v>
      </c>
      <c r="G51" s="109" t="s">
        <v>6</v>
      </c>
      <c r="H51" s="401">
        <v>4.5199999999999997E-2</v>
      </c>
      <c r="I51" s="101">
        <f>ROUND(F51*H51,2)</f>
        <v>166390.89000000001</v>
      </c>
      <c r="N51" s="406"/>
      <c r="O51" s="407" t="s">
        <v>399</v>
      </c>
      <c r="P51" s="28"/>
      <c r="Q51" s="44" t="s">
        <v>400</v>
      </c>
      <c r="R51" s="408">
        <f>U30</f>
        <v>0</v>
      </c>
      <c r="S51" s="409" t="s">
        <v>6</v>
      </c>
      <c r="T51" s="410">
        <v>4.5199999999999997E-2</v>
      </c>
      <c r="U51" s="402">
        <f>ROUND(R51*T51,2)</f>
        <v>0</v>
      </c>
    </row>
    <row r="52" spans="1:22" x14ac:dyDescent="0.25">
      <c r="A52" s="26"/>
      <c r="B52" s="81" t="s">
        <v>401</v>
      </c>
      <c r="C52" s="26"/>
      <c r="D52" s="26"/>
      <c r="E52" s="43" t="s">
        <v>400</v>
      </c>
      <c r="F52" s="400">
        <f>I46</f>
        <v>3681214.3800000004</v>
      </c>
      <c r="G52" s="109" t="s">
        <v>6</v>
      </c>
      <c r="H52" s="401">
        <v>1.41E-2</v>
      </c>
      <c r="I52" s="101">
        <f>ROUND(F52*H52,2)</f>
        <v>51905.120000000003</v>
      </c>
      <c r="N52" s="28"/>
      <c r="O52" s="383" t="s">
        <v>401</v>
      </c>
      <c r="P52" s="28"/>
      <c r="Q52" s="44" t="s">
        <v>400</v>
      </c>
      <c r="R52" s="408">
        <f>U30</f>
        <v>0</v>
      </c>
      <c r="S52" s="409" t="s">
        <v>6</v>
      </c>
      <c r="T52" s="410">
        <v>1.41E-2</v>
      </c>
      <c r="U52" s="411">
        <f>ROUND(R52*T52,2)</f>
        <v>0</v>
      </c>
    </row>
    <row r="53" spans="1:22" x14ac:dyDescent="0.25">
      <c r="A53" s="26"/>
      <c r="B53" s="81" t="s">
        <v>402</v>
      </c>
      <c r="C53" s="26"/>
      <c r="D53" s="26"/>
      <c r="E53" s="43"/>
      <c r="F53" s="400"/>
      <c r="G53" s="109"/>
      <c r="H53" s="401"/>
      <c r="I53" s="97">
        <f>SUM(I51:I52)</f>
        <v>218296.01</v>
      </c>
      <c r="N53" s="28"/>
      <c r="O53" s="383" t="s">
        <v>402</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440</v>
      </c>
      <c r="G55" s="109" t="s">
        <v>441</v>
      </c>
      <c r="H55" s="454" t="s">
        <v>442</v>
      </c>
      <c r="I55" s="101"/>
      <c r="N55" s="448"/>
      <c r="O55" s="448"/>
      <c r="P55" s="464"/>
      <c r="Q55" s="465"/>
      <c r="R55" s="466"/>
      <c r="S55" s="468" t="s">
        <v>441</v>
      </c>
      <c r="T55" s="469" t="s">
        <v>442</v>
      </c>
      <c r="U55" s="467"/>
      <c r="V55" s="424"/>
    </row>
    <row r="56" spans="1:22" x14ac:dyDescent="0.25">
      <c r="A56" s="36" t="s">
        <v>443</v>
      </c>
      <c r="B56" s="36"/>
      <c r="C56" s="324" t="str">
        <f>'1461'!C56</f>
        <v>FTE</v>
      </c>
      <c r="D56" s="324" t="str">
        <f>'1461'!D56</f>
        <v>FTE</v>
      </c>
      <c r="E56" s="90" t="s">
        <v>2</v>
      </c>
      <c r="F56" s="439" t="s">
        <v>444</v>
      </c>
      <c r="G56" s="441" t="s">
        <v>444</v>
      </c>
      <c r="H56" s="455" t="s">
        <v>445</v>
      </c>
      <c r="I56" s="36"/>
      <c r="N56" s="459" t="s">
        <v>443</v>
      </c>
      <c r="O56" s="459"/>
      <c r="P56" s="620" t="s">
        <v>2</v>
      </c>
      <c r="Q56" s="620"/>
      <c r="R56" s="459" t="s">
        <v>449</v>
      </c>
      <c r="S56" s="450" t="s">
        <v>444</v>
      </c>
      <c r="T56" s="470" t="s">
        <v>445</v>
      </c>
      <c r="U56" s="459"/>
      <c r="V56" s="458"/>
    </row>
    <row r="57" spans="1:22" x14ac:dyDescent="0.25">
      <c r="A57" s="588" t="s">
        <v>447</v>
      </c>
      <c r="B57" s="588"/>
      <c r="C57" s="143">
        <v>0</v>
      </c>
      <c r="D57" s="143">
        <v>0</v>
      </c>
      <c r="E57" s="116">
        <f t="shared" ref="E57:E65" si="10">IF(D$66=0,C57*2,C57+D57)</f>
        <v>0</v>
      </c>
      <c r="F57" s="443" t="s">
        <v>439</v>
      </c>
      <c r="G57" s="443">
        <v>251</v>
      </c>
      <c r="H57" s="457">
        <f>'1461'!H57</f>
        <v>1047</v>
      </c>
      <c r="I57" s="101">
        <f>ROUND(E57*H57,2)</f>
        <v>0</v>
      </c>
      <c r="N57" s="618" t="s">
        <v>447</v>
      </c>
      <c r="O57" s="618"/>
      <c r="P57" s="621"/>
      <c r="Q57" s="621"/>
      <c r="R57" s="449" t="s">
        <v>439</v>
      </c>
      <c r="S57" s="449">
        <v>251</v>
      </c>
      <c r="T57" s="460">
        <f>H57</f>
        <v>1047</v>
      </c>
      <c r="U57" s="474">
        <f>ROUND(P57*T57,2)</f>
        <v>0</v>
      </c>
      <c r="V57" s="424"/>
    </row>
    <row r="58" spans="1:22" x14ac:dyDescent="0.25">
      <c r="A58" s="589"/>
      <c r="B58" s="589"/>
      <c r="C58" s="143">
        <v>0</v>
      </c>
      <c r="D58" s="143">
        <v>0</v>
      </c>
      <c r="E58" s="116">
        <f t="shared" si="10"/>
        <v>0</v>
      </c>
      <c r="F58" s="443" t="s">
        <v>439</v>
      </c>
      <c r="G58" s="443">
        <v>252</v>
      </c>
      <c r="H58" s="457">
        <f>'1461'!H58</f>
        <v>3380</v>
      </c>
      <c r="I58" s="101">
        <f t="shared" ref="I58:I65" si="11">ROUND(E58*H58,2)</f>
        <v>0</v>
      </c>
      <c r="N58" s="619"/>
      <c r="O58" s="619"/>
      <c r="P58" s="622"/>
      <c r="Q58" s="622"/>
      <c r="R58" s="449" t="s">
        <v>439</v>
      </c>
      <c r="S58" s="449">
        <v>252</v>
      </c>
      <c r="T58" s="460">
        <f t="shared" ref="T58:T65" si="12">H58</f>
        <v>3380</v>
      </c>
      <c r="U58" s="474">
        <f t="shared" ref="U58:U65" si="13">ROUND(P58*T58,2)</f>
        <v>0</v>
      </c>
      <c r="V58" s="424"/>
    </row>
    <row r="59" spans="1:22" x14ac:dyDescent="0.25">
      <c r="A59" s="589"/>
      <c r="B59" s="589"/>
      <c r="C59" s="143">
        <v>0</v>
      </c>
      <c r="D59" s="143">
        <v>0</v>
      </c>
      <c r="E59" s="116">
        <f t="shared" si="10"/>
        <v>0</v>
      </c>
      <c r="F59" s="443" t="s">
        <v>439</v>
      </c>
      <c r="G59" s="443">
        <v>253</v>
      </c>
      <c r="H59" s="457">
        <f>'1461'!H59</f>
        <v>6896</v>
      </c>
      <c r="I59" s="101">
        <f t="shared" si="11"/>
        <v>0</v>
      </c>
      <c r="N59" s="619"/>
      <c r="O59" s="619"/>
      <c r="P59" s="622"/>
      <c r="Q59" s="622"/>
      <c r="R59" s="449" t="s">
        <v>439</v>
      </c>
      <c r="S59" s="449">
        <v>253</v>
      </c>
      <c r="T59" s="460">
        <f t="shared" si="12"/>
        <v>6896</v>
      </c>
      <c r="U59" s="474">
        <f t="shared" si="13"/>
        <v>0</v>
      </c>
      <c r="V59" s="424"/>
    </row>
    <row r="60" spans="1:22" x14ac:dyDescent="0.25">
      <c r="A60" s="589"/>
      <c r="B60" s="589"/>
      <c r="C60" s="143">
        <v>0</v>
      </c>
      <c r="D60" s="143">
        <v>0</v>
      </c>
      <c r="E60" s="116">
        <f t="shared" si="10"/>
        <v>0</v>
      </c>
      <c r="F60" s="444" t="s">
        <v>13</v>
      </c>
      <c r="G60" s="443">
        <v>251</v>
      </c>
      <c r="H60" s="457">
        <f>'1461'!H60</f>
        <v>1173</v>
      </c>
      <c r="I60" s="101">
        <f t="shared" si="11"/>
        <v>0</v>
      </c>
      <c r="N60" s="619"/>
      <c r="O60" s="619"/>
      <c r="P60" s="622"/>
      <c r="Q60" s="622"/>
      <c r="R60" s="40" t="s">
        <v>13</v>
      </c>
      <c r="S60" s="449">
        <v>251</v>
      </c>
      <c r="T60" s="460">
        <f t="shared" si="12"/>
        <v>1173</v>
      </c>
      <c r="U60" s="474">
        <f t="shared" si="13"/>
        <v>0</v>
      </c>
      <c r="V60" s="424"/>
    </row>
    <row r="61" spans="1:22" x14ac:dyDescent="0.25">
      <c r="A61" s="589"/>
      <c r="B61" s="589"/>
      <c r="C61" s="143">
        <v>0</v>
      </c>
      <c r="D61" s="143">
        <v>0</v>
      </c>
      <c r="E61" s="116">
        <f t="shared" si="10"/>
        <v>0</v>
      </c>
      <c r="F61" s="444" t="s">
        <v>13</v>
      </c>
      <c r="G61" s="443">
        <v>252</v>
      </c>
      <c r="H61" s="457">
        <f>'1461'!H61</f>
        <v>3506</v>
      </c>
      <c r="I61" s="101">
        <f t="shared" si="11"/>
        <v>0</v>
      </c>
      <c r="N61" s="619"/>
      <c r="O61" s="619"/>
      <c r="P61" s="622"/>
      <c r="Q61" s="622"/>
      <c r="R61" s="40" t="s">
        <v>13</v>
      </c>
      <c r="S61" s="449">
        <v>252</v>
      </c>
      <c r="T61" s="460">
        <f t="shared" si="12"/>
        <v>3506</v>
      </c>
      <c r="U61" s="474">
        <f t="shared" si="13"/>
        <v>0</v>
      </c>
      <c r="V61" s="424"/>
    </row>
    <row r="62" spans="1:22" x14ac:dyDescent="0.25">
      <c r="A62" s="589"/>
      <c r="B62" s="589"/>
      <c r="C62" s="143">
        <v>0</v>
      </c>
      <c r="D62" s="143">
        <v>0</v>
      </c>
      <c r="E62" s="116">
        <f t="shared" si="10"/>
        <v>0</v>
      </c>
      <c r="F62" s="444" t="s">
        <v>13</v>
      </c>
      <c r="G62" s="443">
        <v>253</v>
      </c>
      <c r="H62" s="457">
        <f>'1461'!H62</f>
        <v>7023</v>
      </c>
      <c r="I62" s="101">
        <f t="shared" si="11"/>
        <v>0</v>
      </c>
      <c r="N62" s="619"/>
      <c r="O62" s="619"/>
      <c r="P62" s="622"/>
      <c r="Q62" s="622"/>
      <c r="R62" s="40" t="s">
        <v>13</v>
      </c>
      <c r="S62" s="449">
        <v>253</v>
      </c>
      <c r="T62" s="460">
        <f t="shared" si="12"/>
        <v>7023</v>
      </c>
      <c r="U62" s="474">
        <f t="shared" si="13"/>
        <v>0</v>
      </c>
      <c r="V62" s="424"/>
    </row>
    <row r="63" spans="1:22" x14ac:dyDescent="0.25">
      <c r="A63" s="589"/>
      <c r="B63" s="589"/>
      <c r="C63" s="143">
        <v>45.93</v>
      </c>
      <c r="D63" s="143">
        <v>48</v>
      </c>
      <c r="E63" s="116">
        <f t="shared" si="10"/>
        <v>93.93</v>
      </c>
      <c r="F63" s="444" t="s">
        <v>14</v>
      </c>
      <c r="G63" s="443">
        <v>251</v>
      </c>
      <c r="H63" s="457">
        <f>'1461'!H63</f>
        <v>835</v>
      </c>
      <c r="I63" s="101">
        <f t="shared" si="11"/>
        <v>78431.55</v>
      </c>
      <c r="N63" s="619"/>
      <c r="O63" s="619"/>
      <c r="P63" s="622"/>
      <c r="Q63" s="622"/>
      <c r="R63" s="40" t="s">
        <v>14</v>
      </c>
      <c r="S63" s="449">
        <v>251</v>
      </c>
      <c r="T63" s="460">
        <f t="shared" si="12"/>
        <v>835</v>
      </c>
      <c r="U63" s="474">
        <f t="shared" si="13"/>
        <v>0</v>
      </c>
      <c r="V63" s="424"/>
    </row>
    <row r="64" spans="1:22" x14ac:dyDescent="0.25">
      <c r="A64" s="589"/>
      <c r="B64" s="589"/>
      <c r="C64" s="143">
        <v>0.5</v>
      </c>
      <c r="D64" s="143">
        <v>0.4</v>
      </c>
      <c r="E64" s="116">
        <f t="shared" si="10"/>
        <v>0.9</v>
      </c>
      <c r="F64" s="444" t="s">
        <v>14</v>
      </c>
      <c r="G64" s="443">
        <v>252</v>
      </c>
      <c r="H64" s="457">
        <f>'1461'!H64</f>
        <v>3168</v>
      </c>
      <c r="I64" s="101">
        <f t="shared" si="11"/>
        <v>2851.2</v>
      </c>
      <c r="N64" s="619"/>
      <c r="O64" s="619"/>
      <c r="P64" s="622"/>
      <c r="Q64" s="622"/>
      <c r="R64" s="40" t="s">
        <v>14</v>
      </c>
      <c r="S64" s="449">
        <v>252</v>
      </c>
      <c r="T64" s="460">
        <f t="shared" si="12"/>
        <v>3168</v>
      </c>
      <c r="U64" s="474">
        <f t="shared" si="13"/>
        <v>0</v>
      </c>
      <c r="V64" s="424"/>
    </row>
    <row r="65" spans="1:22" ht="16.5" thickBot="1" x14ac:dyDescent="0.3">
      <c r="A65" s="589"/>
      <c r="B65" s="589"/>
      <c r="C65" s="143">
        <v>0</v>
      </c>
      <c r="D65" s="143">
        <v>0</v>
      </c>
      <c r="E65" s="116">
        <f t="shared" si="10"/>
        <v>0</v>
      </c>
      <c r="F65" s="444" t="s">
        <v>14</v>
      </c>
      <c r="G65" s="443">
        <v>253</v>
      </c>
      <c r="H65" s="457">
        <f>'1461'!H65</f>
        <v>6685</v>
      </c>
      <c r="I65" s="101">
        <f t="shared" si="11"/>
        <v>0</v>
      </c>
      <c r="N65" s="619"/>
      <c r="O65" s="619"/>
      <c r="P65" s="623"/>
      <c r="Q65" s="623"/>
      <c r="R65" s="40" t="s">
        <v>14</v>
      </c>
      <c r="S65" s="449">
        <v>253</v>
      </c>
      <c r="T65" s="460">
        <f t="shared" si="12"/>
        <v>6685</v>
      </c>
      <c r="U65" s="475">
        <f t="shared" si="13"/>
        <v>0</v>
      </c>
      <c r="V65" s="424"/>
    </row>
    <row r="66" spans="1:22" ht="16.5" thickBot="1" x14ac:dyDescent="0.3">
      <c r="A66" s="440"/>
      <c r="C66" s="97">
        <f>SUM(C57:C65)</f>
        <v>46.43</v>
      </c>
      <c r="D66" s="97">
        <f>SUM(D57:D65)</f>
        <v>48.4</v>
      </c>
      <c r="E66" s="97">
        <f>SUM(E57:E65)</f>
        <v>94.830000000000013</v>
      </c>
      <c r="F66" s="590" t="s">
        <v>448</v>
      </c>
      <c r="G66" s="590"/>
      <c r="H66" s="590"/>
      <c r="I66" s="97">
        <f>SUM(I57:I65)</f>
        <v>81282.75</v>
      </c>
      <c r="N66" s="446"/>
      <c r="O66" s="51"/>
      <c r="P66" s="602">
        <f>SUM(P57:P65)</f>
        <v>0</v>
      </c>
      <c r="Q66" s="602"/>
      <c r="R66" s="603" t="s">
        <v>448</v>
      </c>
      <c r="S66" s="603"/>
      <c r="T66" s="603"/>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450</v>
      </c>
      <c r="N68" s="453" t="s">
        <v>458</v>
      </c>
      <c r="O68" s="51"/>
      <c r="P68" s="51"/>
      <c r="Q68" s="51"/>
      <c r="R68" s="51"/>
      <c r="S68" s="51"/>
      <c r="T68" s="51"/>
      <c r="U68" s="51"/>
    </row>
    <row r="69" spans="1:22" x14ac:dyDescent="0.25">
      <c r="A69" s="584" t="s">
        <v>403</v>
      </c>
      <c r="B69" s="578"/>
      <c r="C69" s="112">
        <f>E30</f>
        <v>665.97</v>
      </c>
      <c r="D69" s="565" t="s">
        <v>414</v>
      </c>
      <c r="E69" s="565"/>
      <c r="F69" s="565"/>
      <c r="G69" s="565"/>
      <c r="H69" s="300">
        <f>'1461'!H69</f>
        <v>210228.91</v>
      </c>
      <c r="I69" s="113"/>
      <c r="N69" s="600" t="s">
        <v>407</v>
      </c>
      <c r="O69" s="601"/>
      <c r="P69" s="41">
        <f>P30</f>
        <v>0</v>
      </c>
      <c r="Q69" s="606" t="s">
        <v>409</v>
      </c>
      <c r="R69" s="607"/>
      <c r="S69" s="607"/>
      <c r="T69" s="604">
        <f>H69</f>
        <v>210228.91</v>
      </c>
      <c r="U69" s="604"/>
    </row>
    <row r="70" spans="1:22" x14ac:dyDescent="0.25">
      <c r="B70" s="69"/>
      <c r="G70" s="42" t="s">
        <v>12</v>
      </c>
      <c r="H70" s="114">
        <f>ROUND(C69/H69,6)</f>
        <v>3.1679999999999998E-3</v>
      </c>
      <c r="I70" s="115"/>
      <c r="N70" s="601"/>
      <c r="O70" s="601"/>
      <c r="P70" s="601"/>
      <c r="Q70" s="601"/>
      <c r="R70" s="601"/>
      <c r="S70" s="601"/>
      <c r="T70" s="605">
        <f>ROUND(P69/T69,6)</f>
        <v>0</v>
      </c>
      <c r="U70" s="605"/>
    </row>
    <row r="71" spans="1:22" x14ac:dyDescent="0.25">
      <c r="A71" s="442" t="s">
        <v>451</v>
      </c>
      <c r="N71" s="453" t="s">
        <v>459</v>
      </c>
      <c r="O71" s="51"/>
      <c r="P71" s="51"/>
      <c r="Q71" s="51"/>
      <c r="R71" s="51"/>
      <c r="S71" s="51"/>
      <c r="T71" s="51"/>
      <c r="U71" s="51"/>
    </row>
    <row r="72" spans="1:22" x14ac:dyDescent="0.25">
      <c r="A72" s="584" t="s">
        <v>404</v>
      </c>
      <c r="B72" s="578"/>
      <c r="C72" s="112">
        <f>H30</f>
        <v>663.46309999999994</v>
      </c>
      <c r="D72" s="565" t="s">
        <v>415</v>
      </c>
      <c r="E72" s="565"/>
      <c r="F72" s="565"/>
      <c r="G72" s="565"/>
      <c r="H72" s="301">
        <f>'1461'!H72</f>
        <v>234891.44</v>
      </c>
      <c r="I72" s="116"/>
      <c r="N72" s="600" t="s">
        <v>408</v>
      </c>
      <c r="O72" s="601"/>
      <c r="P72" s="41">
        <f>T30</f>
        <v>0</v>
      </c>
      <c r="Q72" s="606" t="s">
        <v>410</v>
      </c>
      <c r="R72" s="607"/>
      <c r="S72" s="607"/>
      <c r="T72" s="604">
        <f>H72</f>
        <v>234891.44</v>
      </c>
      <c r="U72" s="604"/>
    </row>
    <row r="73" spans="1:22" x14ac:dyDescent="0.25">
      <c r="G73" s="42" t="s">
        <v>12</v>
      </c>
      <c r="H73" s="114">
        <f>ROUND(C72/H72,6)</f>
        <v>2.8249999999999998E-3</v>
      </c>
      <c r="I73" s="114"/>
      <c r="N73" s="601"/>
      <c r="O73" s="601"/>
      <c r="P73" s="601"/>
      <c r="Q73" s="601"/>
      <c r="R73" s="601"/>
      <c r="S73" s="601"/>
      <c r="T73" s="605">
        <f>ROUND(P72/T72,6)</f>
        <v>0</v>
      </c>
      <c r="U73" s="605"/>
    </row>
    <row r="74" spans="1:22" x14ac:dyDescent="0.25">
      <c r="A74" s="417" t="s">
        <v>452</v>
      </c>
      <c r="B74" s="414"/>
      <c r="C74" s="414"/>
      <c r="D74" s="414"/>
      <c r="E74" s="414"/>
      <c r="F74" s="414"/>
      <c r="G74" s="414"/>
      <c r="H74" s="414"/>
      <c r="I74" s="414"/>
      <c r="N74" s="416" t="s">
        <v>460</v>
      </c>
      <c r="O74" s="415"/>
      <c r="P74" s="415"/>
      <c r="Q74" s="415"/>
      <c r="R74" s="415"/>
      <c r="S74" s="415"/>
      <c r="T74" s="415"/>
      <c r="U74" s="415"/>
      <c r="V74" s="414"/>
    </row>
    <row r="75" spans="1:22" x14ac:dyDescent="0.25">
      <c r="A75" s="584" t="s">
        <v>405</v>
      </c>
      <c r="B75" s="578"/>
      <c r="C75" s="112">
        <f>E30</f>
        <v>665.97</v>
      </c>
      <c r="D75" s="557" t="s">
        <v>416</v>
      </c>
      <c r="E75" s="557"/>
      <c r="F75" s="557"/>
      <c r="G75" s="557"/>
      <c r="H75" s="300">
        <f>'1461'!H75</f>
        <v>187665.41</v>
      </c>
      <c r="I75" s="113"/>
      <c r="N75" s="600" t="s">
        <v>406</v>
      </c>
      <c r="O75" s="601"/>
      <c r="P75" s="41">
        <f>P30</f>
        <v>0</v>
      </c>
      <c r="Q75" s="636" t="s">
        <v>411</v>
      </c>
      <c r="R75" s="637"/>
      <c r="S75" s="637"/>
      <c r="T75" s="604">
        <f>H75</f>
        <v>187665.41</v>
      </c>
      <c r="U75" s="604"/>
    </row>
    <row r="76" spans="1:22" x14ac:dyDescent="0.25">
      <c r="B76" s="69"/>
      <c r="G76" s="42" t="s">
        <v>12</v>
      </c>
      <c r="H76" s="114">
        <f>ROUND(C75/H75,6)</f>
        <v>3.5490000000000001E-3</v>
      </c>
      <c r="I76" s="115"/>
      <c r="N76" s="601"/>
      <c r="O76" s="601"/>
      <c r="P76" s="601"/>
      <c r="Q76" s="601"/>
      <c r="R76" s="601"/>
      <c r="S76" s="601"/>
      <c r="T76" s="605">
        <f>ROUND(P75/T75,6)</f>
        <v>0</v>
      </c>
      <c r="U76" s="605"/>
    </row>
    <row r="77" spans="1:22" x14ac:dyDescent="0.25">
      <c r="A77" s="417" t="s">
        <v>453</v>
      </c>
      <c r="B77" s="414"/>
      <c r="C77" s="414"/>
      <c r="D77" s="414"/>
      <c r="E77" s="414"/>
      <c r="F77" s="414"/>
      <c r="G77" s="414"/>
      <c r="H77" s="414"/>
      <c r="I77" s="414"/>
      <c r="N77" s="416" t="s">
        <v>461</v>
      </c>
      <c r="O77" s="415"/>
      <c r="P77" s="415"/>
      <c r="Q77" s="415"/>
      <c r="R77" s="415"/>
      <c r="S77" s="415"/>
      <c r="T77" s="415"/>
      <c r="U77" s="415"/>
      <c r="V77" s="414"/>
    </row>
    <row r="78" spans="1:22" x14ac:dyDescent="0.25">
      <c r="A78" s="584" t="s">
        <v>405</v>
      </c>
      <c r="B78" s="578"/>
      <c r="C78" s="112">
        <f>E30</f>
        <v>665.97</v>
      </c>
      <c r="D78" s="585" t="s">
        <v>417</v>
      </c>
      <c r="E78" s="585"/>
      <c r="F78" s="585"/>
      <c r="G78" s="585"/>
      <c r="H78" s="300">
        <f>'1461'!H78</f>
        <v>209892.26</v>
      </c>
      <c r="I78" s="113"/>
      <c r="N78" s="600" t="s">
        <v>406</v>
      </c>
      <c r="O78" s="601"/>
      <c r="P78" s="41">
        <f>P30</f>
        <v>0</v>
      </c>
      <c r="Q78" s="634" t="s">
        <v>412</v>
      </c>
      <c r="R78" s="635"/>
      <c r="S78" s="635"/>
      <c r="T78" s="604">
        <f>H78</f>
        <v>209892.26</v>
      </c>
      <c r="U78" s="604"/>
    </row>
    <row r="79" spans="1:22" x14ac:dyDescent="0.25">
      <c r="B79" s="69"/>
      <c r="G79" s="42" t="s">
        <v>12</v>
      </c>
      <c r="H79" s="114">
        <f>ROUND(C78/H78,6)</f>
        <v>3.173E-3</v>
      </c>
      <c r="I79" s="115"/>
      <c r="N79" s="601"/>
      <c r="O79" s="601"/>
      <c r="P79" s="601"/>
      <c r="Q79" s="601"/>
      <c r="R79" s="601"/>
      <c r="S79" s="601"/>
      <c r="T79" s="605">
        <f>ROUND(P78/T78,6)</f>
        <v>0</v>
      </c>
      <c r="U79" s="605"/>
    </row>
    <row r="80" spans="1:22" x14ac:dyDescent="0.25">
      <c r="A80" s="417" t="s">
        <v>454</v>
      </c>
      <c r="B80" s="414"/>
      <c r="C80" s="414"/>
      <c r="D80" s="414"/>
      <c r="E80" s="414"/>
      <c r="F80" s="414"/>
      <c r="G80" s="414"/>
      <c r="H80" s="414"/>
      <c r="I80" s="414"/>
      <c r="N80" s="416" t="s">
        <v>462</v>
      </c>
      <c r="O80" s="415"/>
      <c r="P80" s="415"/>
      <c r="Q80" s="415"/>
      <c r="R80" s="415"/>
      <c r="S80" s="415"/>
      <c r="T80" s="415"/>
      <c r="U80" s="415"/>
      <c r="V80" s="414"/>
    </row>
    <row r="81" spans="1:21" x14ac:dyDescent="0.25">
      <c r="A81" s="584" t="s">
        <v>413</v>
      </c>
      <c r="B81" s="578"/>
      <c r="C81" s="112">
        <f>E30</f>
        <v>665.97</v>
      </c>
      <c r="D81" s="557" t="s">
        <v>418</v>
      </c>
      <c r="E81" s="557"/>
      <c r="F81" s="557"/>
      <c r="G81" s="557"/>
      <c r="H81" s="300">
        <f>'1461'!H81</f>
        <v>187328.76</v>
      </c>
      <c r="I81" s="113"/>
      <c r="N81" s="600" t="s">
        <v>419</v>
      </c>
      <c r="O81" s="601"/>
      <c r="P81" s="41">
        <f>P30</f>
        <v>0</v>
      </c>
      <c r="Q81" s="636" t="s">
        <v>420</v>
      </c>
      <c r="R81" s="637"/>
      <c r="S81" s="637"/>
      <c r="T81" s="604">
        <f>H81</f>
        <v>187328.76</v>
      </c>
      <c r="U81" s="604"/>
    </row>
    <row r="82" spans="1:21" x14ac:dyDescent="0.25">
      <c r="B82" s="69"/>
      <c r="G82" s="42" t="s">
        <v>12</v>
      </c>
      <c r="H82" s="114">
        <f>ROUND(C81/H81,6)</f>
        <v>3.555E-3</v>
      </c>
      <c r="I82" s="115"/>
      <c r="N82" s="601"/>
      <c r="O82" s="601"/>
      <c r="P82" s="601"/>
      <c r="Q82" s="601"/>
      <c r="R82" s="601"/>
      <c r="S82" s="601"/>
      <c r="T82" s="605">
        <f>ROUND(P81/T81,6)</f>
        <v>0</v>
      </c>
      <c r="U82" s="605"/>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455</v>
      </c>
      <c r="D85" s="69"/>
      <c r="E85" s="43" t="s">
        <v>299</v>
      </c>
      <c r="F85" s="302">
        <f>'1461'!F85</f>
        <v>46163704</v>
      </c>
      <c r="G85" s="37" t="s">
        <v>6</v>
      </c>
      <c r="H85" s="422">
        <f>H79</f>
        <v>3.173E-3</v>
      </c>
      <c r="I85" s="101">
        <f>ROUND(F85*H85,2)</f>
        <v>146477.43</v>
      </c>
      <c r="N85" s="453" t="s">
        <v>455</v>
      </c>
      <c r="O85" s="51"/>
      <c r="P85" s="51"/>
      <c r="Q85" s="44"/>
      <c r="R85" s="419">
        <f>F85</f>
        <v>46163704</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87" t="s">
        <v>71</v>
      </c>
      <c r="B87" s="578"/>
      <c r="C87" s="578"/>
      <c r="D87" s="69"/>
      <c r="E87" s="43"/>
      <c r="F87" s="117"/>
      <c r="G87" s="37"/>
      <c r="H87" s="422"/>
      <c r="I87" s="101"/>
      <c r="N87" s="600" t="s">
        <v>463</v>
      </c>
      <c r="O87" s="601"/>
      <c r="P87" s="601"/>
      <c r="Q87" s="51"/>
      <c r="R87" s="420"/>
      <c r="S87" s="51"/>
      <c r="T87" s="38"/>
      <c r="U87" s="478"/>
    </row>
    <row r="88" spans="1:21" x14ac:dyDescent="0.25">
      <c r="A88" s="587" t="s">
        <v>99</v>
      </c>
      <c r="B88" s="578"/>
      <c r="C88" s="578"/>
      <c r="D88" s="69"/>
      <c r="E88" s="43" t="s">
        <v>3</v>
      </c>
      <c r="F88" s="302">
        <f>'1461'!F88</f>
        <v>0</v>
      </c>
      <c r="G88" s="37" t="s">
        <v>6</v>
      </c>
      <c r="H88" s="422">
        <f>H70</f>
        <v>3.1679999999999998E-3</v>
      </c>
      <c r="I88" s="101">
        <f>ROUND(F88*H88,2)</f>
        <v>0</v>
      </c>
      <c r="N88" s="638" t="s">
        <v>99</v>
      </c>
      <c r="O88" s="601"/>
      <c r="P88" s="601"/>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456</v>
      </c>
      <c r="D90" s="69"/>
      <c r="E90" s="43" t="s">
        <v>421</v>
      </c>
      <c r="F90" s="302">
        <f>'1461'!F90</f>
        <v>19042026</v>
      </c>
      <c r="G90" s="37" t="s">
        <v>6</v>
      </c>
      <c r="H90" s="422">
        <f>H82</f>
        <v>3.555E-3</v>
      </c>
      <c r="I90" s="101">
        <f>ROUND(F90*H90,2)</f>
        <v>67694.399999999994</v>
      </c>
      <c r="N90" s="453" t="s">
        <v>456</v>
      </c>
      <c r="O90" s="51"/>
      <c r="P90" s="51"/>
      <c r="Q90" s="44"/>
      <c r="R90" s="419">
        <f>F90</f>
        <v>19042026</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457</v>
      </c>
      <c r="D92" s="69"/>
      <c r="E92" s="43" t="s">
        <v>3</v>
      </c>
      <c r="F92" s="302">
        <f>'1461'!F92</f>
        <v>11441151</v>
      </c>
      <c r="G92" s="37" t="s">
        <v>6</v>
      </c>
      <c r="H92" s="422">
        <f>H76</f>
        <v>3.5490000000000001E-3</v>
      </c>
      <c r="I92" s="101">
        <f t="shared" ref="I92:I96" si="14">ROUND(F92*H92,2)</f>
        <v>40604.639999999999</v>
      </c>
      <c r="N92" s="453" t="s">
        <v>457</v>
      </c>
      <c r="O92" s="51"/>
      <c r="P92" s="51"/>
      <c r="Q92" s="44"/>
      <c r="R92" s="419">
        <f t="shared" ref="R92:R96" si="15">F92</f>
        <v>11441151</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84" t="s">
        <v>422</v>
      </c>
      <c r="B94" s="578"/>
      <c r="C94" s="578"/>
      <c r="D94" s="69"/>
      <c r="E94" s="43" t="s">
        <v>4</v>
      </c>
      <c r="F94" s="302">
        <f>'1461'!F94</f>
        <v>247265670</v>
      </c>
      <c r="G94" s="37" t="s">
        <v>6</v>
      </c>
      <c r="H94" s="422">
        <f>H73</f>
        <v>2.8249999999999998E-3</v>
      </c>
      <c r="I94" s="101">
        <f t="shared" si="14"/>
        <v>698525.52</v>
      </c>
      <c r="N94" s="601" t="s">
        <v>422</v>
      </c>
      <c r="O94" s="601"/>
      <c r="P94" s="601"/>
      <c r="Q94" s="44"/>
      <c r="R94" s="419">
        <f t="shared" si="15"/>
        <v>247265670</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4" t="s">
        <v>423</v>
      </c>
      <c r="B96" s="578"/>
      <c r="C96" s="578"/>
      <c r="D96" s="69"/>
      <c r="E96" s="43" t="s">
        <v>4</v>
      </c>
      <c r="F96" s="302">
        <f>'1461'!F96</f>
        <v>0</v>
      </c>
      <c r="G96" s="37" t="s">
        <v>6</v>
      </c>
      <c r="H96" s="422">
        <f>H73</f>
        <v>2.8249999999999998E-3</v>
      </c>
      <c r="I96" s="101">
        <f t="shared" si="14"/>
        <v>0</v>
      </c>
      <c r="N96" s="600" t="s">
        <v>423</v>
      </c>
      <c r="O96" s="601"/>
      <c r="P96" s="601"/>
      <c r="Q96" s="44"/>
      <c r="R96" s="419">
        <f t="shared" si="15"/>
        <v>0</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530" t="s">
        <v>497</v>
      </c>
      <c r="B98" s="529"/>
      <c r="C98" s="529"/>
      <c r="D98" s="529"/>
      <c r="E98" s="527" t="s">
        <v>3</v>
      </c>
      <c r="F98" s="290">
        <v>0</v>
      </c>
      <c r="G98" s="528" t="s">
        <v>6</v>
      </c>
      <c r="H98" s="422">
        <f>H70</f>
        <v>3.1679999999999998E-3</v>
      </c>
      <c r="I98" s="101">
        <f t="shared" ref="I98" si="16">ROUND(F98*H98,2)</f>
        <v>0</v>
      </c>
      <c r="N98" s="533" t="s">
        <v>497</v>
      </c>
      <c r="O98" s="533"/>
      <c r="P98" s="533"/>
      <c r="Q98" s="44"/>
      <c r="R98" s="536">
        <f>F98</f>
        <v>0</v>
      </c>
      <c r="S98" s="534" t="s">
        <v>6</v>
      </c>
      <c r="T98" s="421">
        <f>T70</f>
        <v>0</v>
      </c>
      <c r="U98" s="473">
        <f>ROUND(R98*T98,2)</f>
        <v>0</v>
      </c>
    </row>
    <row r="99" spans="1:21" x14ac:dyDescent="0.25">
      <c r="A99" s="530"/>
      <c r="B99" s="529"/>
      <c r="C99" s="529"/>
      <c r="D99" s="529"/>
      <c r="E99" s="527"/>
      <c r="F99" s="276"/>
      <c r="G99" s="528"/>
      <c r="H99" s="422"/>
      <c r="I99" s="101"/>
      <c r="N99" s="533"/>
      <c r="O99" s="533"/>
      <c r="P99" s="533"/>
      <c r="Q99" s="44"/>
      <c r="R99" s="535"/>
      <c r="S99" s="534"/>
      <c r="T99" s="421"/>
      <c r="U99" s="477"/>
    </row>
    <row r="100" spans="1:21" x14ac:dyDescent="0.25">
      <c r="A100" s="530"/>
      <c r="B100" s="529"/>
      <c r="C100" s="529"/>
      <c r="D100" s="529"/>
      <c r="E100" s="527"/>
      <c r="F100" s="276"/>
      <c r="G100" s="528"/>
      <c r="H100" s="422"/>
      <c r="I100" s="101"/>
      <c r="N100" s="533"/>
      <c r="O100" s="533"/>
      <c r="P100" s="533"/>
      <c r="Q100" s="44"/>
      <c r="R100" s="420"/>
      <c r="S100" s="534"/>
      <c r="T100" s="421"/>
      <c r="U100" s="103"/>
    </row>
    <row r="101" spans="1:21" x14ac:dyDescent="0.25">
      <c r="A101" s="399" t="s">
        <v>498</v>
      </c>
      <c r="N101" s="407" t="s">
        <v>498</v>
      </c>
      <c r="O101" s="51"/>
      <c r="P101" s="51"/>
      <c r="Q101" s="51"/>
      <c r="R101" s="51"/>
      <c r="S101" s="51"/>
      <c r="T101" s="51"/>
      <c r="U101" s="51"/>
    </row>
    <row r="102" spans="1:21" x14ac:dyDescent="0.25">
      <c r="B102" s="69"/>
      <c r="C102" s="563" t="s">
        <v>60</v>
      </c>
      <c r="D102" s="563"/>
      <c r="E102" s="69"/>
      <c r="F102" s="39" t="s">
        <v>28</v>
      </c>
      <c r="G102" s="69"/>
      <c r="H102" s="69"/>
      <c r="I102" s="69"/>
      <c r="N102" s="45"/>
      <c r="O102" s="45"/>
      <c r="P102" s="45"/>
      <c r="Q102" s="45"/>
      <c r="R102" s="45"/>
      <c r="S102" s="45"/>
      <c r="T102" s="45"/>
      <c r="U102" s="45"/>
    </row>
    <row r="103" spans="1:21" x14ac:dyDescent="0.25">
      <c r="A103" s="3"/>
      <c r="B103" s="118"/>
      <c r="C103" s="564" t="s">
        <v>101</v>
      </c>
      <c r="D103" s="564"/>
      <c r="E103" s="423" t="s">
        <v>426</v>
      </c>
      <c r="F103" s="120" t="s">
        <v>106</v>
      </c>
      <c r="G103" s="121"/>
      <c r="H103" s="121"/>
      <c r="I103" s="121"/>
      <c r="N103" s="631" t="s">
        <v>35</v>
      </c>
      <c r="O103" s="631"/>
      <c r="P103" s="672" t="s">
        <v>428</v>
      </c>
      <c r="Q103" s="633"/>
      <c r="R103" s="604" t="s">
        <v>31</v>
      </c>
      <c r="S103" s="604"/>
      <c r="T103" s="604"/>
      <c r="U103" s="604"/>
    </row>
    <row r="104" spans="1:21" x14ac:dyDescent="0.25">
      <c r="A104" s="26"/>
      <c r="B104" s="52" t="s">
        <v>105</v>
      </c>
      <c r="C104" s="596">
        <f>H14+H15+H20+H23+H26</f>
        <v>0</v>
      </c>
      <c r="D104" s="596"/>
      <c r="E104" s="46">
        <f>H8</f>
        <v>1.0407999999999999</v>
      </c>
      <c r="F104" s="303">
        <f>'1461'!F104</f>
        <v>950.92</v>
      </c>
      <c r="G104" s="39" t="s">
        <v>12</v>
      </c>
      <c r="H104" s="101">
        <f>ROUND(C104*E104*F104,2)</f>
        <v>0</v>
      </c>
      <c r="I104" s="104"/>
      <c r="N104" s="28" t="s">
        <v>17</v>
      </c>
      <c r="O104" s="47">
        <f>T14+T15+T20+T23+T26</f>
        <v>0</v>
      </c>
      <c r="P104" s="611">
        <f>T8</f>
        <v>1.0407999999999999</v>
      </c>
      <c r="Q104" s="611"/>
      <c r="R104" s="48">
        <f>F104</f>
        <v>950.92</v>
      </c>
      <c r="S104" s="40" t="s">
        <v>12</v>
      </c>
      <c r="T104" s="479">
        <f>ROUND(O104*P104*R104,2)</f>
        <v>0</v>
      </c>
      <c r="U104" s="102"/>
    </row>
    <row r="105" spans="1:21" x14ac:dyDescent="0.25">
      <c r="A105" s="49"/>
      <c r="B105" s="49" t="s">
        <v>104</v>
      </c>
      <c r="C105" s="596">
        <f>H16+H17+H21+H24+H27</f>
        <v>0</v>
      </c>
      <c r="D105" s="596"/>
      <c r="E105" s="46">
        <f>H8</f>
        <v>1.0407999999999999</v>
      </c>
      <c r="F105" s="303">
        <f>'1461'!F105</f>
        <v>907.92</v>
      </c>
      <c r="G105" s="39" t="s">
        <v>12</v>
      </c>
      <c r="H105" s="101">
        <f>ROUND(C105*E105*F105,2)</f>
        <v>0</v>
      </c>
      <c r="N105" s="50" t="s">
        <v>13</v>
      </c>
      <c r="O105" s="47">
        <f>T16+T17+T21+T24+T27</f>
        <v>0</v>
      </c>
      <c r="P105" s="611">
        <f>T8</f>
        <v>1.0407999999999999</v>
      </c>
      <c r="Q105" s="611"/>
      <c r="R105" s="48">
        <f>F105</f>
        <v>907.92</v>
      </c>
      <c r="S105" s="40" t="s">
        <v>12</v>
      </c>
      <c r="T105" s="479">
        <f>ROUND(O105*P105*R105,2)</f>
        <v>0</v>
      </c>
      <c r="U105" s="51"/>
    </row>
    <row r="106" spans="1:21" ht="16.5" thickBot="1" x14ac:dyDescent="0.3">
      <c r="A106" s="52"/>
      <c r="B106" s="52" t="s">
        <v>103</v>
      </c>
      <c r="C106" s="596">
        <f>H18+H19+H22+H25+H28+H29</f>
        <v>663.46309999999994</v>
      </c>
      <c r="D106" s="596"/>
      <c r="E106" s="46">
        <f>H8</f>
        <v>1.0407999999999999</v>
      </c>
      <c r="F106" s="303">
        <f>'1461'!F106</f>
        <v>910.12</v>
      </c>
      <c r="G106" s="39" t="s">
        <v>12</v>
      </c>
      <c r="H106" s="94">
        <f>ROUND(C106*E106*F106,2)</f>
        <v>628467.34</v>
      </c>
      <c r="N106" s="53" t="s">
        <v>14</v>
      </c>
      <c r="O106" s="54">
        <f>T18+T19+T22+T25+T28+T29</f>
        <v>0</v>
      </c>
      <c r="P106" s="611">
        <f>T8</f>
        <v>1.0407999999999999</v>
      </c>
      <c r="Q106" s="611"/>
      <c r="R106" s="48">
        <f>F106</f>
        <v>910.12</v>
      </c>
      <c r="S106" s="40" t="s">
        <v>12</v>
      </c>
      <c r="T106" s="479">
        <f>ROUND(O106*P106*R106,2)</f>
        <v>0</v>
      </c>
      <c r="U106" s="51"/>
    </row>
    <row r="107" spans="1:21" ht="16.5" thickBot="1" x14ac:dyDescent="0.3">
      <c r="A107" s="55"/>
      <c r="B107" s="122" t="s">
        <v>102</v>
      </c>
      <c r="C107" s="586">
        <f>SUM(C104:C106)</f>
        <v>663.46309999999994</v>
      </c>
      <c r="D107" s="586"/>
      <c r="E107" s="123"/>
      <c r="F107" s="123"/>
      <c r="G107" s="123"/>
      <c r="H107" s="124" t="s">
        <v>100</v>
      </c>
      <c r="I107" s="101">
        <f>IF(A1=75,0,H106+H105+H104)</f>
        <v>628467.34</v>
      </c>
      <c r="N107" s="56" t="s">
        <v>89</v>
      </c>
      <c r="O107" s="57">
        <f>SUM(O104:O106)</f>
        <v>0</v>
      </c>
      <c r="P107" s="612" t="s">
        <v>16</v>
      </c>
      <c r="Q107" s="613"/>
      <c r="R107" s="613"/>
      <c r="S107" s="613"/>
      <c r="T107" s="613"/>
      <c r="U107" s="473">
        <f>IF(N1=75,0,T106+T105+T104)</f>
        <v>0</v>
      </c>
    </row>
    <row r="108" spans="1:21" ht="16.5" thickTop="1" x14ac:dyDescent="0.25">
      <c r="A108" s="555" t="s">
        <v>65</v>
      </c>
      <c r="B108" s="555"/>
      <c r="C108" s="555"/>
      <c r="D108" s="555"/>
      <c r="E108" s="555"/>
      <c r="F108" s="555"/>
      <c r="G108" s="555"/>
      <c r="H108" s="555"/>
      <c r="I108" s="555"/>
      <c r="N108" s="614" t="s">
        <v>65</v>
      </c>
      <c r="O108" s="614"/>
      <c r="P108" s="614"/>
      <c r="Q108" s="614"/>
      <c r="R108" s="614"/>
      <c r="S108" s="614"/>
      <c r="T108" s="614"/>
      <c r="U108" s="614"/>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0" t="s">
        <v>499</v>
      </c>
      <c r="C110" s="43"/>
      <c r="D110" s="69"/>
      <c r="E110" s="43" t="s">
        <v>32</v>
      </c>
      <c r="F110" s="556"/>
      <c r="G110" s="556"/>
      <c r="H110" s="556"/>
      <c r="I110" s="556"/>
      <c r="N110" s="600" t="s">
        <v>499</v>
      </c>
      <c r="O110" s="601"/>
      <c r="P110" s="601"/>
      <c r="Q110" s="615"/>
      <c r="R110" s="615"/>
      <c r="S110" s="615"/>
      <c r="T110" s="615"/>
      <c r="U110" s="103"/>
    </row>
    <row r="111" spans="1:21" x14ac:dyDescent="0.25">
      <c r="B111" s="69"/>
      <c r="C111" s="88" t="s">
        <v>494</v>
      </c>
      <c r="D111" s="333" t="s">
        <v>495</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57" t="s">
        <v>381</v>
      </c>
      <c r="B113" s="558"/>
      <c r="C113" s="143">
        <v>413</v>
      </c>
      <c r="D113" s="143">
        <v>490</v>
      </c>
      <c r="E113" s="116">
        <f>(C113+D113)/2</f>
        <v>451.5</v>
      </c>
      <c r="F113" s="126" t="s">
        <v>30</v>
      </c>
      <c r="G113" s="304">
        <f>'1461'!G113</f>
        <v>576</v>
      </c>
      <c r="I113" s="101">
        <f>ROUND(G113*E113,2)</f>
        <v>260064</v>
      </c>
      <c r="N113" s="630" t="s">
        <v>52</v>
      </c>
      <c r="O113" s="630"/>
      <c r="P113" s="610">
        <f>IF(H133=1,E113,0)</f>
        <v>0</v>
      </c>
      <c r="Q113" s="610"/>
      <c r="R113" s="610"/>
      <c r="S113" s="83" t="s">
        <v>30</v>
      </c>
      <c r="T113" s="58">
        <f>G113</f>
        <v>576</v>
      </c>
      <c r="U113" s="473">
        <f>ROUND(T113*P113,2)</f>
        <v>0</v>
      </c>
    </row>
    <row r="114" spans="1:21" x14ac:dyDescent="0.25">
      <c r="A114" s="557" t="s">
        <v>382</v>
      </c>
      <c r="B114" s="558"/>
      <c r="C114" s="143">
        <v>0</v>
      </c>
      <c r="D114" s="143">
        <v>0</v>
      </c>
      <c r="E114" s="116">
        <f>(C114+D114)/2</f>
        <v>0</v>
      </c>
      <c r="F114" s="126" t="s">
        <v>30</v>
      </c>
      <c r="G114" s="304">
        <f>'1461'!G114</f>
        <v>1823</v>
      </c>
      <c r="I114" s="101">
        <f>ROUND(G114*E114,2)</f>
        <v>0</v>
      </c>
      <c r="N114" s="630" t="s">
        <v>64</v>
      </c>
      <c r="O114" s="630"/>
      <c r="P114" s="608"/>
      <c r="Q114" s="608"/>
      <c r="R114" s="608"/>
      <c r="S114" s="83" t="s">
        <v>30</v>
      </c>
      <c r="T114" s="58">
        <f>G114</f>
        <v>1823</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4" t="s">
        <v>430</v>
      </c>
      <c r="B117" s="578"/>
      <c r="C117" s="578"/>
      <c r="D117" s="69"/>
      <c r="E117" s="39" t="s">
        <v>300</v>
      </c>
      <c r="F117" s="563"/>
      <c r="G117" s="563"/>
      <c r="H117" s="563"/>
      <c r="I117" s="563"/>
      <c r="N117" s="600" t="s">
        <v>431</v>
      </c>
      <c r="O117" s="601"/>
      <c r="P117" s="601"/>
      <c r="Q117" s="601"/>
      <c r="R117" s="601"/>
      <c r="S117" s="601"/>
      <c r="T117" s="601"/>
      <c r="U117" s="601"/>
    </row>
    <row r="118" spans="1:21" hidden="1" x14ac:dyDescent="0.25">
      <c r="B118" s="69"/>
      <c r="C118" s="564" t="s">
        <v>66</v>
      </c>
      <c r="D118" s="564"/>
      <c r="E118" s="564"/>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5" t="s">
        <v>109</v>
      </c>
      <c r="G119" s="563"/>
      <c r="H119" s="37" t="s">
        <v>29</v>
      </c>
      <c r="I119" s="37"/>
      <c r="N119" s="45"/>
      <c r="O119" s="45"/>
      <c r="P119" s="45"/>
      <c r="Q119" s="45"/>
      <c r="R119" s="45"/>
      <c r="S119" s="45"/>
      <c r="T119" s="45"/>
      <c r="U119" s="45"/>
    </row>
    <row r="120" spans="1:21" hidden="1" x14ac:dyDescent="0.25">
      <c r="A120" s="564" t="s">
        <v>69</v>
      </c>
      <c r="B120" s="564"/>
      <c r="C120" s="90" t="s">
        <v>2</v>
      </c>
      <c r="D120" s="90" t="s">
        <v>2</v>
      </c>
      <c r="E120" s="59" t="s">
        <v>2</v>
      </c>
      <c r="F120" s="564" t="s">
        <v>28</v>
      </c>
      <c r="G120" s="564"/>
      <c r="H120" s="59" t="s">
        <v>28</v>
      </c>
      <c r="I120" s="59" t="s">
        <v>8</v>
      </c>
      <c r="N120" s="609" t="s">
        <v>53</v>
      </c>
      <c r="O120" s="609"/>
      <c r="P120" s="610" t="s">
        <v>66</v>
      </c>
      <c r="Q120" s="610"/>
      <c r="R120" s="609" t="s">
        <v>54</v>
      </c>
      <c r="S120" s="609"/>
      <c r="T120" s="60" t="s">
        <v>55</v>
      </c>
      <c r="U120" s="60" t="s">
        <v>8</v>
      </c>
    </row>
    <row r="121" spans="1:21" hidden="1" x14ac:dyDescent="0.25">
      <c r="A121" s="561" t="s">
        <v>56</v>
      </c>
      <c r="B121" s="561"/>
      <c r="C121" s="141">
        <v>0</v>
      </c>
      <c r="D121" s="141">
        <v>0</v>
      </c>
      <c r="E121" s="187">
        <f>IF(D30=0,C121*2,C121+D121)</f>
        <v>0</v>
      </c>
      <c r="F121" s="562">
        <v>0</v>
      </c>
      <c r="G121" s="562"/>
      <c r="H121" s="224">
        <f>IF(C121=0,0,125)</f>
        <v>0</v>
      </c>
      <c r="I121" s="101">
        <f>ROUND((H121+F121)*E121,2)</f>
        <v>0</v>
      </c>
      <c r="N121" s="601" t="s">
        <v>56</v>
      </c>
      <c r="O121" s="601"/>
      <c r="P121" s="608">
        <f>IF(H$133=1,C121,0)</f>
        <v>0</v>
      </c>
      <c r="Q121" s="608"/>
      <c r="R121" s="628">
        <f>F121</f>
        <v>0</v>
      </c>
      <c r="S121" s="628"/>
      <c r="T121" s="62">
        <f>H121</f>
        <v>0</v>
      </c>
      <c r="U121" s="96">
        <f>ROUND((T121+R121)*P121,0)</f>
        <v>0</v>
      </c>
    </row>
    <row r="122" spans="1:21" hidden="1" x14ac:dyDescent="0.25">
      <c r="A122" s="581" t="s">
        <v>57</v>
      </c>
      <c r="B122" s="581"/>
      <c r="C122" s="143">
        <v>0</v>
      </c>
      <c r="D122" s="143">
        <v>0</v>
      </c>
      <c r="E122" s="116">
        <f>IF(D31=0,C122*2,C122+D122)</f>
        <v>0</v>
      </c>
      <c r="F122" s="598">
        <f>ROUND(F121/2,2)</f>
        <v>0</v>
      </c>
      <c r="G122" s="598"/>
      <c r="H122" s="224">
        <f>IF(C122=0,0,62.5)</f>
        <v>0</v>
      </c>
      <c r="I122" s="101">
        <f>ROUND((H122+F122)*E122,2)</f>
        <v>0</v>
      </c>
      <c r="N122" s="601" t="s">
        <v>57</v>
      </c>
      <c r="O122" s="601"/>
      <c r="P122" s="608">
        <f>IF(H$133=1,C122,0)</f>
        <v>0</v>
      </c>
      <c r="Q122" s="608"/>
      <c r="R122" s="629">
        <f>ROUND(R121/2,2)</f>
        <v>0</v>
      </c>
      <c r="S122" s="629"/>
      <c r="T122" s="62">
        <f>H122</f>
        <v>0</v>
      </c>
      <c r="U122" s="96">
        <f>ROUND((T122+R122)*P122,0)</f>
        <v>0</v>
      </c>
    </row>
    <row r="123" spans="1:21" ht="16.5" hidden="1" thickBot="1" x14ac:dyDescent="0.3">
      <c r="A123" s="581" t="s">
        <v>58</v>
      </c>
      <c r="B123" s="581"/>
      <c r="C123" s="143">
        <v>0</v>
      </c>
      <c r="D123" s="143">
        <v>0</v>
      </c>
      <c r="E123" s="116">
        <f>IF(D32=0,C123*2,C123+D123)</f>
        <v>0</v>
      </c>
      <c r="F123" s="599"/>
      <c r="G123" s="599"/>
      <c r="H123" s="225">
        <f>IF(H121&gt;0,436,0)</f>
        <v>0</v>
      </c>
      <c r="I123" s="101">
        <f>ROUND(H123*E123,2)</f>
        <v>0</v>
      </c>
      <c r="N123" s="616" t="s">
        <v>58</v>
      </c>
      <c r="O123" s="616"/>
      <c r="P123" s="608">
        <f>IF(H$133=1,C123,0)</f>
        <v>0</v>
      </c>
      <c r="Q123" s="608"/>
      <c r="R123" s="609"/>
      <c r="S123" s="609"/>
      <c r="T123" s="64">
        <f>H123</f>
        <v>0</v>
      </c>
      <c r="U123" s="103">
        <f>ROUND(T123*P123,0)</f>
        <v>0</v>
      </c>
    </row>
    <row r="124" spans="1:21" ht="16.5" hidden="1" thickBot="1" x14ac:dyDescent="0.3">
      <c r="A124" s="563" t="s">
        <v>8</v>
      </c>
      <c r="B124" s="563"/>
      <c r="C124" s="65"/>
      <c r="D124" s="65"/>
      <c r="E124" s="65"/>
      <c r="F124" s="65"/>
      <c r="G124" s="65"/>
      <c r="H124" s="65"/>
      <c r="I124" s="97">
        <f>SUM(I121:I123)</f>
        <v>0</v>
      </c>
      <c r="N124" s="627" t="s">
        <v>8</v>
      </c>
      <c r="O124" s="627"/>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4" t="s">
        <v>432</v>
      </c>
      <c r="B126" s="578"/>
      <c r="C126" s="578"/>
      <c r="D126" s="69"/>
      <c r="E126" s="68" t="s">
        <v>34</v>
      </c>
      <c r="F126" s="597"/>
      <c r="G126" s="597"/>
      <c r="H126" s="597"/>
      <c r="I126" s="154">
        <v>0</v>
      </c>
      <c r="N126" s="600" t="s">
        <v>432</v>
      </c>
      <c r="O126" s="601"/>
      <c r="P126" s="601"/>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90" t="s">
        <v>8</v>
      </c>
      <c r="B128" s="590"/>
      <c r="C128" s="590"/>
      <c r="D128" s="590"/>
      <c r="E128" s="590"/>
      <c r="F128" s="590"/>
      <c r="G128" s="590"/>
      <c r="H128" s="590"/>
      <c r="I128" s="94">
        <f>SUM(I46,I66,I85,I88,I90,I92,I94,I96,I107,I113,I114,I124,I126)</f>
        <v>5604330.4600000009</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434</v>
      </c>
      <c r="B130" s="26"/>
      <c r="C130" s="26"/>
      <c r="D130" s="26"/>
      <c r="E130" s="26"/>
      <c r="F130" s="26"/>
      <c r="G130" s="26"/>
      <c r="H130" s="26"/>
      <c r="I130" s="101">
        <f>I128-I53</f>
        <v>5386034.4500000011</v>
      </c>
      <c r="N130" s="601" t="s">
        <v>434</v>
      </c>
      <c r="O130" s="601"/>
      <c r="P130" s="601"/>
      <c r="Q130" s="601"/>
      <c r="R130" s="601"/>
      <c r="S130" s="601"/>
      <c r="T130" s="601"/>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4" t="s">
        <v>502</v>
      </c>
      <c r="B132" s="578"/>
      <c r="C132" s="578"/>
      <c r="D132" s="578"/>
      <c r="E132" s="578"/>
      <c r="F132" s="578"/>
      <c r="G132" s="578"/>
      <c r="H132" s="81" t="s">
        <v>333</v>
      </c>
      <c r="I132" s="134"/>
      <c r="N132" s="600" t="s">
        <v>502</v>
      </c>
      <c r="O132" s="601"/>
      <c r="P132" s="601"/>
      <c r="Q132" s="601"/>
      <c r="R132" s="601"/>
      <c r="S132" s="601"/>
      <c r="T132" s="601"/>
      <c r="U132" s="138"/>
    </row>
    <row r="133" spans="1:21" x14ac:dyDescent="0.25">
      <c r="A133" s="578" t="s">
        <v>70</v>
      </c>
      <c r="B133" s="578"/>
      <c r="C133" s="578"/>
      <c r="D133" s="578"/>
      <c r="E133" s="578"/>
      <c r="F133" s="578"/>
      <c r="G133" s="578"/>
      <c r="H133" s="70" t="str">
        <f>IF(E30=0,"",IF((E15+E17+SUM(E19:E25))/E30&gt;0.75,1,""))</f>
        <v/>
      </c>
      <c r="I133" s="116">
        <f>U130</f>
        <v>0</v>
      </c>
      <c r="N133" s="601" t="s">
        <v>70</v>
      </c>
      <c r="O133" s="601"/>
      <c r="P133" s="601"/>
      <c r="Q133" s="601"/>
      <c r="R133" s="601"/>
      <c r="S133" s="601"/>
      <c r="T133" s="601"/>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5386034.4500000011</v>
      </c>
      <c r="I135" s="94">
        <f>ROUND(IF(E30=0,0,IF(E30&gt;250,-(((250/E30)*H135)*IF(G135="H",0.02,0.05)),IF(G135="H",-0.02*H135,-0.05*H135))),2)</f>
        <v>-101093.79</v>
      </c>
      <c r="N135" s="626"/>
      <c r="O135" s="626"/>
      <c r="P135" s="626"/>
      <c r="Q135" s="626"/>
      <c r="R135" s="626"/>
      <c r="S135" s="626"/>
      <c r="T135" s="626"/>
      <c r="U135" s="626"/>
    </row>
    <row r="136" spans="1:21" x14ac:dyDescent="0.25">
      <c r="B136" s="69"/>
      <c r="C136" s="69"/>
      <c r="D136" s="69"/>
      <c r="E136" s="69"/>
      <c r="F136" s="69"/>
      <c r="G136" s="69"/>
      <c r="H136" s="65"/>
      <c r="I136" s="101"/>
      <c r="N136" s="624" t="s">
        <v>7</v>
      </c>
      <c r="O136" s="624"/>
      <c r="P136" s="624"/>
      <c r="Q136" s="624"/>
      <c r="R136" s="624"/>
      <c r="S136" s="624"/>
      <c r="T136" s="624"/>
      <c r="U136" s="624"/>
    </row>
    <row r="137" spans="1:21" x14ac:dyDescent="0.25">
      <c r="A137" s="309" t="s">
        <v>74</v>
      </c>
      <c r="B137" s="310"/>
      <c r="C137" s="310"/>
      <c r="D137" s="310"/>
      <c r="E137" s="310"/>
      <c r="F137" s="310"/>
      <c r="G137" s="310"/>
      <c r="H137" s="311"/>
      <c r="I137" s="312">
        <f>I128+I135</f>
        <v>5503236.6700000009</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Payments'!Q94</f>
        <v>0</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5503236.6700000009</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458603.06</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168207.93</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372</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373</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374</v>
      </c>
      <c r="B155" s="252"/>
      <c r="C155" s="252"/>
      <c r="D155" s="252"/>
      <c r="E155" s="252"/>
      <c r="F155" s="252"/>
      <c r="G155" s="252"/>
      <c r="H155" s="252"/>
      <c r="I155" s="252"/>
      <c r="N155" s="625"/>
      <c r="O155" s="625"/>
      <c r="P155" s="625"/>
      <c r="Q155" s="625"/>
      <c r="R155" s="625"/>
      <c r="S155" s="625"/>
      <c r="T155" s="625"/>
      <c r="U155" s="625"/>
    </row>
    <row r="156" spans="1:21" s="76" customFormat="1" x14ac:dyDescent="0.2">
      <c r="A156" s="320" t="s">
        <v>375</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376</v>
      </c>
      <c r="B157" s="252"/>
      <c r="C157" s="252"/>
      <c r="D157" s="252"/>
      <c r="E157" s="252"/>
      <c r="F157" s="252"/>
      <c r="G157" s="252"/>
      <c r="H157" s="252"/>
      <c r="I157" s="252"/>
      <c r="N157" s="78"/>
      <c r="O157" s="79"/>
      <c r="P157" s="79"/>
      <c r="Q157" s="79"/>
      <c r="R157" s="79"/>
      <c r="S157" s="79"/>
      <c r="T157" s="79"/>
      <c r="U157" s="79"/>
    </row>
    <row r="158" spans="1:21" s="76" customFormat="1" x14ac:dyDescent="0.2">
      <c r="A158" s="320" t="s">
        <v>377</v>
      </c>
      <c r="B158" s="252"/>
      <c r="C158" s="252"/>
      <c r="D158" s="252"/>
      <c r="E158" s="252"/>
      <c r="F158" s="252"/>
      <c r="G158" s="252"/>
      <c r="H158" s="252"/>
      <c r="I158" s="252"/>
      <c r="N158" s="78"/>
    </row>
    <row r="159" spans="1:21" s="76" customFormat="1" x14ac:dyDescent="0.2">
      <c r="A159" s="320" t="s">
        <v>379</v>
      </c>
      <c r="B159" s="252"/>
      <c r="C159" s="252"/>
      <c r="D159" s="252"/>
      <c r="E159" s="252"/>
      <c r="F159" s="252"/>
      <c r="G159" s="252"/>
      <c r="H159" s="252"/>
      <c r="I159" s="252"/>
      <c r="N159" s="78"/>
    </row>
    <row r="160" spans="1:21" s="76" customFormat="1" x14ac:dyDescent="0.2">
      <c r="A160" s="385" t="s">
        <v>378</v>
      </c>
      <c r="B160" s="252"/>
      <c r="C160" s="252"/>
      <c r="D160" s="252"/>
      <c r="E160" s="252"/>
      <c r="F160" s="252"/>
      <c r="G160" s="252"/>
      <c r="H160" s="252"/>
      <c r="I160" s="252"/>
      <c r="N160" s="78"/>
    </row>
    <row r="161" spans="1:14" s="76" customFormat="1" x14ac:dyDescent="0.2">
      <c r="A161" s="320" t="s">
        <v>380</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383</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385</v>
      </c>
      <c r="B165" s="293"/>
      <c r="C165" s="293"/>
      <c r="D165" s="293"/>
      <c r="E165" s="293"/>
      <c r="F165" s="293"/>
      <c r="G165" s="293"/>
      <c r="H165" s="293"/>
      <c r="I165" s="293"/>
      <c r="N165" s="78"/>
    </row>
    <row r="166" spans="1:14" s="76" customFormat="1" ht="15.75" customHeight="1" x14ac:dyDescent="0.2">
      <c r="A166" s="351" t="s">
        <v>384</v>
      </c>
      <c r="B166" s="293"/>
      <c r="C166" s="293"/>
      <c r="D166" s="293"/>
      <c r="E166" s="293"/>
      <c r="F166" s="293"/>
      <c r="G166" s="293"/>
      <c r="H166" s="293"/>
      <c r="I166" s="293"/>
      <c r="N166" s="78"/>
    </row>
    <row r="167" spans="1:14" s="76" customFormat="1" ht="15.75" customHeight="1" x14ac:dyDescent="0.2">
      <c r="A167" s="320" t="s">
        <v>386</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388</v>
      </c>
      <c r="B169" s="343"/>
      <c r="C169" s="343"/>
      <c r="D169" s="343"/>
      <c r="E169" s="343"/>
      <c r="F169" s="343"/>
      <c r="G169" s="343"/>
      <c r="H169" s="343"/>
      <c r="I169" s="343"/>
      <c r="N169" s="78"/>
    </row>
    <row r="170" spans="1:14" s="76" customFormat="1" ht="15.75" customHeight="1" x14ac:dyDescent="0.2">
      <c r="A170" s="351" t="s">
        <v>387</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389</v>
      </c>
      <c r="B175" s="293"/>
      <c r="C175" s="293"/>
      <c r="D175" s="293"/>
      <c r="E175" s="293"/>
      <c r="F175" s="293"/>
      <c r="G175" s="293"/>
      <c r="H175" s="293"/>
      <c r="I175" s="293"/>
      <c r="J175" s="3"/>
      <c r="K175" s="3"/>
      <c r="L175" s="3"/>
      <c r="M175" s="3"/>
      <c r="N175" s="78"/>
    </row>
    <row r="176" spans="1:14" s="76" customFormat="1" ht="15.75" customHeight="1" x14ac:dyDescent="0.2">
      <c r="A176" s="361" t="s">
        <v>390</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9">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6" t="s">
        <v>15</v>
      </c>
      <c r="C1" s="567"/>
      <c r="D1" s="567"/>
      <c r="E1" s="567"/>
      <c r="F1" s="567"/>
      <c r="G1" s="567"/>
      <c r="H1" s="567"/>
      <c r="I1" s="567"/>
      <c r="J1" s="135"/>
      <c r="K1" s="135"/>
      <c r="L1" s="135"/>
      <c r="N1" s="82">
        <f>A1</f>
        <v>0</v>
      </c>
      <c r="O1" s="658" t="s">
        <v>15</v>
      </c>
      <c r="P1" s="659"/>
      <c r="Q1" s="659"/>
      <c r="R1" s="659"/>
      <c r="S1" s="659"/>
      <c r="T1" s="659"/>
      <c r="U1" s="659"/>
    </row>
    <row r="2" spans="1:21" ht="21" x14ac:dyDescent="0.35">
      <c r="A2" s="1" t="s">
        <v>129</v>
      </c>
      <c r="B2" s="2"/>
      <c r="C2" s="2"/>
      <c r="D2" s="2"/>
      <c r="E2" s="2"/>
      <c r="F2" s="2"/>
      <c r="G2" s="2"/>
      <c r="H2" s="2"/>
      <c r="I2" s="2"/>
      <c r="N2" s="660" t="s">
        <v>18</v>
      </c>
      <c r="O2" s="660"/>
      <c r="P2" s="660"/>
      <c r="Q2" s="660"/>
      <c r="R2" s="660"/>
      <c r="S2" s="660"/>
      <c r="T2" s="660"/>
      <c r="U2" s="660"/>
    </row>
    <row r="3" spans="1:21" x14ac:dyDescent="0.25">
      <c r="A3" s="81" t="str">
        <f>'1461'!A3</f>
        <v>Based on the FLDOE 2024-25 Conference Calculation</v>
      </c>
      <c r="N3" s="627" t="str">
        <f>A3</f>
        <v>Based on the FLDOE 2024-25 Conference Calculation</v>
      </c>
      <c r="O3" s="627"/>
      <c r="P3" s="627"/>
      <c r="Q3" s="627"/>
      <c r="R3" s="627"/>
      <c r="S3" s="627"/>
      <c r="T3" s="627"/>
      <c r="U3" s="627"/>
    </row>
    <row r="4" spans="1:21" x14ac:dyDescent="0.25">
      <c r="A4" s="568" t="s">
        <v>0</v>
      </c>
      <c r="B4" s="568"/>
      <c r="C4" s="569" t="s">
        <v>9</v>
      </c>
      <c r="D4" s="569"/>
      <c r="E4" s="569"/>
      <c r="F4" s="4" t="str">
        <f>'1461'!F4</f>
        <v>July 2024</v>
      </c>
      <c r="G4" s="4"/>
      <c r="H4" s="4"/>
      <c r="I4" s="4"/>
      <c r="N4" s="661" t="s">
        <v>0</v>
      </c>
      <c r="O4" s="661"/>
      <c r="P4" s="662" t="str">
        <f>C4</f>
        <v>Palm Beach</v>
      </c>
      <c r="Q4" s="662"/>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70" t="s">
        <v>433</v>
      </c>
      <c r="B7" s="664"/>
      <c r="C7" s="664"/>
      <c r="D7" s="664"/>
      <c r="E7" s="664"/>
      <c r="F7" s="664"/>
      <c r="G7" s="664"/>
      <c r="H7" s="664"/>
      <c r="I7" s="664"/>
      <c r="N7" s="661" t="str">
        <f>A7</f>
        <v>1A.   2023-24 FEFP State and Local Funding</v>
      </c>
      <c r="O7" s="661"/>
      <c r="P7" s="661"/>
      <c r="Q7" s="661"/>
      <c r="R7" s="661"/>
      <c r="S7" s="661"/>
      <c r="T7" s="661"/>
      <c r="U7" s="661"/>
    </row>
    <row r="8" spans="1:21" x14ac:dyDescent="0.25">
      <c r="A8" s="84"/>
      <c r="B8" s="85" t="s">
        <v>92</v>
      </c>
      <c r="C8" s="299">
        <f>'1461'!C8</f>
        <v>5330.98</v>
      </c>
      <c r="D8" s="86"/>
      <c r="E8" s="87"/>
      <c r="F8" s="84"/>
      <c r="G8" s="85" t="s">
        <v>393</v>
      </c>
      <c r="H8" s="287">
        <f>'1461'!H8</f>
        <v>1.0407999999999999</v>
      </c>
      <c r="I8" s="75"/>
      <c r="N8" s="665" t="s">
        <v>10</v>
      </c>
      <c r="O8" s="665"/>
      <c r="P8" s="666">
        <f>C8</f>
        <v>5330.98</v>
      </c>
      <c r="Q8" s="666"/>
      <c r="R8" s="648" t="s">
        <v>394</v>
      </c>
      <c r="S8" s="649"/>
      <c r="T8" s="650">
        <f>H8</f>
        <v>1.0407999999999999</v>
      </c>
      <c r="U8" s="650"/>
    </row>
    <row r="9" spans="1:21" x14ac:dyDescent="0.25">
      <c r="A9" s="84"/>
      <c r="B9" s="85"/>
      <c r="C9" s="222"/>
      <c r="D9" s="86"/>
      <c r="E9" s="87"/>
      <c r="F9" s="84"/>
      <c r="G9" s="85" t="s">
        <v>391</v>
      </c>
      <c r="H9" s="287">
        <f>'1461'!H9</f>
        <v>1</v>
      </c>
      <c r="I9" s="75"/>
      <c r="N9" s="12"/>
      <c r="O9" s="12"/>
      <c r="P9" s="13"/>
      <c r="Q9" s="13"/>
      <c r="R9" s="387" t="s">
        <v>392</v>
      </c>
      <c r="S9" s="384"/>
      <c r="T9" s="650">
        <f>H9</f>
        <v>1</v>
      </c>
      <c r="U9" s="650"/>
    </row>
    <row r="10" spans="1:21" x14ac:dyDescent="0.25">
      <c r="A10" s="7"/>
      <c r="B10" s="42" t="s">
        <v>310</v>
      </c>
      <c r="C10" s="456" t="str">
        <f>'1461'!C10</f>
        <v xml:space="preserve"> </v>
      </c>
      <c r="D10" s="88" t="str">
        <f>'1461'!D10</f>
        <v xml:space="preserve"> </v>
      </c>
      <c r="E10" s="8"/>
      <c r="F10" s="9"/>
      <c r="G10" s="9"/>
      <c r="H10" s="10"/>
      <c r="I10" s="305" t="str">
        <f>'1461'!I10</f>
        <v>2024-25</v>
      </c>
      <c r="N10" s="12"/>
      <c r="O10" s="12"/>
      <c r="P10" s="13"/>
      <c r="Q10" s="13"/>
      <c r="R10" s="14"/>
      <c r="S10" s="14"/>
      <c r="T10" s="15"/>
      <c r="U10" s="366" t="str">
        <f>I10</f>
        <v>2024-25</v>
      </c>
    </row>
    <row r="11" spans="1:21" x14ac:dyDescent="0.25">
      <c r="A11" s="7"/>
      <c r="B11" s="7"/>
      <c r="C11" s="88" t="str">
        <f>'1461'!C11</f>
        <v>Oct 2023</v>
      </c>
      <c r="D11" s="333" t="str">
        <f>'1461'!D11</f>
        <v>Feb 2024</v>
      </c>
      <c r="E11" s="89" t="s">
        <v>8</v>
      </c>
      <c r="F11" s="571" t="s">
        <v>1</v>
      </c>
      <c r="G11" s="571"/>
      <c r="H11" s="10" t="s">
        <v>60</v>
      </c>
      <c r="I11" s="11" t="s">
        <v>27</v>
      </c>
      <c r="N11" s="12"/>
      <c r="O11" s="12"/>
      <c r="P11" s="13"/>
      <c r="Q11" s="13"/>
      <c r="R11" s="651" t="s">
        <v>1</v>
      </c>
      <c r="S11" s="651"/>
      <c r="T11" s="15" t="s">
        <v>60</v>
      </c>
      <c r="U11" s="16" t="s">
        <v>27</v>
      </c>
    </row>
    <row r="12" spans="1:21" ht="15.75" customHeight="1" x14ac:dyDescent="0.25">
      <c r="A12" s="572" t="s">
        <v>1</v>
      </c>
      <c r="B12" s="572"/>
      <c r="C12" s="324" t="str">
        <f>'1461'!C12</f>
        <v>FTE</v>
      </c>
      <c r="D12" s="324" t="str">
        <f>'1461'!D12</f>
        <v>FTE</v>
      </c>
      <c r="E12" s="324" t="s">
        <v>2</v>
      </c>
      <c r="F12" s="573" t="s">
        <v>63</v>
      </c>
      <c r="G12" s="573"/>
      <c r="H12" s="17" t="s">
        <v>59</v>
      </c>
      <c r="I12" s="388" t="s">
        <v>395</v>
      </c>
      <c r="N12" s="639" t="s">
        <v>1</v>
      </c>
      <c r="O12" s="639"/>
      <c r="P12" s="652" t="s">
        <v>19</v>
      </c>
      <c r="Q12" s="652"/>
      <c r="R12" s="653" t="s">
        <v>63</v>
      </c>
      <c r="S12" s="653"/>
      <c r="T12" s="18" t="s">
        <v>59</v>
      </c>
      <c r="U12" s="19" t="str">
        <f>I12</f>
        <v>(WFTE x BSA x CWF x SDF)</v>
      </c>
    </row>
    <row r="13" spans="1:21" x14ac:dyDescent="0.25">
      <c r="A13" s="574" t="s">
        <v>36</v>
      </c>
      <c r="B13" s="574"/>
      <c r="C13" s="91"/>
      <c r="D13" s="91"/>
      <c r="E13" s="92" t="s">
        <v>37</v>
      </c>
      <c r="F13" s="575" t="s">
        <v>38</v>
      </c>
      <c r="G13" s="575"/>
      <c r="H13" s="20" t="s">
        <v>39</v>
      </c>
      <c r="I13" s="21" t="s">
        <v>40</v>
      </c>
      <c r="N13" s="654" t="s">
        <v>36</v>
      </c>
      <c r="O13" s="654"/>
      <c r="P13" s="655" t="s">
        <v>37</v>
      </c>
      <c r="Q13" s="655"/>
      <c r="R13" s="656" t="s">
        <v>38</v>
      </c>
      <c r="S13" s="656"/>
      <c r="T13" s="22" t="s">
        <v>39</v>
      </c>
      <c r="U13" s="23" t="s">
        <v>40</v>
      </c>
    </row>
    <row r="14" spans="1:21" x14ac:dyDescent="0.25">
      <c r="A14" s="576" t="s">
        <v>20</v>
      </c>
      <c r="B14" s="576"/>
      <c r="C14" s="143">
        <v>106.18</v>
      </c>
      <c r="D14" s="141">
        <v>105.98</v>
      </c>
      <c r="E14" s="187">
        <f>IF(D$30=0,C14*2,C14+D14)</f>
        <v>212.16000000000003</v>
      </c>
      <c r="F14" s="667">
        <f>'1461'!F14:G14</f>
        <v>1.1180000000000001</v>
      </c>
      <c r="G14" s="667"/>
      <c r="H14" s="145">
        <f>ROUND(E14*F14,4)</f>
        <v>237.19489999999999</v>
      </c>
      <c r="I14" s="111">
        <f>ROUND(ROUND(ROUND(H14*$C$8,4)*($H$8),2)*(MAX($H$9,1)),2)</f>
        <v>1316072.1000000001</v>
      </c>
      <c r="N14" s="641" t="s">
        <v>20</v>
      </c>
      <c r="O14" s="641"/>
      <c r="P14" s="642">
        <f t="shared" ref="P14:P29" si="0">IF($H$133=1,E14,0)</f>
        <v>0</v>
      </c>
      <c r="Q14" s="642"/>
      <c r="R14" s="657">
        <v>1</v>
      </c>
      <c r="S14" s="657"/>
      <c r="T14" s="95">
        <f>ROUND(P14*R14,4)</f>
        <v>0</v>
      </c>
      <c r="U14" s="473">
        <f>ROUND(ROUND(ROUND(T14*$C$8,4)*($H$8),2)*(MAX($H$9,1)),2)</f>
        <v>0</v>
      </c>
    </row>
    <row r="15" spans="1:21" x14ac:dyDescent="0.25">
      <c r="A15" s="578" t="s">
        <v>21</v>
      </c>
      <c r="B15" s="578"/>
      <c r="C15" s="143">
        <v>11</v>
      </c>
      <c r="D15" s="143">
        <v>11</v>
      </c>
      <c r="E15" s="116">
        <f t="shared" ref="E15:E29" si="1">IF(D$30=0,C15*2,C15+D15)</f>
        <v>22</v>
      </c>
      <c r="F15" s="663">
        <f>'1461'!F15:G15</f>
        <v>1.1180000000000001</v>
      </c>
      <c r="G15" s="663"/>
      <c r="H15" s="80">
        <f t="shared" ref="H15:H29" si="2">ROUND(E15*F15,4)</f>
        <v>24.596</v>
      </c>
      <c r="I15" s="101">
        <f t="shared" ref="I15:I29" si="3">ROUND(ROUND(ROUND(H15*$C$8,4)*($H$8),2)*(MAX($H$9,1)),2)</f>
        <v>136470.51</v>
      </c>
      <c r="J15" s="65" t="str">
        <f>IF(ROUND(E15,2)=ROUND(SUM(E57:E59),2)," ","CHECK PK-3 LINES BELOW")</f>
        <v xml:space="preserve"> </v>
      </c>
      <c r="N15" s="601" t="s">
        <v>21</v>
      </c>
      <c r="O15" s="601"/>
      <c r="P15" s="642">
        <f t="shared" si="0"/>
        <v>0</v>
      </c>
      <c r="Q15" s="642"/>
      <c r="R15" s="647">
        <v>1</v>
      </c>
      <c r="S15" s="647"/>
      <c r="T15" s="95">
        <f t="shared" ref="T15:T29" si="4">ROUND(P15*R15,4)</f>
        <v>0</v>
      </c>
      <c r="U15" s="473">
        <f t="shared" ref="U15:U29" si="5">ROUND(ROUND(ROUND(T15*$C$8,4)*($H$8),2)*(MAX($H$9,1)),2)</f>
        <v>0</v>
      </c>
    </row>
    <row r="16" spans="1:21" x14ac:dyDescent="0.25">
      <c r="A16" s="578" t="s">
        <v>22</v>
      </c>
      <c r="B16" s="578"/>
      <c r="C16" s="143">
        <v>174.8</v>
      </c>
      <c r="D16" s="143">
        <v>171.83</v>
      </c>
      <c r="E16" s="116">
        <f t="shared" si="1"/>
        <v>346.63</v>
      </c>
      <c r="F16" s="663">
        <f>'1461'!F16:G16</f>
        <v>1</v>
      </c>
      <c r="G16" s="663"/>
      <c r="H16" s="80">
        <f t="shared" si="2"/>
        <v>346.63</v>
      </c>
      <c r="I16" s="101">
        <f t="shared" si="3"/>
        <v>1923271</v>
      </c>
      <c r="N16" s="601" t="s">
        <v>22</v>
      </c>
      <c r="O16" s="601"/>
      <c r="P16" s="642">
        <f t="shared" si="0"/>
        <v>0</v>
      </c>
      <c r="Q16" s="642"/>
      <c r="R16" s="647">
        <v>1</v>
      </c>
      <c r="S16" s="647"/>
      <c r="T16" s="95">
        <f t="shared" si="4"/>
        <v>0</v>
      </c>
      <c r="U16" s="473">
        <f t="shared" si="5"/>
        <v>0</v>
      </c>
    </row>
    <row r="17" spans="1:21" x14ac:dyDescent="0.25">
      <c r="A17" s="578" t="s">
        <v>23</v>
      </c>
      <c r="B17" s="578"/>
      <c r="C17" s="143">
        <v>20.5</v>
      </c>
      <c r="D17" s="143">
        <v>19.5</v>
      </c>
      <c r="E17" s="116">
        <f t="shared" si="1"/>
        <v>40</v>
      </c>
      <c r="F17" s="663">
        <f>'1461'!F17:G17</f>
        <v>1</v>
      </c>
      <c r="G17" s="663"/>
      <c r="H17" s="80">
        <f t="shared" si="2"/>
        <v>40</v>
      </c>
      <c r="I17" s="101">
        <f t="shared" si="3"/>
        <v>221939.36</v>
      </c>
      <c r="J17" s="65" t="str">
        <f>IF(ROUND(E17,2)=ROUND(SUM(E60:E62),2)," ","CHECK 4-8 LINES BELOW")</f>
        <v xml:space="preserve"> </v>
      </c>
      <c r="N17" s="601" t="s">
        <v>23</v>
      </c>
      <c r="O17" s="601"/>
      <c r="P17" s="642">
        <f t="shared" si="0"/>
        <v>0</v>
      </c>
      <c r="Q17" s="642"/>
      <c r="R17" s="647">
        <v>1</v>
      </c>
      <c r="S17" s="647"/>
      <c r="T17" s="95">
        <f t="shared" si="4"/>
        <v>0</v>
      </c>
      <c r="U17" s="473">
        <f t="shared" si="5"/>
        <v>0</v>
      </c>
    </row>
    <row r="18" spans="1:21" x14ac:dyDescent="0.25">
      <c r="A18" s="578" t="s">
        <v>24</v>
      </c>
      <c r="B18" s="578"/>
      <c r="C18" s="143">
        <v>0</v>
      </c>
      <c r="D18" s="143">
        <v>0</v>
      </c>
      <c r="E18" s="116">
        <f t="shared" si="1"/>
        <v>0</v>
      </c>
      <c r="F18" s="663">
        <f>'1461'!F18:G18</f>
        <v>0.97799999999999998</v>
      </c>
      <c r="G18" s="663"/>
      <c r="H18" s="80">
        <f t="shared" si="2"/>
        <v>0</v>
      </c>
      <c r="I18" s="101">
        <f t="shared" si="3"/>
        <v>0</v>
      </c>
      <c r="N18" s="601" t="s">
        <v>24</v>
      </c>
      <c r="O18" s="601"/>
      <c r="P18" s="642">
        <f t="shared" si="0"/>
        <v>0</v>
      </c>
      <c r="Q18" s="642"/>
      <c r="R18" s="647">
        <v>1</v>
      </c>
      <c r="S18" s="647"/>
      <c r="T18" s="95">
        <f t="shared" si="4"/>
        <v>0</v>
      </c>
      <c r="U18" s="473">
        <f t="shared" si="5"/>
        <v>0</v>
      </c>
    </row>
    <row r="19" spans="1:21" x14ac:dyDescent="0.25">
      <c r="A19" s="578" t="s">
        <v>25</v>
      </c>
      <c r="B19" s="578"/>
      <c r="C19" s="143">
        <v>0</v>
      </c>
      <c r="D19" s="143">
        <v>0</v>
      </c>
      <c r="E19" s="116">
        <f t="shared" si="1"/>
        <v>0</v>
      </c>
      <c r="F19" s="663">
        <f>'1461'!F19:G19</f>
        <v>0.97799999999999998</v>
      </c>
      <c r="G19" s="663"/>
      <c r="H19" s="80">
        <f t="shared" si="2"/>
        <v>0</v>
      </c>
      <c r="I19" s="101">
        <f t="shared" si="3"/>
        <v>0</v>
      </c>
      <c r="J19" s="65" t="str">
        <f>IF(ROUND(E19,2)=ROUND(SUM(E63:E65),2)," ","CHECK 4-8 LINES BELOW")</f>
        <v xml:space="preserve"> </v>
      </c>
      <c r="N19" s="601" t="s">
        <v>25</v>
      </c>
      <c r="O19" s="601"/>
      <c r="P19" s="642">
        <f t="shared" si="0"/>
        <v>0</v>
      </c>
      <c r="Q19" s="642"/>
      <c r="R19" s="647">
        <v>1</v>
      </c>
      <c r="S19" s="647"/>
      <c r="T19" s="95">
        <f t="shared" si="4"/>
        <v>0</v>
      </c>
      <c r="U19" s="472">
        <f t="shared" si="5"/>
        <v>0</v>
      </c>
    </row>
    <row r="20" spans="1:21" x14ac:dyDescent="0.25">
      <c r="A20" s="578" t="s">
        <v>79</v>
      </c>
      <c r="B20" s="578"/>
      <c r="C20" s="143">
        <v>0</v>
      </c>
      <c r="D20" s="143">
        <v>0</v>
      </c>
      <c r="E20" s="116">
        <f t="shared" si="1"/>
        <v>0</v>
      </c>
      <c r="F20" s="663">
        <f>'1461'!F20:G20</f>
        <v>3.6970000000000001</v>
      </c>
      <c r="G20" s="663"/>
      <c r="H20" s="80">
        <f t="shared" si="2"/>
        <v>0</v>
      </c>
      <c r="I20" s="101">
        <f t="shared" si="3"/>
        <v>0</v>
      </c>
      <c r="N20" s="601" t="s">
        <v>79</v>
      </c>
      <c r="O20" s="601"/>
      <c r="P20" s="642">
        <f t="shared" si="0"/>
        <v>0</v>
      </c>
      <c r="Q20" s="642"/>
      <c r="R20" s="647">
        <v>1</v>
      </c>
      <c r="S20" s="647"/>
      <c r="T20" s="95">
        <f t="shared" si="4"/>
        <v>0</v>
      </c>
      <c r="U20" s="473">
        <f t="shared" si="5"/>
        <v>0</v>
      </c>
    </row>
    <row r="21" spans="1:21" x14ac:dyDescent="0.25">
      <c r="A21" s="578" t="s">
        <v>80</v>
      </c>
      <c r="B21" s="578"/>
      <c r="C21" s="143">
        <v>0</v>
      </c>
      <c r="D21" s="143">
        <v>0</v>
      </c>
      <c r="E21" s="116">
        <f t="shared" si="1"/>
        <v>0</v>
      </c>
      <c r="F21" s="663">
        <f>'1461'!F21:G21</f>
        <v>3.6970000000000001</v>
      </c>
      <c r="G21" s="663"/>
      <c r="H21" s="80">
        <f t="shared" si="2"/>
        <v>0</v>
      </c>
      <c r="I21" s="101">
        <f t="shared" si="3"/>
        <v>0</v>
      </c>
      <c r="N21" s="601" t="s">
        <v>80</v>
      </c>
      <c r="O21" s="601"/>
      <c r="P21" s="642">
        <f t="shared" si="0"/>
        <v>0</v>
      </c>
      <c r="Q21" s="642"/>
      <c r="R21" s="647">
        <v>1</v>
      </c>
      <c r="S21" s="647"/>
      <c r="T21" s="95">
        <f t="shared" si="4"/>
        <v>0</v>
      </c>
      <c r="U21" s="473">
        <f t="shared" si="5"/>
        <v>0</v>
      </c>
    </row>
    <row r="22" spans="1:21" x14ac:dyDescent="0.25">
      <c r="A22" s="578" t="s">
        <v>81</v>
      </c>
      <c r="B22" s="578"/>
      <c r="C22" s="143">
        <v>0</v>
      </c>
      <c r="D22" s="143">
        <v>0</v>
      </c>
      <c r="E22" s="116">
        <f t="shared" si="1"/>
        <v>0</v>
      </c>
      <c r="F22" s="663">
        <f>'1461'!F22:G22</f>
        <v>3.6970000000000001</v>
      </c>
      <c r="G22" s="663"/>
      <c r="H22" s="80">
        <f t="shared" si="2"/>
        <v>0</v>
      </c>
      <c r="I22" s="101">
        <f t="shared" si="3"/>
        <v>0</v>
      </c>
      <c r="N22" s="601" t="s">
        <v>81</v>
      </c>
      <c r="O22" s="601"/>
      <c r="P22" s="642">
        <f t="shared" si="0"/>
        <v>0</v>
      </c>
      <c r="Q22" s="642"/>
      <c r="R22" s="647">
        <v>1</v>
      </c>
      <c r="S22" s="647"/>
      <c r="T22" s="95">
        <f t="shared" si="4"/>
        <v>0</v>
      </c>
      <c r="U22" s="473">
        <f t="shared" si="5"/>
        <v>0</v>
      </c>
    </row>
    <row r="23" spans="1:21" x14ac:dyDescent="0.25">
      <c r="A23" s="578" t="s">
        <v>82</v>
      </c>
      <c r="B23" s="578"/>
      <c r="C23" s="143">
        <v>0</v>
      </c>
      <c r="D23" s="143">
        <v>0</v>
      </c>
      <c r="E23" s="116">
        <f t="shared" si="1"/>
        <v>0</v>
      </c>
      <c r="F23" s="663">
        <f>'1461'!F23:G23</f>
        <v>5.992</v>
      </c>
      <c r="G23" s="663"/>
      <c r="H23" s="80">
        <f t="shared" si="2"/>
        <v>0</v>
      </c>
      <c r="I23" s="101">
        <f t="shared" si="3"/>
        <v>0</v>
      </c>
      <c r="N23" s="601" t="s">
        <v>82</v>
      </c>
      <c r="O23" s="601"/>
      <c r="P23" s="642">
        <f t="shared" si="0"/>
        <v>0</v>
      </c>
      <c r="Q23" s="642"/>
      <c r="R23" s="647">
        <v>1</v>
      </c>
      <c r="S23" s="647"/>
      <c r="T23" s="95">
        <f t="shared" si="4"/>
        <v>0</v>
      </c>
      <c r="U23" s="473">
        <f t="shared" si="5"/>
        <v>0</v>
      </c>
    </row>
    <row r="24" spans="1:21" x14ac:dyDescent="0.25">
      <c r="A24" s="578" t="s">
        <v>83</v>
      </c>
      <c r="B24" s="578"/>
      <c r="C24" s="143">
        <v>0</v>
      </c>
      <c r="D24" s="143">
        <v>0</v>
      </c>
      <c r="E24" s="116">
        <f t="shared" si="1"/>
        <v>0</v>
      </c>
      <c r="F24" s="663">
        <f>'1461'!F24:G24</f>
        <v>5.992</v>
      </c>
      <c r="G24" s="663"/>
      <c r="H24" s="80">
        <f t="shared" si="2"/>
        <v>0</v>
      </c>
      <c r="I24" s="101">
        <f t="shared" si="3"/>
        <v>0</v>
      </c>
      <c r="N24" s="601" t="s">
        <v>83</v>
      </c>
      <c r="O24" s="601"/>
      <c r="P24" s="642">
        <f t="shared" si="0"/>
        <v>0</v>
      </c>
      <c r="Q24" s="642"/>
      <c r="R24" s="647">
        <v>1</v>
      </c>
      <c r="S24" s="647"/>
      <c r="T24" s="95">
        <f t="shared" si="4"/>
        <v>0</v>
      </c>
      <c r="U24" s="473">
        <f t="shared" si="5"/>
        <v>0</v>
      </c>
    </row>
    <row r="25" spans="1:21" x14ac:dyDescent="0.25">
      <c r="A25" s="578" t="s">
        <v>84</v>
      </c>
      <c r="B25" s="578"/>
      <c r="C25" s="143">
        <v>0</v>
      </c>
      <c r="D25" s="143">
        <v>0</v>
      </c>
      <c r="E25" s="116">
        <f t="shared" si="1"/>
        <v>0</v>
      </c>
      <c r="F25" s="663">
        <f>'1461'!F25:G25</f>
        <v>5.992</v>
      </c>
      <c r="G25" s="663"/>
      <c r="H25" s="80">
        <f t="shared" si="2"/>
        <v>0</v>
      </c>
      <c r="I25" s="101">
        <f t="shared" si="3"/>
        <v>0</v>
      </c>
      <c r="N25" s="601" t="s">
        <v>84</v>
      </c>
      <c r="O25" s="601"/>
      <c r="P25" s="642">
        <f t="shared" si="0"/>
        <v>0</v>
      </c>
      <c r="Q25" s="642"/>
      <c r="R25" s="647">
        <v>1</v>
      </c>
      <c r="S25" s="647"/>
      <c r="T25" s="95">
        <f t="shared" si="4"/>
        <v>0</v>
      </c>
      <c r="U25" s="473">
        <f t="shared" si="5"/>
        <v>0</v>
      </c>
    </row>
    <row r="26" spans="1:21" x14ac:dyDescent="0.25">
      <c r="A26" s="578" t="s">
        <v>85</v>
      </c>
      <c r="B26" s="578"/>
      <c r="C26" s="143">
        <v>23.59</v>
      </c>
      <c r="D26" s="143">
        <v>25.57</v>
      </c>
      <c r="E26" s="116">
        <f t="shared" si="1"/>
        <v>49.16</v>
      </c>
      <c r="F26" s="663">
        <f>'1461'!F26:G26</f>
        <v>1.1919999999999999</v>
      </c>
      <c r="G26" s="663"/>
      <c r="H26" s="80">
        <f t="shared" si="2"/>
        <v>58.598700000000001</v>
      </c>
      <c r="I26" s="101">
        <f t="shared" si="3"/>
        <v>325133.95</v>
      </c>
      <c r="N26" s="601" t="s">
        <v>85</v>
      </c>
      <c r="O26" s="601"/>
      <c r="P26" s="642">
        <f t="shared" si="0"/>
        <v>0</v>
      </c>
      <c r="Q26" s="642"/>
      <c r="R26" s="647">
        <v>1</v>
      </c>
      <c r="S26" s="647"/>
      <c r="T26" s="95">
        <f t="shared" si="4"/>
        <v>0</v>
      </c>
      <c r="U26" s="473">
        <f t="shared" si="5"/>
        <v>0</v>
      </c>
    </row>
    <row r="27" spans="1:21" x14ac:dyDescent="0.25">
      <c r="A27" s="578" t="s">
        <v>86</v>
      </c>
      <c r="B27" s="578"/>
      <c r="C27" s="143">
        <v>19.2</v>
      </c>
      <c r="D27" s="143">
        <v>20.51</v>
      </c>
      <c r="E27" s="116">
        <f t="shared" si="1"/>
        <v>39.71</v>
      </c>
      <c r="F27" s="663">
        <f>'1461'!F27:G27</f>
        <v>1.1919999999999999</v>
      </c>
      <c r="G27" s="663"/>
      <c r="H27" s="80">
        <f t="shared" si="2"/>
        <v>47.334299999999999</v>
      </c>
      <c r="I27" s="101">
        <f t="shared" si="3"/>
        <v>262633.61</v>
      </c>
      <c r="N27" s="601" t="s">
        <v>86</v>
      </c>
      <c r="O27" s="601"/>
      <c r="P27" s="642">
        <f t="shared" si="0"/>
        <v>0</v>
      </c>
      <c r="Q27" s="642"/>
      <c r="R27" s="647">
        <v>1</v>
      </c>
      <c r="S27" s="647"/>
      <c r="T27" s="95">
        <f t="shared" si="4"/>
        <v>0</v>
      </c>
      <c r="U27" s="473">
        <f t="shared" si="5"/>
        <v>0</v>
      </c>
    </row>
    <row r="28" spans="1:21" x14ac:dyDescent="0.25">
      <c r="A28" s="578" t="s">
        <v>87</v>
      </c>
      <c r="B28" s="578"/>
      <c r="C28" s="143">
        <v>0</v>
      </c>
      <c r="D28" s="143">
        <v>0</v>
      </c>
      <c r="E28" s="116">
        <f t="shared" si="1"/>
        <v>0</v>
      </c>
      <c r="F28" s="663">
        <f>'1461'!F28:G28</f>
        <v>1.1919999999999999</v>
      </c>
      <c r="G28" s="663"/>
      <c r="H28" s="80">
        <f t="shared" si="2"/>
        <v>0</v>
      </c>
      <c r="I28" s="101">
        <f t="shared" si="3"/>
        <v>0</v>
      </c>
      <c r="N28" s="601" t="s">
        <v>87</v>
      </c>
      <c r="O28" s="601"/>
      <c r="P28" s="642">
        <f t="shared" si="0"/>
        <v>0</v>
      </c>
      <c r="Q28" s="642"/>
      <c r="R28" s="647">
        <v>1</v>
      </c>
      <c r="S28" s="647"/>
      <c r="T28" s="95">
        <f t="shared" si="4"/>
        <v>0</v>
      </c>
      <c r="U28" s="473">
        <f t="shared" si="5"/>
        <v>0</v>
      </c>
    </row>
    <row r="29" spans="1:21" x14ac:dyDescent="0.25">
      <c r="A29" s="578" t="s">
        <v>88</v>
      </c>
      <c r="B29" s="578"/>
      <c r="C29" s="110">
        <v>0</v>
      </c>
      <c r="D29" s="110">
        <v>0</v>
      </c>
      <c r="E29" s="154">
        <f t="shared" si="1"/>
        <v>0</v>
      </c>
      <c r="F29" s="663">
        <f>'1461'!F29:G29</f>
        <v>1.079</v>
      </c>
      <c r="G29" s="663"/>
      <c r="H29" s="93">
        <f t="shared" si="2"/>
        <v>0</v>
      </c>
      <c r="I29" s="94">
        <f t="shared" si="3"/>
        <v>0</v>
      </c>
      <c r="N29" s="616" t="s">
        <v>88</v>
      </c>
      <c r="O29" s="616"/>
      <c r="P29" s="642">
        <f t="shared" si="0"/>
        <v>0</v>
      </c>
      <c r="Q29" s="642"/>
      <c r="R29" s="643">
        <v>1</v>
      </c>
      <c r="S29" s="643"/>
      <c r="T29" s="95">
        <f t="shared" si="4"/>
        <v>0</v>
      </c>
      <c r="U29" s="473">
        <f t="shared" si="5"/>
        <v>0</v>
      </c>
    </row>
    <row r="30" spans="1:21" x14ac:dyDescent="0.25">
      <c r="A30" s="590" t="s">
        <v>5</v>
      </c>
      <c r="B30" s="590"/>
      <c r="C30" s="94">
        <f>SUM(C14:C29)</f>
        <v>355.27</v>
      </c>
      <c r="D30" s="94">
        <f>SUM(D14:D29)</f>
        <v>354.39</v>
      </c>
      <c r="E30" s="94">
        <f>SUM(E14:E29)</f>
        <v>709.66</v>
      </c>
      <c r="F30" s="582"/>
      <c r="G30" s="582"/>
      <c r="H30" s="99">
        <f>SUM(H14:H29)</f>
        <v>754.35389999999995</v>
      </c>
      <c r="I30" s="94">
        <f>SUM(I14:I29)</f>
        <v>4185520.5300000003</v>
      </c>
      <c r="N30" s="644" t="s">
        <v>5</v>
      </c>
      <c r="O30" s="644"/>
      <c r="P30" s="645">
        <f>SUM(P14:P29)</f>
        <v>0</v>
      </c>
      <c r="Q30" s="645"/>
      <c r="R30" s="617"/>
      <c r="S30" s="617"/>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0" t="s">
        <v>233</v>
      </c>
      <c r="G34" s="670"/>
      <c r="H34" s="670"/>
      <c r="I34" s="101"/>
      <c r="N34" s="28"/>
      <c r="O34" s="28"/>
      <c r="P34" s="29"/>
      <c r="Q34" s="29"/>
      <c r="R34" s="30"/>
      <c r="S34" s="30"/>
      <c r="T34" s="102"/>
      <c r="U34" s="103"/>
    </row>
    <row r="35" spans="1:21" hidden="1" x14ac:dyDescent="0.25">
      <c r="A35" s="3"/>
      <c r="B35" s="69"/>
      <c r="C35" s="69"/>
      <c r="D35" s="69"/>
      <c r="E35" s="69"/>
      <c r="F35" s="670"/>
      <c r="G35" s="670"/>
      <c r="H35" s="670"/>
      <c r="I35" s="24" t="s">
        <v>61</v>
      </c>
      <c r="N35" s="627" t="s">
        <v>26</v>
      </c>
      <c r="O35" s="627"/>
      <c r="P35" s="627"/>
      <c r="Q35" s="627"/>
      <c r="R35" s="627"/>
      <c r="S35" s="627"/>
      <c r="T35" s="627"/>
      <c r="U35" s="25" t="str">
        <f>I35</f>
        <v>2015-16</v>
      </c>
    </row>
    <row r="36" spans="1:21" hidden="1" x14ac:dyDescent="0.25">
      <c r="A36" s="26"/>
      <c r="B36" s="26"/>
      <c r="C36" s="88" t="s">
        <v>93</v>
      </c>
      <c r="D36" s="88" t="s">
        <v>94</v>
      </c>
      <c r="E36" s="89" t="s">
        <v>8</v>
      </c>
      <c r="F36" s="670"/>
      <c r="G36" s="670"/>
      <c r="H36" s="670"/>
      <c r="I36" s="24" t="s">
        <v>27</v>
      </c>
      <c r="N36" s="28"/>
      <c r="O36" s="28"/>
      <c r="P36" s="29"/>
      <c r="Q36" s="29"/>
      <c r="R36" s="30"/>
      <c r="S36" s="30"/>
      <c r="T36" s="102"/>
      <c r="U36" s="25" t="s">
        <v>27</v>
      </c>
    </row>
    <row r="37" spans="1:21" ht="26.25" hidden="1" x14ac:dyDescent="0.25">
      <c r="A37" s="572" t="s">
        <v>50</v>
      </c>
      <c r="B37" s="572"/>
      <c r="C37" s="90" t="s">
        <v>2</v>
      </c>
      <c r="D37" s="90" t="s">
        <v>2</v>
      </c>
      <c r="E37" s="90" t="s">
        <v>2</v>
      </c>
      <c r="F37" s="671"/>
      <c r="G37" s="671"/>
      <c r="H37" s="671"/>
      <c r="I37" s="31" t="s">
        <v>395</v>
      </c>
      <c r="N37" s="639" t="s">
        <v>50</v>
      </c>
      <c r="O37" s="639"/>
      <c r="P37" s="640" t="s">
        <v>19</v>
      </c>
      <c r="Q37" s="640"/>
      <c r="R37" s="640"/>
      <c r="S37" s="640"/>
      <c r="T37" s="640"/>
      <c r="U37" s="19" t="str">
        <f>I37</f>
        <v>(WFTE x BSA x CWF x SDF)</v>
      </c>
    </row>
    <row r="38" spans="1:21" hidden="1" x14ac:dyDescent="0.25">
      <c r="A38" s="576" t="s">
        <v>45</v>
      </c>
      <c r="B38" s="576"/>
      <c r="C38" s="147">
        <v>0</v>
      </c>
      <c r="D38" s="147">
        <v>0</v>
      </c>
      <c r="E38" s="187">
        <f t="shared" ref="E38:E43" si="6">IF(D$44=0,C38*2,C38+D38)</f>
        <v>0</v>
      </c>
      <c r="F38" s="148"/>
      <c r="G38" s="148"/>
      <c r="H38" s="148"/>
      <c r="I38" s="111">
        <f>ROUND(ROUND(ROUND(E38*$C$8,4)*($H$8),2)*(MAX($H$9,1)),2)</f>
        <v>0</v>
      </c>
      <c r="N38" s="641" t="s">
        <v>45</v>
      </c>
      <c r="O38" s="641"/>
      <c r="P38" s="608">
        <f t="shared" ref="P38:P43" si="7">IF($H$133=1,E38,0)</f>
        <v>0</v>
      </c>
      <c r="Q38" s="608"/>
      <c r="R38" s="608"/>
      <c r="S38" s="608"/>
      <c r="T38" s="608"/>
      <c r="U38" s="98">
        <f>ROUND(ROUND(ROUND(P38*$C$8,4)*($H$8),2)*(MAX($H$9,1)),2)</f>
        <v>0</v>
      </c>
    </row>
    <row r="39" spans="1:21" hidden="1" x14ac:dyDescent="0.25">
      <c r="A39" s="578" t="s">
        <v>46</v>
      </c>
      <c r="B39" s="578"/>
      <c r="C39" s="150">
        <v>0</v>
      </c>
      <c r="D39" s="150">
        <v>0</v>
      </c>
      <c r="E39" s="116">
        <f t="shared" si="6"/>
        <v>0</v>
      </c>
      <c r="F39" s="151"/>
      <c r="G39" s="151"/>
      <c r="H39" s="151"/>
      <c r="I39" s="101">
        <f t="shared" ref="I39:I43" si="8">ROUND(ROUND(ROUND(E39*$C$8,4)*($H$8),2)*(MAX($H$9,1)),2)</f>
        <v>0</v>
      </c>
      <c r="N39" s="601" t="s">
        <v>46</v>
      </c>
      <c r="O39" s="601"/>
      <c r="P39" s="608">
        <f t="shared" si="7"/>
        <v>0</v>
      </c>
      <c r="Q39" s="608"/>
      <c r="R39" s="608"/>
      <c r="S39" s="608"/>
      <c r="T39" s="608"/>
      <c r="U39" s="98">
        <f t="shared" ref="U39:U43" si="9">ROUND(ROUND(ROUND(P39*$C$8,4)*($H$8),2)*(MAX($H$9,1)),2)</f>
        <v>0</v>
      </c>
    </row>
    <row r="40" spans="1:21" hidden="1" x14ac:dyDescent="0.25">
      <c r="A40" s="583" t="s">
        <v>47</v>
      </c>
      <c r="B40" s="583"/>
      <c r="C40" s="150">
        <v>0</v>
      </c>
      <c r="D40" s="150">
        <v>0</v>
      </c>
      <c r="E40" s="116">
        <f t="shared" si="6"/>
        <v>0</v>
      </c>
      <c r="F40" s="151"/>
      <c r="G40" s="151"/>
      <c r="H40" s="151"/>
      <c r="I40" s="101">
        <f t="shared" si="8"/>
        <v>0</v>
      </c>
      <c r="N40" s="646" t="s">
        <v>47</v>
      </c>
      <c r="O40" s="646"/>
      <c r="P40" s="608">
        <f t="shared" si="7"/>
        <v>0</v>
      </c>
      <c r="Q40" s="608"/>
      <c r="R40" s="608"/>
      <c r="S40" s="608"/>
      <c r="T40" s="608"/>
      <c r="U40" s="98">
        <f t="shared" si="9"/>
        <v>0</v>
      </c>
    </row>
    <row r="41" spans="1:21" hidden="1" x14ac:dyDescent="0.25">
      <c r="A41" s="578" t="s">
        <v>48</v>
      </c>
      <c r="B41" s="578"/>
      <c r="C41" s="150">
        <v>0</v>
      </c>
      <c r="D41" s="150">
        <v>0</v>
      </c>
      <c r="E41" s="116">
        <f t="shared" si="6"/>
        <v>0</v>
      </c>
      <c r="F41" s="151"/>
      <c r="G41" s="151"/>
      <c r="H41" s="151"/>
      <c r="I41" s="101">
        <f t="shared" si="8"/>
        <v>0</v>
      </c>
      <c r="N41" s="601" t="s">
        <v>48</v>
      </c>
      <c r="O41" s="601"/>
      <c r="P41" s="608">
        <f t="shared" si="7"/>
        <v>0</v>
      </c>
      <c r="Q41" s="608"/>
      <c r="R41" s="608"/>
      <c r="S41" s="608"/>
      <c r="T41" s="608"/>
      <c r="U41" s="98">
        <f t="shared" si="9"/>
        <v>0</v>
      </c>
    </row>
    <row r="42" spans="1:21" hidden="1" x14ac:dyDescent="0.25">
      <c r="A42" s="578" t="s">
        <v>49</v>
      </c>
      <c r="B42" s="578"/>
      <c r="C42" s="150">
        <v>0</v>
      </c>
      <c r="D42" s="150">
        <v>0</v>
      </c>
      <c r="E42" s="116">
        <f t="shared" si="6"/>
        <v>0</v>
      </c>
      <c r="F42" s="151"/>
      <c r="G42" s="151"/>
      <c r="H42" s="151"/>
      <c r="I42" s="101">
        <f t="shared" si="8"/>
        <v>0</v>
      </c>
      <c r="N42" s="601" t="s">
        <v>49</v>
      </c>
      <c r="O42" s="601"/>
      <c r="P42" s="608">
        <f t="shared" si="7"/>
        <v>0</v>
      </c>
      <c r="Q42" s="608"/>
      <c r="R42" s="608"/>
      <c r="S42" s="608"/>
      <c r="T42" s="608"/>
      <c r="U42" s="98">
        <f t="shared" si="9"/>
        <v>0</v>
      </c>
    </row>
    <row r="43" spans="1:21" hidden="1" x14ac:dyDescent="0.25">
      <c r="A43" s="578" t="s">
        <v>41</v>
      </c>
      <c r="B43" s="578"/>
      <c r="C43" s="149">
        <v>0</v>
      </c>
      <c r="D43" s="149">
        <v>0</v>
      </c>
      <c r="E43" s="154">
        <f t="shared" si="6"/>
        <v>0</v>
      </c>
      <c r="F43" s="151"/>
      <c r="G43" s="151"/>
      <c r="H43" s="151"/>
      <c r="I43" s="94">
        <f t="shared" si="8"/>
        <v>0</v>
      </c>
      <c r="N43" s="616" t="s">
        <v>41</v>
      </c>
      <c r="O43" s="616"/>
      <c r="P43" s="608">
        <f t="shared" si="7"/>
        <v>0</v>
      </c>
      <c r="Q43" s="608"/>
      <c r="R43" s="608"/>
      <c r="S43" s="608"/>
      <c r="T43" s="60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3" t="s">
        <v>43</v>
      </c>
      <c r="O44" s="603"/>
      <c r="P44" s="603"/>
      <c r="Q44" s="603"/>
      <c r="R44" s="33">
        <f>SUM(P38:R43)</f>
        <v>0</v>
      </c>
      <c r="S44" s="617" t="s">
        <v>51</v>
      </c>
      <c r="T44" s="617"/>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754.35389999999995</v>
      </c>
      <c r="F46" s="34"/>
      <c r="G46" s="106"/>
      <c r="H46" s="107" t="s">
        <v>98</v>
      </c>
      <c r="I46" s="94">
        <f>SUM(I44,I30)</f>
        <v>4185520.5300000003</v>
      </c>
      <c r="N46" s="603" t="s">
        <v>44</v>
      </c>
      <c r="O46" s="603"/>
      <c r="P46" s="603"/>
      <c r="Q46" s="603"/>
      <c r="R46" s="35">
        <f>R44+T30</f>
        <v>0</v>
      </c>
      <c r="S46" s="617" t="s">
        <v>42</v>
      </c>
      <c r="T46" s="617"/>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396</v>
      </c>
      <c r="B48" s="26"/>
      <c r="C48" s="26"/>
      <c r="D48" s="26"/>
      <c r="E48" s="26"/>
      <c r="F48" s="34"/>
      <c r="G48" s="27"/>
      <c r="H48" s="27"/>
      <c r="I48" s="101"/>
      <c r="N48" s="383" t="s">
        <v>396</v>
      </c>
      <c r="O48" s="28"/>
      <c r="P48" s="28"/>
      <c r="Q48" s="28"/>
      <c r="R48" s="35"/>
      <c r="S48" s="30"/>
      <c r="T48" s="30"/>
      <c r="U48" s="402"/>
    </row>
    <row r="49" spans="1:22" s="391" customFormat="1" ht="9" customHeight="1" x14ac:dyDescent="0.2">
      <c r="A49" s="481" t="s">
        <v>397</v>
      </c>
      <c r="F49" s="392"/>
      <c r="G49" s="393"/>
      <c r="H49" s="393"/>
      <c r="I49" s="394"/>
      <c r="N49" s="403" t="s">
        <v>397</v>
      </c>
      <c r="O49" s="395"/>
      <c r="P49" s="395"/>
      <c r="Q49" s="395"/>
      <c r="R49" s="396"/>
      <c r="S49" s="397"/>
      <c r="T49" s="397"/>
      <c r="U49" s="404"/>
    </row>
    <row r="50" spans="1:22" s="391" customFormat="1" ht="11.25" customHeight="1" x14ac:dyDescent="0.2">
      <c r="A50" s="483" t="s">
        <v>398</v>
      </c>
      <c r="F50" s="392"/>
      <c r="G50" s="393"/>
      <c r="H50" s="393"/>
      <c r="I50" s="394"/>
      <c r="N50" s="405" t="s">
        <v>398</v>
      </c>
      <c r="O50" s="395"/>
      <c r="P50" s="395"/>
      <c r="Q50" s="395"/>
      <c r="R50" s="396"/>
      <c r="S50" s="397"/>
      <c r="T50" s="397"/>
      <c r="U50" s="404"/>
    </row>
    <row r="51" spans="1:22" x14ac:dyDescent="0.25">
      <c r="A51" s="389"/>
      <c r="B51" s="399" t="s">
        <v>399</v>
      </c>
      <c r="C51" s="26"/>
      <c r="D51" s="26"/>
      <c r="E51" s="43" t="s">
        <v>400</v>
      </c>
      <c r="F51" s="400">
        <f>I46</f>
        <v>4185520.5300000003</v>
      </c>
      <c r="G51" s="109" t="s">
        <v>6</v>
      </c>
      <c r="H51" s="401">
        <v>4.5199999999999997E-2</v>
      </c>
      <c r="I51" s="101">
        <f>ROUND(F51*H51,2)</f>
        <v>189185.53</v>
      </c>
      <c r="N51" s="406"/>
      <c r="O51" s="407" t="s">
        <v>399</v>
      </c>
      <c r="P51" s="28"/>
      <c r="Q51" s="44" t="s">
        <v>400</v>
      </c>
      <c r="R51" s="408">
        <f>U30</f>
        <v>0</v>
      </c>
      <c r="S51" s="409" t="s">
        <v>6</v>
      </c>
      <c r="T51" s="410">
        <v>4.5199999999999997E-2</v>
      </c>
      <c r="U51" s="402">
        <f>ROUND(R51*T51,2)</f>
        <v>0</v>
      </c>
    </row>
    <row r="52" spans="1:22" x14ac:dyDescent="0.25">
      <c r="A52" s="26"/>
      <c r="B52" s="81" t="s">
        <v>401</v>
      </c>
      <c r="C52" s="26"/>
      <c r="D52" s="26"/>
      <c r="E52" s="43" t="s">
        <v>400</v>
      </c>
      <c r="F52" s="400">
        <f>I46</f>
        <v>4185520.5300000003</v>
      </c>
      <c r="G52" s="109" t="s">
        <v>6</v>
      </c>
      <c r="H52" s="401">
        <v>1.41E-2</v>
      </c>
      <c r="I52" s="101">
        <f>ROUND(F52*H52,2)</f>
        <v>59015.839999999997</v>
      </c>
      <c r="N52" s="28"/>
      <c r="O52" s="383" t="s">
        <v>401</v>
      </c>
      <c r="P52" s="28"/>
      <c r="Q52" s="44" t="s">
        <v>400</v>
      </c>
      <c r="R52" s="408">
        <f>U30</f>
        <v>0</v>
      </c>
      <c r="S52" s="409" t="s">
        <v>6</v>
      </c>
      <c r="T52" s="410">
        <v>1.41E-2</v>
      </c>
      <c r="U52" s="411">
        <f>ROUND(R52*T52,2)</f>
        <v>0</v>
      </c>
    </row>
    <row r="53" spans="1:22" x14ac:dyDescent="0.25">
      <c r="A53" s="26"/>
      <c r="B53" s="81" t="s">
        <v>402</v>
      </c>
      <c r="C53" s="26"/>
      <c r="D53" s="26"/>
      <c r="E53" s="43"/>
      <c r="F53" s="400"/>
      <c r="G53" s="109"/>
      <c r="H53" s="401"/>
      <c r="I53" s="97">
        <f>SUM(I51:I52)</f>
        <v>248201.37</v>
      </c>
      <c r="N53" s="28"/>
      <c r="O53" s="383" t="s">
        <v>402</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440</v>
      </c>
      <c r="G55" s="109" t="s">
        <v>441</v>
      </c>
      <c r="H55" s="454" t="s">
        <v>442</v>
      </c>
      <c r="I55" s="101"/>
      <c r="N55" s="448"/>
      <c r="O55" s="448"/>
      <c r="P55" s="464"/>
      <c r="Q55" s="465"/>
      <c r="R55" s="466"/>
      <c r="S55" s="468" t="s">
        <v>441</v>
      </c>
      <c r="T55" s="469" t="s">
        <v>442</v>
      </c>
      <c r="U55" s="467"/>
      <c r="V55" s="424"/>
    </row>
    <row r="56" spans="1:22" x14ac:dyDescent="0.25">
      <c r="A56" s="36" t="s">
        <v>443</v>
      </c>
      <c r="B56" s="36"/>
      <c r="C56" s="324" t="str">
        <f>'1461'!C56</f>
        <v>FTE</v>
      </c>
      <c r="D56" s="324" t="str">
        <f>'1461'!D56</f>
        <v>FTE</v>
      </c>
      <c r="E56" s="90" t="s">
        <v>2</v>
      </c>
      <c r="F56" s="439" t="s">
        <v>444</v>
      </c>
      <c r="G56" s="441" t="s">
        <v>444</v>
      </c>
      <c r="H56" s="455" t="s">
        <v>445</v>
      </c>
      <c r="I56" s="36"/>
      <c r="N56" s="459" t="s">
        <v>443</v>
      </c>
      <c r="O56" s="459"/>
      <c r="P56" s="620" t="s">
        <v>2</v>
      </c>
      <c r="Q56" s="620"/>
      <c r="R56" s="459" t="s">
        <v>449</v>
      </c>
      <c r="S56" s="450" t="s">
        <v>444</v>
      </c>
      <c r="T56" s="470" t="s">
        <v>445</v>
      </c>
      <c r="U56" s="459"/>
      <c r="V56" s="458"/>
    </row>
    <row r="57" spans="1:22" x14ac:dyDescent="0.25">
      <c r="A57" s="588" t="s">
        <v>447</v>
      </c>
      <c r="B57" s="588"/>
      <c r="C57" s="143">
        <v>10.5</v>
      </c>
      <c r="D57" s="143">
        <v>10</v>
      </c>
      <c r="E57" s="116">
        <f t="shared" ref="E57:E65" si="10">IF(D$66=0,C57*2,C57+D57)</f>
        <v>20.5</v>
      </c>
      <c r="F57" s="443" t="s">
        <v>439</v>
      </c>
      <c r="G57" s="443">
        <v>251</v>
      </c>
      <c r="H57" s="457">
        <f>'1461'!H57</f>
        <v>1047</v>
      </c>
      <c r="I57" s="101">
        <f>ROUND(E57*H57,2)</f>
        <v>21463.5</v>
      </c>
      <c r="N57" s="618" t="s">
        <v>447</v>
      </c>
      <c r="O57" s="618"/>
      <c r="P57" s="621"/>
      <c r="Q57" s="621"/>
      <c r="R57" s="449" t="s">
        <v>439</v>
      </c>
      <c r="S57" s="449">
        <v>251</v>
      </c>
      <c r="T57" s="460">
        <f>H57</f>
        <v>1047</v>
      </c>
      <c r="U57" s="474">
        <f>ROUND(P57*T57,2)</f>
        <v>0</v>
      </c>
      <c r="V57" s="424"/>
    </row>
    <row r="58" spans="1:22" x14ac:dyDescent="0.25">
      <c r="A58" s="589"/>
      <c r="B58" s="589"/>
      <c r="C58" s="143">
        <v>0.5</v>
      </c>
      <c r="D58" s="143">
        <v>1</v>
      </c>
      <c r="E58" s="116">
        <f t="shared" si="10"/>
        <v>1.5</v>
      </c>
      <c r="F58" s="443" t="s">
        <v>439</v>
      </c>
      <c r="G58" s="443">
        <v>252</v>
      </c>
      <c r="H58" s="457">
        <f>'1461'!H58</f>
        <v>3380</v>
      </c>
      <c r="I58" s="101">
        <f t="shared" ref="I58:I65" si="11">ROUND(E58*H58,2)</f>
        <v>5070</v>
      </c>
      <c r="N58" s="619"/>
      <c r="O58" s="619"/>
      <c r="P58" s="622"/>
      <c r="Q58" s="622"/>
      <c r="R58" s="449" t="s">
        <v>439</v>
      </c>
      <c r="S58" s="449">
        <v>252</v>
      </c>
      <c r="T58" s="460">
        <f t="shared" ref="T58:T65" si="12">H58</f>
        <v>3380</v>
      </c>
      <c r="U58" s="474">
        <f t="shared" ref="U58:U65" si="13">ROUND(P58*T58,2)</f>
        <v>0</v>
      </c>
      <c r="V58" s="424"/>
    </row>
    <row r="59" spans="1:22" x14ac:dyDescent="0.25">
      <c r="A59" s="589"/>
      <c r="B59" s="589"/>
      <c r="C59" s="143">
        <v>0</v>
      </c>
      <c r="D59" s="143">
        <v>0</v>
      </c>
      <c r="E59" s="116">
        <f t="shared" si="10"/>
        <v>0</v>
      </c>
      <c r="F59" s="443" t="s">
        <v>439</v>
      </c>
      <c r="G59" s="443">
        <v>253</v>
      </c>
      <c r="H59" s="457">
        <f>'1461'!H59</f>
        <v>6896</v>
      </c>
      <c r="I59" s="101">
        <f t="shared" si="11"/>
        <v>0</v>
      </c>
      <c r="N59" s="619"/>
      <c r="O59" s="619"/>
      <c r="P59" s="622"/>
      <c r="Q59" s="622"/>
      <c r="R59" s="449" t="s">
        <v>439</v>
      </c>
      <c r="S59" s="449">
        <v>253</v>
      </c>
      <c r="T59" s="460">
        <f t="shared" si="12"/>
        <v>6896</v>
      </c>
      <c r="U59" s="474">
        <f t="shared" si="13"/>
        <v>0</v>
      </c>
      <c r="V59" s="424"/>
    </row>
    <row r="60" spans="1:22" x14ac:dyDescent="0.25">
      <c r="A60" s="589"/>
      <c r="B60" s="589"/>
      <c r="C60" s="143">
        <v>16.5</v>
      </c>
      <c r="D60" s="143">
        <v>16.989999999999998</v>
      </c>
      <c r="E60" s="116">
        <f t="shared" si="10"/>
        <v>33.489999999999995</v>
      </c>
      <c r="F60" s="444" t="s">
        <v>13</v>
      </c>
      <c r="G60" s="443">
        <v>251</v>
      </c>
      <c r="H60" s="457">
        <f>'1461'!H60</f>
        <v>1173</v>
      </c>
      <c r="I60" s="101">
        <f t="shared" si="11"/>
        <v>39283.769999999997</v>
      </c>
      <c r="N60" s="619"/>
      <c r="O60" s="619"/>
      <c r="P60" s="622"/>
      <c r="Q60" s="622"/>
      <c r="R60" s="40" t="s">
        <v>13</v>
      </c>
      <c r="S60" s="449">
        <v>251</v>
      </c>
      <c r="T60" s="460">
        <f t="shared" si="12"/>
        <v>1173</v>
      </c>
      <c r="U60" s="474">
        <f t="shared" si="13"/>
        <v>0</v>
      </c>
      <c r="V60" s="424"/>
    </row>
    <row r="61" spans="1:22" x14ac:dyDescent="0.25">
      <c r="A61" s="589"/>
      <c r="B61" s="589"/>
      <c r="C61" s="143">
        <v>4</v>
      </c>
      <c r="D61" s="143">
        <v>2.5099999999999998</v>
      </c>
      <c r="E61" s="116">
        <f t="shared" si="10"/>
        <v>6.51</v>
      </c>
      <c r="F61" s="444" t="s">
        <v>13</v>
      </c>
      <c r="G61" s="443">
        <v>252</v>
      </c>
      <c r="H61" s="457">
        <f>'1461'!H61</f>
        <v>3506</v>
      </c>
      <c r="I61" s="101">
        <f t="shared" si="11"/>
        <v>22824.06</v>
      </c>
      <c r="N61" s="619"/>
      <c r="O61" s="619"/>
      <c r="P61" s="622"/>
      <c r="Q61" s="622"/>
      <c r="R61" s="40" t="s">
        <v>13</v>
      </c>
      <c r="S61" s="449">
        <v>252</v>
      </c>
      <c r="T61" s="460">
        <f t="shared" si="12"/>
        <v>3506</v>
      </c>
      <c r="U61" s="474">
        <f t="shared" si="13"/>
        <v>0</v>
      </c>
      <c r="V61" s="424"/>
    </row>
    <row r="62" spans="1:22" x14ac:dyDescent="0.25">
      <c r="A62" s="589"/>
      <c r="B62" s="589"/>
      <c r="C62" s="143">
        <v>0</v>
      </c>
      <c r="D62" s="143">
        <v>0</v>
      </c>
      <c r="E62" s="116">
        <f t="shared" si="10"/>
        <v>0</v>
      </c>
      <c r="F62" s="444" t="s">
        <v>13</v>
      </c>
      <c r="G62" s="443">
        <v>253</v>
      </c>
      <c r="H62" s="457">
        <f>'1461'!H62</f>
        <v>7023</v>
      </c>
      <c r="I62" s="101">
        <f t="shared" si="11"/>
        <v>0</v>
      </c>
      <c r="N62" s="619"/>
      <c r="O62" s="619"/>
      <c r="P62" s="622"/>
      <c r="Q62" s="622"/>
      <c r="R62" s="40" t="s">
        <v>13</v>
      </c>
      <c r="S62" s="449">
        <v>253</v>
      </c>
      <c r="T62" s="460">
        <f t="shared" si="12"/>
        <v>7023</v>
      </c>
      <c r="U62" s="474">
        <f t="shared" si="13"/>
        <v>0</v>
      </c>
      <c r="V62" s="424"/>
    </row>
    <row r="63" spans="1:22" x14ac:dyDescent="0.25">
      <c r="A63" s="589"/>
      <c r="B63" s="589"/>
      <c r="C63" s="143">
        <v>0</v>
      </c>
      <c r="D63" s="143">
        <v>0</v>
      </c>
      <c r="E63" s="116">
        <f t="shared" si="10"/>
        <v>0</v>
      </c>
      <c r="F63" s="444" t="s">
        <v>14</v>
      </c>
      <c r="G63" s="443">
        <v>251</v>
      </c>
      <c r="H63" s="457">
        <f>'1461'!H63</f>
        <v>835</v>
      </c>
      <c r="I63" s="101">
        <f t="shared" si="11"/>
        <v>0</v>
      </c>
      <c r="N63" s="619"/>
      <c r="O63" s="619"/>
      <c r="P63" s="622"/>
      <c r="Q63" s="622"/>
      <c r="R63" s="40" t="s">
        <v>14</v>
      </c>
      <c r="S63" s="449">
        <v>251</v>
      </c>
      <c r="T63" s="460">
        <f t="shared" si="12"/>
        <v>835</v>
      </c>
      <c r="U63" s="474">
        <f t="shared" si="13"/>
        <v>0</v>
      </c>
      <c r="V63" s="424"/>
    </row>
    <row r="64" spans="1:22" x14ac:dyDescent="0.25">
      <c r="A64" s="589"/>
      <c r="B64" s="589"/>
      <c r="C64" s="143">
        <v>0</v>
      </c>
      <c r="D64" s="143">
        <v>0</v>
      </c>
      <c r="E64" s="116">
        <f t="shared" si="10"/>
        <v>0</v>
      </c>
      <c r="F64" s="444" t="s">
        <v>14</v>
      </c>
      <c r="G64" s="443">
        <v>252</v>
      </c>
      <c r="H64" s="457">
        <f>'1461'!H64</f>
        <v>3168</v>
      </c>
      <c r="I64" s="101">
        <f t="shared" si="11"/>
        <v>0</v>
      </c>
      <c r="N64" s="619"/>
      <c r="O64" s="619"/>
      <c r="P64" s="622"/>
      <c r="Q64" s="622"/>
      <c r="R64" s="40" t="s">
        <v>14</v>
      </c>
      <c r="S64" s="449">
        <v>252</v>
      </c>
      <c r="T64" s="460">
        <f t="shared" si="12"/>
        <v>3168</v>
      </c>
      <c r="U64" s="474">
        <f t="shared" si="13"/>
        <v>0</v>
      </c>
      <c r="V64" s="424"/>
    </row>
    <row r="65" spans="1:22" ht="16.5" thickBot="1" x14ac:dyDescent="0.3">
      <c r="A65" s="589"/>
      <c r="B65" s="589"/>
      <c r="C65" s="143">
        <v>0</v>
      </c>
      <c r="D65" s="143">
        <v>0</v>
      </c>
      <c r="E65" s="116">
        <f t="shared" si="10"/>
        <v>0</v>
      </c>
      <c r="F65" s="444" t="s">
        <v>14</v>
      </c>
      <c r="G65" s="443">
        <v>253</v>
      </c>
      <c r="H65" s="457">
        <f>'1461'!H65</f>
        <v>6685</v>
      </c>
      <c r="I65" s="101">
        <f t="shared" si="11"/>
        <v>0</v>
      </c>
      <c r="N65" s="619"/>
      <c r="O65" s="619"/>
      <c r="P65" s="623"/>
      <c r="Q65" s="623"/>
      <c r="R65" s="40" t="s">
        <v>14</v>
      </c>
      <c r="S65" s="449">
        <v>253</v>
      </c>
      <c r="T65" s="460">
        <f t="shared" si="12"/>
        <v>6685</v>
      </c>
      <c r="U65" s="475">
        <f t="shared" si="13"/>
        <v>0</v>
      </c>
      <c r="V65" s="424"/>
    </row>
    <row r="66" spans="1:22" ht="16.5" thickBot="1" x14ac:dyDescent="0.3">
      <c r="A66" s="440"/>
      <c r="C66" s="97">
        <f>SUM(C57:C65)</f>
        <v>31.5</v>
      </c>
      <c r="D66" s="97">
        <f>SUM(D57:D65)</f>
        <v>30.5</v>
      </c>
      <c r="E66" s="97">
        <f>SUM(E57:E65)</f>
        <v>61.999999999999993</v>
      </c>
      <c r="F66" s="590" t="s">
        <v>448</v>
      </c>
      <c r="G66" s="590"/>
      <c r="H66" s="590"/>
      <c r="I66" s="97">
        <f>SUM(I57:I65)</f>
        <v>88641.329999999987</v>
      </c>
      <c r="N66" s="446"/>
      <c r="O66" s="51"/>
      <c r="P66" s="602">
        <f>SUM(P57:P65)</f>
        <v>0</v>
      </c>
      <c r="Q66" s="602"/>
      <c r="R66" s="603" t="s">
        <v>448</v>
      </c>
      <c r="S66" s="603"/>
      <c r="T66" s="603"/>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450</v>
      </c>
      <c r="N68" s="453" t="s">
        <v>458</v>
      </c>
      <c r="O68" s="51"/>
      <c r="P68" s="51"/>
      <c r="Q68" s="51"/>
      <c r="R68" s="51"/>
      <c r="S68" s="51"/>
      <c r="T68" s="51"/>
      <c r="U68" s="51"/>
    </row>
    <row r="69" spans="1:22" x14ac:dyDescent="0.25">
      <c r="A69" s="584" t="s">
        <v>403</v>
      </c>
      <c r="B69" s="578"/>
      <c r="C69" s="112">
        <f>E30</f>
        <v>709.66</v>
      </c>
      <c r="D69" s="565" t="s">
        <v>414</v>
      </c>
      <c r="E69" s="565"/>
      <c r="F69" s="565"/>
      <c r="G69" s="565"/>
      <c r="H69" s="300">
        <f>'1461'!H69</f>
        <v>210228.91</v>
      </c>
      <c r="I69" s="113"/>
      <c r="N69" s="600" t="s">
        <v>407</v>
      </c>
      <c r="O69" s="601"/>
      <c r="P69" s="41">
        <f>P30</f>
        <v>0</v>
      </c>
      <c r="Q69" s="606" t="s">
        <v>409</v>
      </c>
      <c r="R69" s="607"/>
      <c r="S69" s="607"/>
      <c r="T69" s="604">
        <f>H69</f>
        <v>210228.91</v>
      </c>
      <c r="U69" s="604"/>
    </row>
    <row r="70" spans="1:22" x14ac:dyDescent="0.25">
      <c r="B70" s="69"/>
      <c r="G70" s="42" t="s">
        <v>12</v>
      </c>
      <c r="H70" s="114">
        <f>ROUND(C69/H69,6)</f>
        <v>3.3760000000000001E-3</v>
      </c>
      <c r="I70" s="115"/>
      <c r="N70" s="601"/>
      <c r="O70" s="601"/>
      <c r="P70" s="601"/>
      <c r="Q70" s="601"/>
      <c r="R70" s="601"/>
      <c r="S70" s="601"/>
      <c r="T70" s="605">
        <f>ROUND(P69/T69,6)</f>
        <v>0</v>
      </c>
      <c r="U70" s="605"/>
    </row>
    <row r="71" spans="1:22" x14ac:dyDescent="0.25">
      <c r="A71" s="442" t="s">
        <v>451</v>
      </c>
      <c r="N71" s="453" t="s">
        <v>459</v>
      </c>
      <c r="O71" s="51"/>
      <c r="P71" s="51"/>
      <c r="Q71" s="51"/>
      <c r="R71" s="51"/>
      <c r="S71" s="51"/>
      <c r="T71" s="51"/>
      <c r="U71" s="51"/>
    </row>
    <row r="72" spans="1:22" x14ac:dyDescent="0.25">
      <c r="A72" s="584" t="s">
        <v>404</v>
      </c>
      <c r="B72" s="578"/>
      <c r="C72" s="112">
        <f>H30</f>
        <v>754.35389999999995</v>
      </c>
      <c r="D72" s="565" t="s">
        <v>415</v>
      </c>
      <c r="E72" s="565"/>
      <c r="F72" s="565"/>
      <c r="G72" s="565"/>
      <c r="H72" s="301">
        <f>'1461'!H72</f>
        <v>234891.44</v>
      </c>
      <c r="I72" s="116"/>
      <c r="N72" s="600" t="s">
        <v>408</v>
      </c>
      <c r="O72" s="601"/>
      <c r="P72" s="41">
        <f>T30</f>
        <v>0</v>
      </c>
      <c r="Q72" s="606" t="s">
        <v>410</v>
      </c>
      <c r="R72" s="607"/>
      <c r="S72" s="607"/>
      <c r="T72" s="604">
        <f>H72</f>
        <v>234891.44</v>
      </c>
      <c r="U72" s="604"/>
    </row>
    <row r="73" spans="1:22" x14ac:dyDescent="0.25">
      <c r="G73" s="42" t="s">
        <v>12</v>
      </c>
      <c r="H73" s="114">
        <f>ROUND(C72/H72,6)</f>
        <v>3.212E-3</v>
      </c>
      <c r="I73" s="114"/>
      <c r="N73" s="601"/>
      <c r="O73" s="601"/>
      <c r="P73" s="601"/>
      <c r="Q73" s="601"/>
      <c r="R73" s="601"/>
      <c r="S73" s="601"/>
      <c r="T73" s="605">
        <f>ROUND(P72/T72,6)</f>
        <v>0</v>
      </c>
      <c r="U73" s="605"/>
    </row>
    <row r="74" spans="1:22" x14ac:dyDescent="0.25">
      <c r="A74" s="417" t="s">
        <v>452</v>
      </c>
      <c r="B74" s="414"/>
      <c r="C74" s="414"/>
      <c r="D74" s="414"/>
      <c r="E74" s="414"/>
      <c r="F74" s="414"/>
      <c r="G74" s="414"/>
      <c r="H74" s="414"/>
      <c r="I74" s="414"/>
      <c r="N74" s="416" t="s">
        <v>460</v>
      </c>
      <c r="O74" s="415"/>
      <c r="P74" s="415"/>
      <c r="Q74" s="415"/>
      <c r="R74" s="415"/>
      <c r="S74" s="415"/>
      <c r="T74" s="415"/>
      <c r="U74" s="415"/>
      <c r="V74" s="414"/>
    </row>
    <row r="75" spans="1:22" x14ac:dyDescent="0.25">
      <c r="A75" s="584" t="s">
        <v>405</v>
      </c>
      <c r="B75" s="578"/>
      <c r="C75" s="112">
        <f>E30</f>
        <v>709.66</v>
      </c>
      <c r="D75" s="557" t="s">
        <v>416</v>
      </c>
      <c r="E75" s="557"/>
      <c r="F75" s="557"/>
      <c r="G75" s="557"/>
      <c r="H75" s="300">
        <f>'1461'!H75</f>
        <v>187665.41</v>
      </c>
      <c r="I75" s="113"/>
      <c r="N75" s="600" t="s">
        <v>406</v>
      </c>
      <c r="O75" s="601"/>
      <c r="P75" s="41">
        <f>P30</f>
        <v>0</v>
      </c>
      <c r="Q75" s="636" t="s">
        <v>411</v>
      </c>
      <c r="R75" s="637"/>
      <c r="S75" s="637"/>
      <c r="T75" s="604">
        <f>H75</f>
        <v>187665.41</v>
      </c>
      <c r="U75" s="604"/>
    </row>
    <row r="76" spans="1:22" x14ac:dyDescent="0.25">
      <c r="B76" s="69"/>
      <c r="G76" s="42" t="s">
        <v>12</v>
      </c>
      <c r="H76" s="114">
        <f>ROUND(C75/H75,6)</f>
        <v>3.7820000000000002E-3</v>
      </c>
      <c r="I76" s="115"/>
      <c r="N76" s="601"/>
      <c r="O76" s="601"/>
      <c r="P76" s="601"/>
      <c r="Q76" s="601"/>
      <c r="R76" s="601"/>
      <c r="S76" s="601"/>
      <c r="T76" s="605">
        <f>ROUND(P75/T75,6)</f>
        <v>0</v>
      </c>
      <c r="U76" s="605"/>
    </row>
    <row r="77" spans="1:22" x14ac:dyDescent="0.25">
      <c r="A77" s="417" t="s">
        <v>453</v>
      </c>
      <c r="B77" s="414"/>
      <c r="C77" s="414"/>
      <c r="D77" s="414"/>
      <c r="E77" s="414"/>
      <c r="F77" s="414"/>
      <c r="G77" s="414"/>
      <c r="H77" s="414"/>
      <c r="I77" s="414"/>
      <c r="N77" s="416" t="s">
        <v>461</v>
      </c>
      <c r="O77" s="415"/>
      <c r="P77" s="415"/>
      <c r="Q77" s="415"/>
      <c r="R77" s="415"/>
      <c r="S77" s="415"/>
      <c r="T77" s="415"/>
      <c r="U77" s="415"/>
      <c r="V77" s="414"/>
    </row>
    <row r="78" spans="1:22" x14ac:dyDescent="0.25">
      <c r="A78" s="584" t="s">
        <v>405</v>
      </c>
      <c r="B78" s="578"/>
      <c r="C78" s="112">
        <f>E30</f>
        <v>709.66</v>
      </c>
      <c r="D78" s="585" t="s">
        <v>417</v>
      </c>
      <c r="E78" s="585"/>
      <c r="F78" s="585"/>
      <c r="G78" s="585"/>
      <c r="H78" s="300">
        <f>'1461'!H78</f>
        <v>209892.26</v>
      </c>
      <c r="I78" s="113"/>
      <c r="N78" s="600" t="s">
        <v>406</v>
      </c>
      <c r="O78" s="601"/>
      <c r="P78" s="41">
        <f>P30</f>
        <v>0</v>
      </c>
      <c r="Q78" s="634" t="s">
        <v>412</v>
      </c>
      <c r="R78" s="635"/>
      <c r="S78" s="635"/>
      <c r="T78" s="604">
        <f>H78</f>
        <v>209892.26</v>
      </c>
      <c r="U78" s="604"/>
    </row>
    <row r="79" spans="1:22" x14ac:dyDescent="0.25">
      <c r="B79" s="69"/>
      <c r="G79" s="42" t="s">
        <v>12</v>
      </c>
      <c r="H79" s="114">
        <f>ROUND(C78/H78,6)</f>
        <v>3.3809999999999999E-3</v>
      </c>
      <c r="I79" s="115"/>
      <c r="N79" s="601"/>
      <c r="O79" s="601"/>
      <c r="P79" s="601"/>
      <c r="Q79" s="601"/>
      <c r="R79" s="601"/>
      <c r="S79" s="601"/>
      <c r="T79" s="605">
        <f>ROUND(P78/T78,6)</f>
        <v>0</v>
      </c>
      <c r="U79" s="605"/>
    </row>
    <row r="80" spans="1:22" x14ac:dyDescent="0.25">
      <c r="A80" s="417" t="s">
        <v>454</v>
      </c>
      <c r="B80" s="414"/>
      <c r="C80" s="414"/>
      <c r="D80" s="414"/>
      <c r="E80" s="414"/>
      <c r="F80" s="414"/>
      <c r="G80" s="414"/>
      <c r="H80" s="414"/>
      <c r="I80" s="414"/>
      <c r="N80" s="416" t="s">
        <v>462</v>
      </c>
      <c r="O80" s="415"/>
      <c r="P80" s="415"/>
      <c r="Q80" s="415"/>
      <c r="R80" s="415"/>
      <c r="S80" s="415"/>
      <c r="T80" s="415"/>
      <c r="U80" s="415"/>
      <c r="V80" s="414"/>
    </row>
    <row r="81" spans="1:21" x14ac:dyDescent="0.25">
      <c r="A81" s="584" t="s">
        <v>413</v>
      </c>
      <c r="B81" s="578"/>
      <c r="C81" s="112">
        <f>E30</f>
        <v>709.66</v>
      </c>
      <c r="D81" s="557" t="s">
        <v>418</v>
      </c>
      <c r="E81" s="557"/>
      <c r="F81" s="557"/>
      <c r="G81" s="557"/>
      <c r="H81" s="300">
        <f>'1461'!H81</f>
        <v>187328.76</v>
      </c>
      <c r="I81" s="113"/>
      <c r="N81" s="600" t="s">
        <v>419</v>
      </c>
      <c r="O81" s="601"/>
      <c r="P81" s="41">
        <f>P30</f>
        <v>0</v>
      </c>
      <c r="Q81" s="636" t="s">
        <v>420</v>
      </c>
      <c r="R81" s="637"/>
      <c r="S81" s="637"/>
      <c r="T81" s="604">
        <f>H81</f>
        <v>187328.76</v>
      </c>
      <c r="U81" s="604"/>
    </row>
    <row r="82" spans="1:21" x14ac:dyDescent="0.25">
      <c r="B82" s="69"/>
      <c r="G82" s="42" t="s">
        <v>12</v>
      </c>
      <c r="H82" s="114">
        <f>ROUND(C81/H81,6)</f>
        <v>3.7880000000000001E-3</v>
      </c>
      <c r="I82" s="115"/>
      <c r="N82" s="601"/>
      <c r="O82" s="601"/>
      <c r="P82" s="601"/>
      <c r="Q82" s="601"/>
      <c r="R82" s="601"/>
      <c r="S82" s="601"/>
      <c r="T82" s="605">
        <f>ROUND(P81/T81,6)</f>
        <v>0</v>
      </c>
      <c r="U82" s="605"/>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455</v>
      </c>
      <c r="D85" s="69"/>
      <c r="E85" s="43" t="s">
        <v>299</v>
      </c>
      <c r="F85" s="302">
        <f>'1461'!F85</f>
        <v>46163704</v>
      </c>
      <c r="G85" s="37" t="s">
        <v>6</v>
      </c>
      <c r="H85" s="422">
        <f>H79</f>
        <v>3.3809999999999999E-3</v>
      </c>
      <c r="I85" s="101">
        <f>ROUND(F85*H85,2)</f>
        <v>156079.48000000001</v>
      </c>
      <c r="N85" s="453" t="s">
        <v>455</v>
      </c>
      <c r="O85" s="51"/>
      <c r="P85" s="51"/>
      <c r="Q85" s="44"/>
      <c r="R85" s="419">
        <f>F85</f>
        <v>46163704</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87" t="s">
        <v>71</v>
      </c>
      <c r="B87" s="578"/>
      <c r="C87" s="578"/>
      <c r="D87" s="69"/>
      <c r="E87" s="43"/>
      <c r="F87" s="117"/>
      <c r="G87" s="37"/>
      <c r="H87" s="422"/>
      <c r="I87" s="101"/>
      <c r="N87" s="600" t="s">
        <v>463</v>
      </c>
      <c r="O87" s="601"/>
      <c r="P87" s="601"/>
      <c r="Q87" s="51"/>
      <c r="R87" s="420"/>
      <c r="S87" s="51"/>
      <c r="T87" s="38"/>
      <c r="U87" s="478"/>
    </row>
    <row r="88" spans="1:21" x14ac:dyDescent="0.25">
      <c r="A88" s="587" t="s">
        <v>99</v>
      </c>
      <c r="B88" s="578"/>
      <c r="C88" s="578"/>
      <c r="D88" s="69"/>
      <c r="E88" s="43" t="s">
        <v>3</v>
      </c>
      <c r="F88" s="302">
        <f>'1461'!F88</f>
        <v>0</v>
      </c>
      <c r="G88" s="37" t="s">
        <v>6</v>
      </c>
      <c r="H88" s="422">
        <f>H70</f>
        <v>3.3760000000000001E-3</v>
      </c>
      <c r="I88" s="101">
        <f>ROUND(F88*H88,2)</f>
        <v>0</v>
      </c>
      <c r="N88" s="638" t="s">
        <v>99</v>
      </c>
      <c r="O88" s="601"/>
      <c r="P88" s="601"/>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456</v>
      </c>
      <c r="D90" s="69"/>
      <c r="E90" s="43" t="s">
        <v>421</v>
      </c>
      <c r="F90" s="302">
        <f>'1461'!F90</f>
        <v>19042026</v>
      </c>
      <c r="G90" s="37" t="s">
        <v>6</v>
      </c>
      <c r="H90" s="422">
        <f>H82</f>
        <v>3.7880000000000001E-3</v>
      </c>
      <c r="I90" s="101">
        <f>ROUND(F90*H90,2)</f>
        <v>72131.19</v>
      </c>
      <c r="N90" s="453" t="s">
        <v>456</v>
      </c>
      <c r="O90" s="51"/>
      <c r="P90" s="51"/>
      <c r="Q90" s="44"/>
      <c r="R90" s="419">
        <f>F90</f>
        <v>19042026</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457</v>
      </c>
      <c r="D92" s="69"/>
      <c r="E92" s="43" t="s">
        <v>3</v>
      </c>
      <c r="F92" s="302">
        <f>'1461'!F92</f>
        <v>11441151</v>
      </c>
      <c r="G92" s="37" t="s">
        <v>6</v>
      </c>
      <c r="H92" s="422">
        <f>H76</f>
        <v>3.7820000000000002E-3</v>
      </c>
      <c r="I92" s="101">
        <f t="shared" ref="I92:I96" si="14">ROUND(F92*H92,2)</f>
        <v>43270.43</v>
      </c>
      <c r="N92" s="453" t="s">
        <v>457</v>
      </c>
      <c r="O92" s="51"/>
      <c r="P92" s="51"/>
      <c r="Q92" s="44"/>
      <c r="R92" s="419">
        <f t="shared" ref="R92:R96" si="15">F92</f>
        <v>11441151</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84" t="s">
        <v>422</v>
      </c>
      <c r="B94" s="578"/>
      <c r="C94" s="578"/>
      <c r="D94" s="69"/>
      <c r="E94" s="43" t="s">
        <v>4</v>
      </c>
      <c r="F94" s="302">
        <f>'1461'!F94</f>
        <v>247265670</v>
      </c>
      <c r="G94" s="37" t="s">
        <v>6</v>
      </c>
      <c r="H94" s="422">
        <f>H73</f>
        <v>3.212E-3</v>
      </c>
      <c r="I94" s="101">
        <f t="shared" si="14"/>
        <v>794217.33</v>
      </c>
      <c r="N94" s="601" t="s">
        <v>422</v>
      </c>
      <c r="O94" s="601"/>
      <c r="P94" s="601"/>
      <c r="Q94" s="44"/>
      <c r="R94" s="419">
        <f t="shared" si="15"/>
        <v>247265670</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4" t="s">
        <v>423</v>
      </c>
      <c r="B96" s="578"/>
      <c r="C96" s="578"/>
      <c r="D96" s="69"/>
      <c r="E96" s="43" t="s">
        <v>4</v>
      </c>
      <c r="F96" s="302">
        <f>'1461'!F96</f>
        <v>0</v>
      </c>
      <c r="G96" s="37" t="s">
        <v>6</v>
      </c>
      <c r="H96" s="422">
        <f>H73</f>
        <v>3.212E-3</v>
      </c>
      <c r="I96" s="101">
        <f t="shared" si="14"/>
        <v>0</v>
      </c>
      <c r="N96" s="600" t="s">
        <v>423</v>
      </c>
      <c r="O96" s="601"/>
      <c r="P96" s="601"/>
      <c r="Q96" s="44"/>
      <c r="R96" s="419">
        <f t="shared" si="15"/>
        <v>0</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530" t="s">
        <v>497</v>
      </c>
      <c r="B98" s="529"/>
      <c r="C98" s="529"/>
      <c r="D98" s="529"/>
      <c r="E98" s="527" t="s">
        <v>3</v>
      </c>
      <c r="F98" s="290">
        <v>0</v>
      </c>
      <c r="G98" s="528" t="s">
        <v>6</v>
      </c>
      <c r="H98" s="422">
        <f>H70</f>
        <v>3.3760000000000001E-3</v>
      </c>
      <c r="I98" s="101">
        <f t="shared" ref="I98" si="16">ROUND(F98*H98,2)</f>
        <v>0</v>
      </c>
      <c r="N98" s="533" t="s">
        <v>497</v>
      </c>
      <c r="O98" s="533"/>
      <c r="P98" s="533"/>
      <c r="Q98" s="44"/>
      <c r="R98" s="536">
        <f>F98</f>
        <v>0</v>
      </c>
      <c r="S98" s="534" t="s">
        <v>6</v>
      </c>
      <c r="T98" s="421">
        <f>T70</f>
        <v>0</v>
      </c>
      <c r="U98" s="473">
        <f>ROUND(R98*T98,2)</f>
        <v>0</v>
      </c>
    </row>
    <row r="99" spans="1:21" x14ac:dyDescent="0.25">
      <c r="A99" s="530"/>
      <c r="B99" s="529"/>
      <c r="C99" s="529"/>
      <c r="D99" s="529"/>
      <c r="E99" s="527"/>
      <c r="F99" s="276"/>
      <c r="G99" s="528"/>
      <c r="H99" s="422"/>
      <c r="I99" s="101"/>
      <c r="N99" s="533"/>
      <c r="O99" s="533"/>
      <c r="P99" s="533"/>
      <c r="Q99" s="44"/>
      <c r="R99" s="535"/>
      <c r="S99" s="534"/>
      <c r="T99" s="421"/>
      <c r="U99" s="477"/>
    </row>
    <row r="100" spans="1:21" x14ac:dyDescent="0.25">
      <c r="A100" s="530"/>
      <c r="B100" s="529"/>
      <c r="C100" s="529"/>
      <c r="D100" s="529"/>
      <c r="E100" s="527"/>
      <c r="F100" s="276"/>
      <c r="G100" s="528"/>
      <c r="H100" s="422"/>
      <c r="I100" s="101"/>
      <c r="N100" s="533"/>
      <c r="O100" s="533"/>
      <c r="P100" s="533"/>
      <c r="Q100" s="44"/>
      <c r="R100" s="420"/>
      <c r="S100" s="534"/>
      <c r="T100" s="421"/>
      <c r="U100" s="103"/>
    </row>
    <row r="101" spans="1:21" x14ac:dyDescent="0.25">
      <c r="A101" s="399" t="s">
        <v>498</v>
      </c>
      <c r="N101" s="407" t="s">
        <v>498</v>
      </c>
      <c r="O101" s="51"/>
      <c r="P101" s="51"/>
      <c r="Q101" s="51"/>
      <c r="R101" s="51"/>
      <c r="S101" s="51"/>
      <c r="T101" s="51"/>
      <c r="U101" s="51"/>
    </row>
    <row r="102" spans="1:21" x14ac:dyDescent="0.25">
      <c r="B102" s="69"/>
      <c r="C102" s="563" t="s">
        <v>60</v>
      </c>
      <c r="D102" s="563"/>
      <c r="E102" s="69"/>
      <c r="F102" s="39" t="s">
        <v>28</v>
      </c>
      <c r="G102" s="69"/>
      <c r="H102" s="69"/>
      <c r="I102" s="69"/>
      <c r="N102" s="45"/>
      <c r="O102" s="45"/>
      <c r="P102" s="45"/>
      <c r="Q102" s="45"/>
      <c r="R102" s="45"/>
      <c r="S102" s="45"/>
      <c r="T102" s="45"/>
      <c r="U102" s="45"/>
    </row>
    <row r="103" spans="1:21" x14ac:dyDescent="0.25">
      <c r="A103" s="3"/>
      <c r="B103" s="118"/>
      <c r="C103" s="564" t="s">
        <v>101</v>
      </c>
      <c r="D103" s="564"/>
      <c r="E103" s="423" t="s">
        <v>426</v>
      </c>
      <c r="F103" s="120" t="s">
        <v>106</v>
      </c>
      <c r="G103" s="121"/>
      <c r="H103" s="121"/>
      <c r="I103" s="121"/>
      <c r="N103" s="631" t="s">
        <v>35</v>
      </c>
      <c r="O103" s="631"/>
      <c r="P103" s="672" t="s">
        <v>428</v>
      </c>
      <c r="Q103" s="633"/>
      <c r="R103" s="604" t="s">
        <v>31</v>
      </c>
      <c r="S103" s="604"/>
      <c r="T103" s="604"/>
      <c r="U103" s="604"/>
    </row>
    <row r="104" spans="1:21" x14ac:dyDescent="0.25">
      <c r="A104" s="26"/>
      <c r="B104" s="52" t="s">
        <v>105</v>
      </c>
      <c r="C104" s="596">
        <f>H14+H15+H20+H23+H26</f>
        <v>320.38959999999997</v>
      </c>
      <c r="D104" s="596"/>
      <c r="E104" s="46">
        <f>H8</f>
        <v>1.0407999999999999</v>
      </c>
      <c r="F104" s="303">
        <f>'1461'!F104</f>
        <v>950.92</v>
      </c>
      <c r="G104" s="39" t="s">
        <v>12</v>
      </c>
      <c r="H104" s="101">
        <f>ROUND(C104*E104*F104,2)</f>
        <v>317095.21000000002</v>
      </c>
      <c r="I104" s="104"/>
      <c r="N104" s="28" t="s">
        <v>17</v>
      </c>
      <c r="O104" s="47">
        <f>T14+T15+T20+T23+T26</f>
        <v>0</v>
      </c>
      <c r="P104" s="611">
        <f>T8</f>
        <v>1.0407999999999999</v>
      </c>
      <c r="Q104" s="611"/>
      <c r="R104" s="48">
        <f>F104</f>
        <v>950.92</v>
      </c>
      <c r="S104" s="40" t="s">
        <v>12</v>
      </c>
      <c r="T104" s="479">
        <f>ROUND(O104*P104*R104,2)</f>
        <v>0</v>
      </c>
      <c r="U104" s="102"/>
    </row>
    <row r="105" spans="1:21" x14ac:dyDescent="0.25">
      <c r="A105" s="49"/>
      <c r="B105" s="49" t="s">
        <v>104</v>
      </c>
      <c r="C105" s="596">
        <f>H16+H17+H21+H24+H27</f>
        <v>433.96429999999998</v>
      </c>
      <c r="D105" s="596"/>
      <c r="E105" s="46">
        <f>H8</f>
        <v>1.0407999999999999</v>
      </c>
      <c r="F105" s="303">
        <f>'1461'!F105</f>
        <v>907.92</v>
      </c>
      <c r="G105" s="39" t="s">
        <v>12</v>
      </c>
      <c r="H105" s="101">
        <f>ROUND(C105*E105*F105,2)</f>
        <v>410080.27</v>
      </c>
      <c r="N105" s="50" t="s">
        <v>13</v>
      </c>
      <c r="O105" s="47">
        <f>T16+T17+T21+T24+T27</f>
        <v>0</v>
      </c>
      <c r="P105" s="611">
        <f>T8</f>
        <v>1.0407999999999999</v>
      </c>
      <c r="Q105" s="611"/>
      <c r="R105" s="48">
        <f>F105</f>
        <v>907.92</v>
      </c>
      <c r="S105" s="40" t="s">
        <v>12</v>
      </c>
      <c r="T105" s="479">
        <f>ROUND(O105*P105*R105,2)</f>
        <v>0</v>
      </c>
      <c r="U105" s="51"/>
    </row>
    <row r="106" spans="1:21" ht="16.5" thickBot="1" x14ac:dyDescent="0.3">
      <c r="A106" s="52"/>
      <c r="B106" s="52" t="s">
        <v>103</v>
      </c>
      <c r="C106" s="596">
        <f>H18+H19+H22+H25+H28+H29</f>
        <v>0</v>
      </c>
      <c r="D106" s="596"/>
      <c r="E106" s="46">
        <f>H8</f>
        <v>1.0407999999999999</v>
      </c>
      <c r="F106" s="303">
        <f>'1461'!F106</f>
        <v>910.12</v>
      </c>
      <c r="G106" s="39" t="s">
        <v>12</v>
      </c>
      <c r="H106" s="94">
        <f>ROUND(C106*E106*F106,2)</f>
        <v>0</v>
      </c>
      <c r="N106" s="53" t="s">
        <v>14</v>
      </c>
      <c r="O106" s="54">
        <f>T18+T19+T22+T25+T28+T29</f>
        <v>0</v>
      </c>
      <c r="P106" s="611">
        <f>T8</f>
        <v>1.0407999999999999</v>
      </c>
      <c r="Q106" s="611"/>
      <c r="R106" s="48">
        <f>F106</f>
        <v>910.12</v>
      </c>
      <c r="S106" s="40" t="s">
        <v>12</v>
      </c>
      <c r="T106" s="479">
        <f>ROUND(O106*P106*R106,2)</f>
        <v>0</v>
      </c>
      <c r="U106" s="51"/>
    </row>
    <row r="107" spans="1:21" ht="16.5" thickBot="1" x14ac:dyDescent="0.3">
      <c r="A107" s="55"/>
      <c r="B107" s="122" t="s">
        <v>102</v>
      </c>
      <c r="C107" s="586">
        <f>SUM(C104:C106)</f>
        <v>754.35389999999995</v>
      </c>
      <c r="D107" s="586"/>
      <c r="E107" s="123"/>
      <c r="F107" s="123"/>
      <c r="G107" s="123"/>
      <c r="H107" s="124" t="s">
        <v>100</v>
      </c>
      <c r="I107" s="101">
        <f>IF(A1=75,0,H106+H105+H104)</f>
        <v>727175.48</v>
      </c>
      <c r="N107" s="56" t="s">
        <v>89</v>
      </c>
      <c r="O107" s="57">
        <f>SUM(O104:O106)</f>
        <v>0</v>
      </c>
      <c r="P107" s="612" t="s">
        <v>16</v>
      </c>
      <c r="Q107" s="613"/>
      <c r="R107" s="613"/>
      <c r="S107" s="613"/>
      <c r="T107" s="613"/>
      <c r="U107" s="473">
        <f>IF(N1=75,0,T106+T105+T104)</f>
        <v>0</v>
      </c>
    </row>
    <row r="108" spans="1:21" ht="16.5" thickTop="1" x14ac:dyDescent="0.25">
      <c r="A108" s="555" t="s">
        <v>65</v>
      </c>
      <c r="B108" s="555"/>
      <c r="C108" s="555"/>
      <c r="D108" s="555"/>
      <c r="E108" s="555"/>
      <c r="F108" s="555"/>
      <c r="G108" s="555"/>
      <c r="H108" s="555"/>
      <c r="I108" s="555"/>
      <c r="N108" s="614" t="s">
        <v>65</v>
      </c>
      <c r="O108" s="614"/>
      <c r="P108" s="614"/>
      <c r="Q108" s="614"/>
      <c r="R108" s="614"/>
      <c r="S108" s="614"/>
      <c r="T108" s="614"/>
      <c r="U108" s="614"/>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0" t="s">
        <v>499</v>
      </c>
      <c r="C110" s="43"/>
      <c r="D110" s="69"/>
      <c r="E110" s="43" t="s">
        <v>32</v>
      </c>
      <c r="F110" s="556"/>
      <c r="G110" s="556"/>
      <c r="H110" s="556"/>
      <c r="I110" s="556"/>
      <c r="N110" s="600" t="s">
        <v>499</v>
      </c>
      <c r="O110" s="601"/>
      <c r="P110" s="601"/>
      <c r="Q110" s="615"/>
      <c r="R110" s="615"/>
      <c r="S110" s="615"/>
      <c r="T110" s="615"/>
      <c r="U110" s="103"/>
    </row>
    <row r="111" spans="1:21" x14ac:dyDescent="0.25">
      <c r="B111" s="69"/>
      <c r="C111" s="88" t="s">
        <v>494</v>
      </c>
      <c r="D111" s="333" t="s">
        <v>495</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57" t="s">
        <v>381</v>
      </c>
      <c r="B113" s="558"/>
      <c r="C113" s="143">
        <v>91</v>
      </c>
      <c r="D113" s="143">
        <v>101</v>
      </c>
      <c r="E113" s="116">
        <f>(C113+D113)/2</f>
        <v>96</v>
      </c>
      <c r="F113" s="126" t="s">
        <v>30</v>
      </c>
      <c r="G113" s="304">
        <f>'1461'!G113</f>
        <v>576</v>
      </c>
      <c r="I113" s="101">
        <f>ROUND(G113*E113,2)</f>
        <v>55296</v>
      </c>
      <c r="N113" s="630" t="s">
        <v>52</v>
      </c>
      <c r="O113" s="630"/>
      <c r="P113" s="610">
        <f>IF(H133=1,E113,0)</f>
        <v>0</v>
      </c>
      <c r="Q113" s="610"/>
      <c r="R113" s="610"/>
      <c r="S113" s="83" t="s">
        <v>30</v>
      </c>
      <c r="T113" s="58">
        <f>G113</f>
        <v>576</v>
      </c>
      <c r="U113" s="473">
        <f>ROUND(T113*P113,2)</f>
        <v>0</v>
      </c>
    </row>
    <row r="114" spans="1:21" x14ac:dyDescent="0.25">
      <c r="A114" s="557" t="s">
        <v>382</v>
      </c>
      <c r="B114" s="558"/>
      <c r="C114" s="143">
        <v>0</v>
      </c>
      <c r="D114" s="143">
        <v>0</v>
      </c>
      <c r="E114" s="116">
        <f>(C114+D114)/2</f>
        <v>0</v>
      </c>
      <c r="F114" s="126" t="s">
        <v>30</v>
      </c>
      <c r="G114" s="304">
        <f>'1461'!G114</f>
        <v>1823</v>
      </c>
      <c r="I114" s="101">
        <f>ROUND(G114*E114,2)</f>
        <v>0</v>
      </c>
      <c r="N114" s="630" t="s">
        <v>64</v>
      </c>
      <c r="O114" s="630"/>
      <c r="P114" s="608"/>
      <c r="Q114" s="608"/>
      <c r="R114" s="608"/>
      <c r="S114" s="83" t="s">
        <v>30</v>
      </c>
      <c r="T114" s="58">
        <f>G114</f>
        <v>1823</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4" t="s">
        <v>430</v>
      </c>
      <c r="B117" s="578"/>
      <c r="C117" s="578"/>
      <c r="D117" s="69"/>
      <c r="E117" s="39" t="s">
        <v>300</v>
      </c>
      <c r="F117" s="563"/>
      <c r="G117" s="563"/>
      <c r="H117" s="563"/>
      <c r="I117" s="563"/>
      <c r="N117" s="600" t="s">
        <v>431</v>
      </c>
      <c r="O117" s="601"/>
      <c r="P117" s="601"/>
      <c r="Q117" s="601"/>
      <c r="R117" s="601"/>
      <c r="S117" s="601"/>
      <c r="T117" s="601"/>
      <c r="U117" s="601"/>
    </row>
    <row r="118" spans="1:21" hidden="1" x14ac:dyDescent="0.25">
      <c r="B118" s="69"/>
      <c r="C118" s="564" t="s">
        <v>66</v>
      </c>
      <c r="D118" s="564"/>
      <c r="E118" s="564"/>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5" t="s">
        <v>109</v>
      </c>
      <c r="G119" s="563"/>
      <c r="H119" s="37" t="s">
        <v>29</v>
      </c>
      <c r="I119" s="37"/>
      <c r="N119" s="45"/>
      <c r="O119" s="45"/>
      <c r="P119" s="45"/>
      <c r="Q119" s="45"/>
      <c r="R119" s="45"/>
      <c r="S119" s="45"/>
      <c r="T119" s="45"/>
      <c r="U119" s="45"/>
    </row>
    <row r="120" spans="1:21" hidden="1" x14ac:dyDescent="0.25">
      <c r="A120" s="564" t="s">
        <v>69</v>
      </c>
      <c r="B120" s="564"/>
      <c r="C120" s="90" t="s">
        <v>2</v>
      </c>
      <c r="D120" s="90" t="s">
        <v>2</v>
      </c>
      <c r="E120" s="59" t="s">
        <v>2</v>
      </c>
      <c r="F120" s="564" t="s">
        <v>28</v>
      </c>
      <c r="G120" s="564"/>
      <c r="H120" s="59" t="s">
        <v>28</v>
      </c>
      <c r="I120" s="59" t="s">
        <v>8</v>
      </c>
      <c r="N120" s="609" t="s">
        <v>53</v>
      </c>
      <c r="O120" s="609"/>
      <c r="P120" s="610" t="s">
        <v>66</v>
      </c>
      <c r="Q120" s="610"/>
      <c r="R120" s="609" t="s">
        <v>54</v>
      </c>
      <c r="S120" s="609"/>
      <c r="T120" s="60" t="s">
        <v>55</v>
      </c>
      <c r="U120" s="60" t="s">
        <v>8</v>
      </c>
    </row>
    <row r="121" spans="1:21" hidden="1" x14ac:dyDescent="0.25">
      <c r="A121" s="561" t="s">
        <v>56</v>
      </c>
      <c r="B121" s="561"/>
      <c r="C121" s="141">
        <v>0</v>
      </c>
      <c r="D121" s="141">
        <v>0</v>
      </c>
      <c r="E121" s="187">
        <f>IF(D30=0,C121*2,C121+D121)</f>
        <v>0</v>
      </c>
      <c r="F121" s="562">
        <v>0</v>
      </c>
      <c r="G121" s="562"/>
      <c r="H121" s="224">
        <f>IF(C121=0,0,125)</f>
        <v>0</v>
      </c>
      <c r="I121" s="101">
        <f>ROUND((H121+F121)*E121,2)</f>
        <v>0</v>
      </c>
      <c r="N121" s="601" t="s">
        <v>56</v>
      </c>
      <c r="O121" s="601"/>
      <c r="P121" s="608">
        <f>IF(H$133=1,C121,0)</f>
        <v>0</v>
      </c>
      <c r="Q121" s="608"/>
      <c r="R121" s="628">
        <f>F121</f>
        <v>0</v>
      </c>
      <c r="S121" s="628"/>
      <c r="T121" s="62">
        <f>H121</f>
        <v>0</v>
      </c>
      <c r="U121" s="96">
        <f>ROUND((T121+R121)*P121,0)</f>
        <v>0</v>
      </c>
    </row>
    <row r="122" spans="1:21" hidden="1" x14ac:dyDescent="0.25">
      <c r="A122" s="581" t="s">
        <v>57</v>
      </c>
      <c r="B122" s="581"/>
      <c r="C122" s="143">
        <v>0</v>
      </c>
      <c r="D122" s="143">
        <v>0</v>
      </c>
      <c r="E122" s="116">
        <f>IF(D31=0,C122*2,C122+D122)</f>
        <v>0</v>
      </c>
      <c r="F122" s="598">
        <f>ROUND(F121/2,2)</f>
        <v>0</v>
      </c>
      <c r="G122" s="598"/>
      <c r="H122" s="224">
        <f>IF(C122=0,0,62.5)</f>
        <v>0</v>
      </c>
      <c r="I122" s="101">
        <f>ROUND((H122+F122)*E122,2)</f>
        <v>0</v>
      </c>
      <c r="N122" s="601" t="s">
        <v>57</v>
      </c>
      <c r="O122" s="601"/>
      <c r="P122" s="608">
        <f>IF(H$133=1,C122,0)</f>
        <v>0</v>
      </c>
      <c r="Q122" s="608"/>
      <c r="R122" s="629">
        <f>ROUND(R121/2,2)</f>
        <v>0</v>
      </c>
      <c r="S122" s="629"/>
      <c r="T122" s="62">
        <f>H122</f>
        <v>0</v>
      </c>
      <c r="U122" s="96">
        <f>ROUND((T122+R122)*P122,0)</f>
        <v>0</v>
      </c>
    </row>
    <row r="123" spans="1:21" ht="16.5" hidden="1" thickBot="1" x14ac:dyDescent="0.3">
      <c r="A123" s="581" t="s">
        <v>58</v>
      </c>
      <c r="B123" s="581"/>
      <c r="C123" s="143">
        <v>0</v>
      </c>
      <c r="D123" s="143">
        <v>0</v>
      </c>
      <c r="E123" s="116">
        <f>IF(D32=0,C123*2,C123+D123)</f>
        <v>0</v>
      </c>
      <c r="F123" s="599"/>
      <c r="G123" s="599"/>
      <c r="H123" s="225">
        <f>IF(H121&gt;0,436,0)</f>
        <v>0</v>
      </c>
      <c r="I123" s="101">
        <f>ROUND(H123*E123,2)</f>
        <v>0</v>
      </c>
      <c r="N123" s="616" t="s">
        <v>58</v>
      </c>
      <c r="O123" s="616"/>
      <c r="P123" s="608">
        <f>IF(H$133=1,C123,0)</f>
        <v>0</v>
      </c>
      <c r="Q123" s="608"/>
      <c r="R123" s="609"/>
      <c r="S123" s="609"/>
      <c r="T123" s="64">
        <f>H123</f>
        <v>0</v>
      </c>
      <c r="U123" s="103">
        <f>ROUND(T123*P123,0)</f>
        <v>0</v>
      </c>
    </row>
    <row r="124" spans="1:21" ht="16.5" hidden="1" thickBot="1" x14ac:dyDescent="0.3">
      <c r="A124" s="563" t="s">
        <v>8</v>
      </c>
      <c r="B124" s="563"/>
      <c r="C124" s="65"/>
      <c r="D124" s="65"/>
      <c r="E124" s="65"/>
      <c r="F124" s="65"/>
      <c r="G124" s="65"/>
      <c r="H124" s="65"/>
      <c r="I124" s="97">
        <f>SUM(I121:I123)</f>
        <v>0</v>
      </c>
      <c r="N124" s="627" t="s">
        <v>8</v>
      </c>
      <c r="O124" s="627"/>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4" t="s">
        <v>432</v>
      </c>
      <c r="B126" s="578"/>
      <c r="C126" s="578"/>
      <c r="D126" s="69"/>
      <c r="E126" s="68" t="s">
        <v>34</v>
      </c>
      <c r="F126" s="597"/>
      <c r="G126" s="597"/>
      <c r="H126" s="597"/>
      <c r="I126" s="154">
        <v>0</v>
      </c>
      <c r="N126" s="600" t="s">
        <v>432</v>
      </c>
      <c r="O126" s="601"/>
      <c r="P126" s="601"/>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90" t="s">
        <v>8</v>
      </c>
      <c r="B128" s="590"/>
      <c r="C128" s="590"/>
      <c r="D128" s="590"/>
      <c r="E128" s="590"/>
      <c r="F128" s="590"/>
      <c r="G128" s="590"/>
      <c r="H128" s="590"/>
      <c r="I128" s="94">
        <f>SUM(I46,I66,I85,I88,I90,I92,I94,I96,I107,I113,I114,I124,I126)</f>
        <v>6122331.7700000014</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434</v>
      </c>
      <c r="B130" s="26"/>
      <c r="C130" s="26"/>
      <c r="D130" s="26"/>
      <c r="E130" s="26"/>
      <c r="F130" s="26"/>
      <c r="G130" s="26"/>
      <c r="H130" s="26"/>
      <c r="I130" s="101">
        <f>I128-I53</f>
        <v>5874130.4000000013</v>
      </c>
      <c r="N130" s="601" t="s">
        <v>434</v>
      </c>
      <c r="O130" s="601"/>
      <c r="P130" s="601"/>
      <c r="Q130" s="601"/>
      <c r="R130" s="601"/>
      <c r="S130" s="601"/>
      <c r="T130" s="601"/>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4" t="s">
        <v>502</v>
      </c>
      <c r="B132" s="578"/>
      <c r="C132" s="578"/>
      <c r="D132" s="578"/>
      <c r="E132" s="578"/>
      <c r="F132" s="578"/>
      <c r="G132" s="578"/>
      <c r="H132" s="81" t="s">
        <v>333</v>
      </c>
      <c r="I132" s="134"/>
      <c r="N132" s="673" t="s">
        <v>502</v>
      </c>
      <c r="O132" s="674"/>
      <c r="P132" s="674"/>
      <c r="Q132" s="674"/>
      <c r="R132" s="674"/>
      <c r="S132" s="674"/>
      <c r="T132" s="674"/>
      <c r="U132" s="138"/>
    </row>
    <row r="133" spans="1:21" x14ac:dyDescent="0.25">
      <c r="A133" s="578" t="s">
        <v>70</v>
      </c>
      <c r="B133" s="578"/>
      <c r="C133" s="578"/>
      <c r="D133" s="578"/>
      <c r="E133" s="578"/>
      <c r="F133" s="578"/>
      <c r="G133" s="578"/>
      <c r="H133" s="70" t="str">
        <f>IF(E30=0,"",IF((E15+E17+SUM(E19:E25))/E30&gt;0.75,1,""))</f>
        <v/>
      </c>
      <c r="I133" s="116">
        <f>U130</f>
        <v>0</v>
      </c>
      <c r="N133" s="674" t="s">
        <v>70</v>
      </c>
      <c r="O133" s="674"/>
      <c r="P133" s="674"/>
      <c r="Q133" s="674"/>
      <c r="R133" s="674"/>
      <c r="S133" s="674"/>
      <c r="T133" s="67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5874130.4000000013</v>
      </c>
      <c r="I135" s="94">
        <f>ROUND(IF(E30=0,0,IF(E30&gt;250,-(((250/E30)*H135)*IF(G135="H",0.02,0.05)),IF(G135="H",-0.02*H135,-0.05*H135))),2)</f>
        <v>-103467.34</v>
      </c>
      <c r="N135" s="626"/>
      <c r="O135" s="626"/>
      <c r="P135" s="626"/>
      <c r="Q135" s="626"/>
      <c r="R135" s="626"/>
      <c r="S135" s="626"/>
      <c r="T135" s="626"/>
      <c r="U135" s="626"/>
    </row>
    <row r="136" spans="1:21" x14ac:dyDescent="0.25">
      <c r="B136" s="69"/>
      <c r="C136" s="69"/>
      <c r="D136" s="69"/>
      <c r="E136" s="69"/>
      <c r="F136" s="69"/>
      <c r="G136" s="69"/>
      <c r="H136" s="65"/>
      <c r="I136" s="101"/>
      <c r="N136" s="624" t="s">
        <v>7</v>
      </c>
      <c r="O136" s="624"/>
      <c r="P136" s="624"/>
      <c r="Q136" s="624"/>
      <c r="R136" s="624"/>
      <c r="S136" s="624"/>
      <c r="T136" s="624"/>
      <c r="U136" s="624"/>
    </row>
    <row r="137" spans="1:21" x14ac:dyDescent="0.25">
      <c r="A137" s="309" t="s">
        <v>74</v>
      </c>
      <c r="B137" s="310"/>
      <c r="C137" s="310"/>
      <c r="D137" s="310"/>
      <c r="E137" s="310"/>
      <c r="F137" s="310"/>
      <c r="G137" s="310"/>
      <c r="H137" s="311"/>
      <c r="I137" s="312">
        <f>I128+I135</f>
        <v>6018864.4300000016</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Payments'!Q95</f>
        <v>0</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6018864.4300000016</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501572.04</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190239.18</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372</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373</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374</v>
      </c>
      <c r="B155" s="252"/>
      <c r="C155" s="252"/>
      <c r="D155" s="252"/>
      <c r="E155" s="252"/>
      <c r="F155" s="252"/>
      <c r="G155" s="252"/>
      <c r="H155" s="252"/>
      <c r="I155" s="252"/>
      <c r="N155" s="625"/>
      <c r="O155" s="625"/>
      <c r="P155" s="625"/>
      <c r="Q155" s="625"/>
      <c r="R155" s="625"/>
      <c r="S155" s="625"/>
      <c r="T155" s="625"/>
      <c r="U155" s="625"/>
    </row>
    <row r="156" spans="1:21" s="76" customFormat="1" x14ac:dyDescent="0.2">
      <c r="A156" s="320" t="s">
        <v>375</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376</v>
      </c>
      <c r="B157" s="252"/>
      <c r="C157" s="252"/>
      <c r="D157" s="252"/>
      <c r="E157" s="252"/>
      <c r="F157" s="252"/>
      <c r="G157" s="252"/>
      <c r="H157" s="252"/>
      <c r="I157" s="252"/>
      <c r="N157" s="78"/>
      <c r="O157" s="79"/>
      <c r="P157" s="79"/>
      <c r="Q157" s="79"/>
      <c r="R157" s="79"/>
      <c r="S157" s="79"/>
      <c r="T157" s="79"/>
      <c r="U157" s="79"/>
    </row>
    <row r="158" spans="1:21" s="76" customFormat="1" x14ac:dyDescent="0.2">
      <c r="A158" s="320" t="s">
        <v>377</v>
      </c>
      <c r="B158" s="252"/>
      <c r="C158" s="252"/>
      <c r="D158" s="252"/>
      <c r="E158" s="252"/>
      <c r="F158" s="252"/>
      <c r="G158" s="252"/>
      <c r="H158" s="252"/>
      <c r="I158" s="252"/>
      <c r="N158" s="78"/>
    </row>
    <row r="159" spans="1:21" s="76" customFormat="1" x14ac:dyDescent="0.2">
      <c r="A159" s="320" t="s">
        <v>379</v>
      </c>
      <c r="B159" s="252"/>
      <c r="C159" s="252"/>
      <c r="D159" s="252"/>
      <c r="E159" s="252"/>
      <c r="F159" s="252"/>
      <c r="G159" s="252"/>
      <c r="H159" s="252"/>
      <c r="I159" s="252"/>
      <c r="N159" s="78"/>
    </row>
    <row r="160" spans="1:21" s="76" customFormat="1" x14ac:dyDescent="0.2">
      <c r="A160" s="385" t="s">
        <v>378</v>
      </c>
      <c r="B160" s="252"/>
      <c r="C160" s="252"/>
      <c r="D160" s="252"/>
      <c r="E160" s="252"/>
      <c r="F160" s="252"/>
      <c r="G160" s="252"/>
      <c r="H160" s="252"/>
      <c r="I160" s="252"/>
      <c r="N160" s="78"/>
    </row>
    <row r="161" spans="1:14" s="76" customFormat="1" x14ac:dyDescent="0.2">
      <c r="A161" s="320" t="s">
        <v>380</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383</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385</v>
      </c>
      <c r="B165" s="293"/>
      <c r="C165" s="293"/>
      <c r="D165" s="293"/>
      <c r="E165" s="293"/>
      <c r="F165" s="293"/>
      <c r="G165" s="293"/>
      <c r="H165" s="293"/>
      <c r="I165" s="293"/>
      <c r="N165" s="78"/>
    </row>
    <row r="166" spans="1:14" s="76" customFormat="1" ht="15.75" customHeight="1" x14ac:dyDescent="0.2">
      <c r="A166" s="351" t="s">
        <v>384</v>
      </c>
      <c r="B166" s="293"/>
      <c r="C166" s="293"/>
      <c r="D166" s="293"/>
      <c r="E166" s="293"/>
      <c r="F166" s="293"/>
      <c r="G166" s="293"/>
      <c r="H166" s="293"/>
      <c r="I166" s="293"/>
      <c r="N166" s="78"/>
    </row>
    <row r="167" spans="1:14" s="76" customFormat="1" ht="15.75" customHeight="1" x14ac:dyDescent="0.2">
      <c r="A167" s="320" t="s">
        <v>386</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388</v>
      </c>
      <c r="B169" s="343"/>
      <c r="C169" s="343"/>
      <c r="D169" s="343"/>
      <c r="E169" s="343"/>
      <c r="F169" s="343"/>
      <c r="G169" s="343"/>
      <c r="H169" s="343"/>
      <c r="I169" s="343"/>
      <c r="N169" s="78"/>
    </row>
    <row r="170" spans="1:14" s="76" customFormat="1" ht="15.75" customHeight="1" x14ac:dyDescent="0.2">
      <c r="A170" s="351" t="s">
        <v>387</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389</v>
      </c>
      <c r="B175" s="293"/>
      <c r="C175" s="293"/>
      <c r="D175" s="293"/>
      <c r="E175" s="293"/>
      <c r="F175" s="293"/>
      <c r="G175" s="293"/>
      <c r="H175" s="293"/>
      <c r="I175" s="293"/>
      <c r="J175" s="3"/>
      <c r="K175" s="3"/>
      <c r="L175" s="3"/>
      <c r="M175" s="3"/>
      <c r="N175" s="78"/>
    </row>
    <row r="176" spans="1:14" s="76" customFormat="1" ht="15.75" customHeight="1" x14ac:dyDescent="0.2">
      <c r="A176" s="361" t="s">
        <v>390</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F26:G26"/>
    <mergeCell ref="N26:O26"/>
    <mergeCell ref="P26:Q26"/>
    <mergeCell ref="R26:S26"/>
    <mergeCell ref="A27:B27"/>
    <mergeCell ref="F27:G27"/>
    <mergeCell ref="N27:O27"/>
    <mergeCell ref="P27:Q27"/>
    <mergeCell ref="R27:S27"/>
    <mergeCell ref="A26:B26"/>
    <mergeCell ref="N24:O24"/>
    <mergeCell ref="P24:Q24"/>
    <mergeCell ref="R24:S24"/>
    <mergeCell ref="A25:B25"/>
    <mergeCell ref="F25:G25"/>
    <mergeCell ref="N25:O25"/>
    <mergeCell ref="P25:Q25"/>
    <mergeCell ref="R25:S25"/>
    <mergeCell ref="A24:B24"/>
    <mergeCell ref="F24:G24"/>
    <mergeCell ref="N22:O22"/>
    <mergeCell ref="P22:Q22"/>
    <mergeCell ref="R22:S22"/>
    <mergeCell ref="A23:B23"/>
    <mergeCell ref="F23:G23"/>
    <mergeCell ref="N23:O23"/>
    <mergeCell ref="P23:Q23"/>
    <mergeCell ref="R23:S23"/>
    <mergeCell ref="A22:B22"/>
    <mergeCell ref="F22:G22"/>
    <mergeCell ref="N20:O20"/>
    <mergeCell ref="P20:Q20"/>
    <mergeCell ref="R20:S20"/>
    <mergeCell ref="A21:B21"/>
    <mergeCell ref="F21:G21"/>
    <mergeCell ref="N21:O21"/>
    <mergeCell ref="P21:Q21"/>
    <mergeCell ref="R21:S21"/>
    <mergeCell ref="A20:B20"/>
    <mergeCell ref="F20:G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40">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6" t="s">
        <v>15</v>
      </c>
      <c r="C1" s="567"/>
      <c r="D1" s="567"/>
      <c r="E1" s="567"/>
      <c r="F1" s="567"/>
      <c r="G1" s="567"/>
      <c r="H1" s="567"/>
      <c r="I1" s="567"/>
      <c r="J1" s="135"/>
      <c r="K1" s="135"/>
      <c r="L1" s="135"/>
      <c r="N1" s="82">
        <f>A1</f>
        <v>0</v>
      </c>
      <c r="O1" s="658" t="s">
        <v>15</v>
      </c>
      <c r="P1" s="659"/>
      <c r="Q1" s="659"/>
      <c r="R1" s="659"/>
      <c r="S1" s="659"/>
      <c r="T1" s="659"/>
      <c r="U1" s="659"/>
    </row>
    <row r="2" spans="1:21" ht="21" x14ac:dyDescent="0.35">
      <c r="A2" s="1" t="s">
        <v>130</v>
      </c>
      <c r="B2" s="2"/>
      <c r="C2" s="2"/>
      <c r="D2" s="2"/>
      <c r="E2" s="2"/>
      <c r="F2" s="2"/>
      <c r="G2" s="2"/>
      <c r="H2" s="2"/>
      <c r="I2" s="2"/>
      <c r="N2" s="660" t="s">
        <v>18</v>
      </c>
      <c r="O2" s="660"/>
      <c r="P2" s="660"/>
      <c r="Q2" s="660"/>
      <c r="R2" s="660"/>
      <c r="S2" s="660"/>
      <c r="T2" s="660"/>
      <c r="U2" s="660"/>
    </row>
    <row r="3" spans="1:21" x14ac:dyDescent="0.25">
      <c r="A3" s="81" t="str">
        <f>'1461'!A3</f>
        <v>Based on the FLDOE 2024-25 Conference Calculation</v>
      </c>
      <c r="N3" s="627" t="str">
        <f>A3</f>
        <v>Based on the FLDOE 2024-25 Conference Calculation</v>
      </c>
      <c r="O3" s="627"/>
      <c r="P3" s="627"/>
      <c r="Q3" s="627"/>
      <c r="R3" s="627"/>
      <c r="S3" s="627"/>
      <c r="T3" s="627"/>
      <c r="U3" s="627"/>
    </row>
    <row r="4" spans="1:21" x14ac:dyDescent="0.25">
      <c r="A4" s="568" t="s">
        <v>0</v>
      </c>
      <c r="B4" s="568"/>
      <c r="C4" s="569" t="s">
        <v>9</v>
      </c>
      <c r="D4" s="569"/>
      <c r="E4" s="569"/>
      <c r="F4" s="4" t="str">
        <f>'1461'!F4</f>
        <v>July 2024</v>
      </c>
      <c r="G4" s="4"/>
      <c r="H4" s="4"/>
      <c r="I4" s="4"/>
      <c r="N4" s="661" t="s">
        <v>0</v>
      </c>
      <c r="O4" s="661"/>
      <c r="P4" s="662" t="str">
        <f>C4</f>
        <v>Palm Beach</v>
      </c>
      <c r="Q4" s="662"/>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70" t="s">
        <v>433</v>
      </c>
      <c r="B7" s="664"/>
      <c r="C7" s="664"/>
      <c r="D7" s="664"/>
      <c r="E7" s="664"/>
      <c r="F7" s="664"/>
      <c r="G7" s="664"/>
      <c r="H7" s="664"/>
      <c r="I7" s="664"/>
      <c r="N7" s="661" t="str">
        <f>A7</f>
        <v>1A.   2023-24 FEFP State and Local Funding</v>
      </c>
      <c r="O7" s="661"/>
      <c r="P7" s="661"/>
      <c r="Q7" s="661"/>
      <c r="R7" s="661"/>
      <c r="S7" s="661"/>
      <c r="T7" s="661"/>
      <c r="U7" s="661"/>
    </row>
    <row r="8" spans="1:21" x14ac:dyDescent="0.25">
      <c r="A8" s="84"/>
      <c r="B8" s="85" t="s">
        <v>92</v>
      </c>
      <c r="C8" s="299">
        <f>'1461'!C8</f>
        <v>5330.98</v>
      </c>
      <c r="D8" s="86"/>
      <c r="E8" s="87"/>
      <c r="F8" s="84"/>
      <c r="G8" s="85" t="s">
        <v>393</v>
      </c>
      <c r="H8" s="287">
        <f>'1461'!H8</f>
        <v>1.0407999999999999</v>
      </c>
      <c r="I8" s="75"/>
      <c r="N8" s="665" t="s">
        <v>10</v>
      </c>
      <c r="O8" s="665"/>
      <c r="P8" s="666">
        <f>C8</f>
        <v>5330.98</v>
      </c>
      <c r="Q8" s="666"/>
      <c r="R8" s="648" t="s">
        <v>394</v>
      </c>
      <c r="S8" s="649"/>
      <c r="T8" s="650">
        <f>H8</f>
        <v>1.0407999999999999</v>
      </c>
      <c r="U8" s="650"/>
    </row>
    <row r="9" spans="1:21" x14ac:dyDescent="0.25">
      <c r="A9" s="84"/>
      <c r="B9" s="85"/>
      <c r="C9" s="222"/>
      <c r="D9" s="86"/>
      <c r="E9" s="87"/>
      <c r="F9" s="84"/>
      <c r="G9" s="85" t="s">
        <v>391</v>
      </c>
      <c r="H9" s="287">
        <f>'1461'!H9</f>
        <v>1</v>
      </c>
      <c r="I9" s="75"/>
      <c r="N9" s="12"/>
      <c r="O9" s="12"/>
      <c r="P9" s="13"/>
      <c r="Q9" s="13"/>
      <c r="R9" s="387" t="s">
        <v>392</v>
      </c>
      <c r="S9" s="384"/>
      <c r="T9" s="650">
        <f>H9</f>
        <v>1</v>
      </c>
      <c r="U9" s="650"/>
    </row>
    <row r="10" spans="1:21" x14ac:dyDescent="0.25">
      <c r="A10" s="7"/>
      <c r="B10" s="42" t="s">
        <v>310</v>
      </c>
      <c r="C10" s="456" t="str">
        <f>'1461'!C10</f>
        <v xml:space="preserve"> </v>
      </c>
      <c r="D10" s="88" t="str">
        <f>'1461'!D10</f>
        <v xml:space="preserve"> </v>
      </c>
      <c r="E10" s="8"/>
      <c r="F10" s="9"/>
      <c r="G10" s="9"/>
      <c r="H10" s="10"/>
      <c r="I10" s="305" t="str">
        <f>'1461'!I10</f>
        <v>2024-25</v>
      </c>
      <c r="N10" s="12"/>
      <c r="O10" s="12"/>
      <c r="P10" s="13"/>
      <c r="Q10" s="13"/>
      <c r="R10" s="14"/>
      <c r="S10" s="14"/>
      <c r="T10" s="15"/>
      <c r="U10" s="366" t="str">
        <f>I10</f>
        <v>2024-25</v>
      </c>
    </row>
    <row r="11" spans="1:21" x14ac:dyDescent="0.25">
      <c r="A11" s="7"/>
      <c r="B11" s="7"/>
      <c r="C11" s="88" t="str">
        <f>'1461'!C11</f>
        <v>Oct 2023</v>
      </c>
      <c r="D11" s="333" t="str">
        <f>'1461'!D11</f>
        <v>Feb 2024</v>
      </c>
      <c r="E11" s="89" t="s">
        <v>8</v>
      </c>
      <c r="F11" s="571" t="s">
        <v>1</v>
      </c>
      <c r="G11" s="571"/>
      <c r="H11" s="10" t="s">
        <v>60</v>
      </c>
      <c r="I11" s="11" t="s">
        <v>27</v>
      </c>
      <c r="N11" s="12"/>
      <c r="O11" s="12"/>
      <c r="P11" s="13"/>
      <c r="Q11" s="13"/>
      <c r="R11" s="651" t="s">
        <v>1</v>
      </c>
      <c r="S11" s="651"/>
      <c r="T11" s="15" t="s">
        <v>60</v>
      </c>
      <c r="U11" s="16" t="s">
        <v>27</v>
      </c>
    </row>
    <row r="12" spans="1:21" ht="15.75" customHeight="1" x14ac:dyDescent="0.25">
      <c r="A12" s="572" t="s">
        <v>1</v>
      </c>
      <c r="B12" s="572"/>
      <c r="C12" s="324" t="str">
        <f>'1461'!C12</f>
        <v>FTE</v>
      </c>
      <c r="D12" s="324" t="str">
        <f>'1461'!D12</f>
        <v>FTE</v>
      </c>
      <c r="E12" s="324" t="s">
        <v>2</v>
      </c>
      <c r="F12" s="573" t="s">
        <v>63</v>
      </c>
      <c r="G12" s="573"/>
      <c r="H12" s="17" t="s">
        <v>59</v>
      </c>
      <c r="I12" s="388" t="s">
        <v>395</v>
      </c>
      <c r="N12" s="639" t="s">
        <v>1</v>
      </c>
      <c r="O12" s="639"/>
      <c r="P12" s="652" t="s">
        <v>19</v>
      </c>
      <c r="Q12" s="652"/>
      <c r="R12" s="653" t="s">
        <v>63</v>
      </c>
      <c r="S12" s="653"/>
      <c r="T12" s="18" t="s">
        <v>59</v>
      </c>
      <c r="U12" s="19" t="str">
        <f>I12</f>
        <v>(WFTE x BSA x CWF x SDF)</v>
      </c>
    </row>
    <row r="13" spans="1:21" x14ac:dyDescent="0.25">
      <c r="A13" s="574" t="s">
        <v>36</v>
      </c>
      <c r="B13" s="574"/>
      <c r="C13" s="91"/>
      <c r="D13" s="91"/>
      <c r="E13" s="92" t="s">
        <v>37</v>
      </c>
      <c r="F13" s="575" t="s">
        <v>38</v>
      </c>
      <c r="G13" s="575"/>
      <c r="H13" s="20" t="s">
        <v>39</v>
      </c>
      <c r="I13" s="21" t="s">
        <v>40</v>
      </c>
      <c r="N13" s="654" t="s">
        <v>36</v>
      </c>
      <c r="O13" s="654"/>
      <c r="P13" s="655" t="s">
        <v>37</v>
      </c>
      <c r="Q13" s="655"/>
      <c r="R13" s="656" t="s">
        <v>38</v>
      </c>
      <c r="S13" s="656"/>
      <c r="T13" s="22" t="s">
        <v>39</v>
      </c>
      <c r="U13" s="23" t="s">
        <v>40</v>
      </c>
    </row>
    <row r="14" spans="1:21" x14ac:dyDescent="0.25">
      <c r="A14" s="576" t="s">
        <v>20</v>
      </c>
      <c r="B14" s="576"/>
      <c r="C14" s="143">
        <v>151.69</v>
      </c>
      <c r="D14" s="141">
        <v>148.52000000000001</v>
      </c>
      <c r="E14" s="187">
        <f>IF(D$30=0,C14*2,C14+D14)</f>
        <v>300.21000000000004</v>
      </c>
      <c r="F14" s="667">
        <f>'1461'!F14:G14</f>
        <v>1.1180000000000001</v>
      </c>
      <c r="G14" s="667"/>
      <c r="H14" s="145">
        <f>ROUND(E14*F14,4)</f>
        <v>335.63479999999998</v>
      </c>
      <c r="I14" s="111">
        <f>ROUND(ROUND(ROUND(H14*$C$8,4)*($H$8),2)*(MAX($H$9,1)),2)</f>
        <v>1862264.31</v>
      </c>
      <c r="N14" s="641" t="s">
        <v>20</v>
      </c>
      <c r="O14" s="641"/>
      <c r="P14" s="642">
        <f t="shared" ref="P14:P29" si="0">IF($H$133=1,E14,0)</f>
        <v>0</v>
      </c>
      <c r="Q14" s="642"/>
      <c r="R14" s="657">
        <v>1</v>
      </c>
      <c r="S14" s="657"/>
      <c r="T14" s="95">
        <f>ROUND(P14*R14,4)</f>
        <v>0</v>
      </c>
      <c r="U14" s="473">
        <f>ROUND(ROUND(ROUND(T14*$C$8,4)*($H$8),2)*(MAX($H$9,1)),2)</f>
        <v>0</v>
      </c>
    </row>
    <row r="15" spans="1:21" x14ac:dyDescent="0.25">
      <c r="A15" s="578" t="s">
        <v>21</v>
      </c>
      <c r="B15" s="578"/>
      <c r="C15" s="143">
        <v>21.5</v>
      </c>
      <c r="D15" s="143">
        <v>20</v>
      </c>
      <c r="E15" s="116">
        <f t="shared" ref="E15:E29" si="1">IF(D$30=0,C15*2,C15+D15)</f>
        <v>41.5</v>
      </c>
      <c r="F15" s="663">
        <f>'1461'!F15:G15</f>
        <v>1.1180000000000001</v>
      </c>
      <c r="G15" s="663"/>
      <c r="H15" s="80">
        <f t="shared" ref="H15:H29" si="2">ROUND(E15*F15,4)</f>
        <v>46.396999999999998</v>
      </c>
      <c r="I15" s="101">
        <f t="shared" ref="I15:I29" si="3">ROUND(ROUND(ROUND(H15*$C$8,4)*($H$8),2)*(MAX($H$9,1)),2)</f>
        <v>257433.01</v>
      </c>
      <c r="J15" s="65" t="str">
        <f>IF(ROUND(E15,2)=ROUND(SUM(E57:E59),2)," ","CHECK PK-3 LINES BELOW")</f>
        <v xml:space="preserve"> </v>
      </c>
      <c r="N15" s="601" t="s">
        <v>21</v>
      </c>
      <c r="O15" s="601"/>
      <c r="P15" s="642">
        <f t="shared" si="0"/>
        <v>0</v>
      </c>
      <c r="Q15" s="642"/>
      <c r="R15" s="647">
        <v>1</v>
      </c>
      <c r="S15" s="647"/>
      <c r="T15" s="95">
        <f t="shared" ref="T15:T29" si="4">ROUND(P15*R15,4)</f>
        <v>0</v>
      </c>
      <c r="U15" s="473">
        <f t="shared" ref="U15:U29" si="5">ROUND(ROUND(ROUND(T15*$C$8,4)*($H$8),2)*(MAX($H$9,1)),2)</f>
        <v>0</v>
      </c>
    </row>
    <row r="16" spans="1:21" x14ac:dyDescent="0.25">
      <c r="A16" s="578" t="s">
        <v>22</v>
      </c>
      <c r="B16" s="578"/>
      <c r="C16" s="143">
        <v>210.56</v>
      </c>
      <c r="D16" s="143">
        <v>205.72</v>
      </c>
      <c r="E16" s="116">
        <f t="shared" si="1"/>
        <v>416.28</v>
      </c>
      <c r="F16" s="663">
        <f>'1461'!F16:G16</f>
        <v>1</v>
      </c>
      <c r="G16" s="663"/>
      <c r="H16" s="80">
        <f t="shared" si="2"/>
        <v>416.28</v>
      </c>
      <c r="I16" s="101">
        <f t="shared" si="3"/>
        <v>2309722.91</v>
      </c>
      <c r="N16" s="601" t="s">
        <v>22</v>
      </c>
      <c r="O16" s="601"/>
      <c r="P16" s="642">
        <f t="shared" si="0"/>
        <v>0</v>
      </c>
      <c r="Q16" s="642"/>
      <c r="R16" s="647">
        <v>1</v>
      </c>
      <c r="S16" s="647"/>
      <c r="T16" s="95">
        <f t="shared" si="4"/>
        <v>0</v>
      </c>
      <c r="U16" s="473">
        <f t="shared" si="5"/>
        <v>0</v>
      </c>
    </row>
    <row r="17" spans="1:21" x14ac:dyDescent="0.25">
      <c r="A17" s="578" t="s">
        <v>23</v>
      </c>
      <c r="B17" s="578"/>
      <c r="C17" s="143">
        <v>27.5</v>
      </c>
      <c r="D17" s="143">
        <v>27.05</v>
      </c>
      <c r="E17" s="116">
        <f t="shared" si="1"/>
        <v>54.55</v>
      </c>
      <c r="F17" s="663">
        <f>'1461'!F17:G17</f>
        <v>1</v>
      </c>
      <c r="G17" s="663"/>
      <c r="H17" s="80">
        <f t="shared" si="2"/>
        <v>54.55</v>
      </c>
      <c r="I17" s="101">
        <f t="shared" si="3"/>
        <v>302669.8</v>
      </c>
      <c r="J17" s="65" t="str">
        <f>IF(ROUND(E17,2)=ROUND(SUM(E60:E62),2)," ","CHECK 4-8 LINES BELOW")</f>
        <v xml:space="preserve"> </v>
      </c>
      <c r="N17" s="601" t="s">
        <v>23</v>
      </c>
      <c r="O17" s="601"/>
      <c r="P17" s="642">
        <f t="shared" si="0"/>
        <v>0</v>
      </c>
      <c r="Q17" s="642"/>
      <c r="R17" s="647">
        <v>1</v>
      </c>
      <c r="S17" s="647"/>
      <c r="T17" s="95">
        <f t="shared" si="4"/>
        <v>0</v>
      </c>
      <c r="U17" s="473">
        <f t="shared" si="5"/>
        <v>0</v>
      </c>
    </row>
    <row r="18" spans="1:21" x14ac:dyDescent="0.25">
      <c r="A18" s="578" t="s">
        <v>24</v>
      </c>
      <c r="B18" s="578"/>
      <c r="C18" s="143">
        <v>0</v>
      </c>
      <c r="D18" s="143">
        <v>0</v>
      </c>
      <c r="E18" s="116">
        <f t="shared" si="1"/>
        <v>0</v>
      </c>
      <c r="F18" s="663">
        <f>'1461'!F18:G18</f>
        <v>0.97799999999999998</v>
      </c>
      <c r="G18" s="663"/>
      <c r="H18" s="80">
        <f t="shared" si="2"/>
        <v>0</v>
      </c>
      <c r="I18" s="101">
        <f t="shared" si="3"/>
        <v>0</v>
      </c>
      <c r="N18" s="601" t="s">
        <v>24</v>
      </c>
      <c r="O18" s="601"/>
      <c r="P18" s="642">
        <f t="shared" si="0"/>
        <v>0</v>
      </c>
      <c r="Q18" s="642"/>
      <c r="R18" s="647">
        <v>1</v>
      </c>
      <c r="S18" s="647"/>
      <c r="T18" s="95">
        <f t="shared" si="4"/>
        <v>0</v>
      </c>
      <c r="U18" s="473">
        <f t="shared" si="5"/>
        <v>0</v>
      </c>
    </row>
    <row r="19" spans="1:21" x14ac:dyDescent="0.25">
      <c r="A19" s="578" t="s">
        <v>25</v>
      </c>
      <c r="B19" s="578"/>
      <c r="C19" s="143">
        <v>0</v>
      </c>
      <c r="D19" s="143">
        <v>0</v>
      </c>
      <c r="E19" s="116">
        <f t="shared" si="1"/>
        <v>0</v>
      </c>
      <c r="F19" s="663">
        <f>'1461'!F19:G19</f>
        <v>0.97799999999999998</v>
      </c>
      <c r="G19" s="663"/>
      <c r="H19" s="80">
        <f t="shared" si="2"/>
        <v>0</v>
      </c>
      <c r="I19" s="101">
        <f t="shared" si="3"/>
        <v>0</v>
      </c>
      <c r="J19" s="65" t="str">
        <f>IF(ROUND(E19,2)=ROUND(SUM(E63:E65),2)," ","CHECK 4-8 LINES BELOW")</f>
        <v xml:space="preserve"> </v>
      </c>
      <c r="N19" s="601" t="s">
        <v>25</v>
      </c>
      <c r="O19" s="601"/>
      <c r="P19" s="642">
        <f t="shared" si="0"/>
        <v>0</v>
      </c>
      <c r="Q19" s="642"/>
      <c r="R19" s="647">
        <v>1</v>
      </c>
      <c r="S19" s="647"/>
      <c r="T19" s="95">
        <f t="shared" si="4"/>
        <v>0</v>
      </c>
      <c r="U19" s="472">
        <f t="shared" si="5"/>
        <v>0</v>
      </c>
    </row>
    <row r="20" spans="1:21" x14ac:dyDescent="0.25">
      <c r="A20" s="578" t="s">
        <v>79</v>
      </c>
      <c r="B20" s="578"/>
      <c r="C20" s="143">
        <v>0</v>
      </c>
      <c r="D20" s="143">
        <v>0</v>
      </c>
      <c r="E20" s="116">
        <f t="shared" si="1"/>
        <v>0</v>
      </c>
      <c r="F20" s="663">
        <f>'1461'!F20:G20</f>
        <v>3.6970000000000001</v>
      </c>
      <c r="G20" s="663"/>
      <c r="H20" s="80">
        <f t="shared" si="2"/>
        <v>0</v>
      </c>
      <c r="I20" s="101">
        <f t="shared" si="3"/>
        <v>0</v>
      </c>
      <c r="N20" s="601" t="s">
        <v>79</v>
      </c>
      <c r="O20" s="601"/>
      <c r="P20" s="642">
        <f t="shared" si="0"/>
        <v>0</v>
      </c>
      <c r="Q20" s="642"/>
      <c r="R20" s="647">
        <v>1</v>
      </c>
      <c r="S20" s="647"/>
      <c r="T20" s="95">
        <f t="shared" si="4"/>
        <v>0</v>
      </c>
      <c r="U20" s="473">
        <f t="shared" si="5"/>
        <v>0</v>
      </c>
    </row>
    <row r="21" spans="1:21" x14ac:dyDescent="0.25">
      <c r="A21" s="578" t="s">
        <v>80</v>
      </c>
      <c r="B21" s="578"/>
      <c r="C21" s="143">
        <v>0</v>
      </c>
      <c r="D21" s="143">
        <v>0</v>
      </c>
      <c r="E21" s="116">
        <f t="shared" si="1"/>
        <v>0</v>
      </c>
      <c r="F21" s="663">
        <f>'1461'!F21:G21</f>
        <v>3.6970000000000001</v>
      </c>
      <c r="G21" s="663"/>
      <c r="H21" s="80">
        <f t="shared" si="2"/>
        <v>0</v>
      </c>
      <c r="I21" s="101">
        <f t="shared" si="3"/>
        <v>0</v>
      </c>
      <c r="N21" s="601" t="s">
        <v>80</v>
      </c>
      <c r="O21" s="601"/>
      <c r="P21" s="642">
        <f t="shared" si="0"/>
        <v>0</v>
      </c>
      <c r="Q21" s="642"/>
      <c r="R21" s="647">
        <v>1</v>
      </c>
      <c r="S21" s="647"/>
      <c r="T21" s="95">
        <f t="shared" si="4"/>
        <v>0</v>
      </c>
      <c r="U21" s="473">
        <f t="shared" si="5"/>
        <v>0</v>
      </c>
    </row>
    <row r="22" spans="1:21" x14ac:dyDescent="0.25">
      <c r="A22" s="578" t="s">
        <v>81</v>
      </c>
      <c r="B22" s="578"/>
      <c r="C22" s="143">
        <v>0</v>
      </c>
      <c r="D22" s="143">
        <v>0</v>
      </c>
      <c r="E22" s="116">
        <f t="shared" si="1"/>
        <v>0</v>
      </c>
      <c r="F22" s="663">
        <f>'1461'!F22:G22</f>
        <v>3.6970000000000001</v>
      </c>
      <c r="G22" s="663"/>
      <c r="H22" s="80">
        <f t="shared" si="2"/>
        <v>0</v>
      </c>
      <c r="I22" s="101">
        <f t="shared" si="3"/>
        <v>0</v>
      </c>
      <c r="N22" s="601" t="s">
        <v>81</v>
      </c>
      <c r="O22" s="601"/>
      <c r="P22" s="642">
        <f t="shared" si="0"/>
        <v>0</v>
      </c>
      <c r="Q22" s="642"/>
      <c r="R22" s="647">
        <v>1</v>
      </c>
      <c r="S22" s="647"/>
      <c r="T22" s="95">
        <f t="shared" si="4"/>
        <v>0</v>
      </c>
      <c r="U22" s="473">
        <f t="shared" si="5"/>
        <v>0</v>
      </c>
    </row>
    <row r="23" spans="1:21" x14ac:dyDescent="0.25">
      <c r="A23" s="578" t="s">
        <v>82</v>
      </c>
      <c r="B23" s="578"/>
      <c r="C23" s="143">
        <v>0</v>
      </c>
      <c r="D23" s="143">
        <v>0</v>
      </c>
      <c r="E23" s="116">
        <f t="shared" si="1"/>
        <v>0</v>
      </c>
      <c r="F23" s="663">
        <f>'1461'!F23:G23</f>
        <v>5.992</v>
      </c>
      <c r="G23" s="663"/>
      <c r="H23" s="80">
        <f t="shared" si="2"/>
        <v>0</v>
      </c>
      <c r="I23" s="101">
        <f t="shared" si="3"/>
        <v>0</v>
      </c>
      <c r="N23" s="601" t="s">
        <v>82</v>
      </c>
      <c r="O23" s="601"/>
      <c r="P23" s="642">
        <f t="shared" si="0"/>
        <v>0</v>
      </c>
      <c r="Q23" s="642"/>
      <c r="R23" s="647">
        <v>1</v>
      </c>
      <c r="S23" s="647"/>
      <c r="T23" s="95">
        <f t="shared" si="4"/>
        <v>0</v>
      </c>
      <c r="U23" s="473">
        <f t="shared" si="5"/>
        <v>0</v>
      </c>
    </row>
    <row r="24" spans="1:21" x14ac:dyDescent="0.25">
      <c r="A24" s="578" t="s">
        <v>83</v>
      </c>
      <c r="B24" s="578"/>
      <c r="C24" s="143">
        <v>0</v>
      </c>
      <c r="D24" s="143">
        <v>0</v>
      </c>
      <c r="E24" s="116">
        <f t="shared" si="1"/>
        <v>0</v>
      </c>
      <c r="F24" s="663">
        <f>'1461'!F24:G24</f>
        <v>5.992</v>
      </c>
      <c r="G24" s="663"/>
      <c r="H24" s="80">
        <f t="shared" si="2"/>
        <v>0</v>
      </c>
      <c r="I24" s="101">
        <f t="shared" si="3"/>
        <v>0</v>
      </c>
      <c r="N24" s="601" t="s">
        <v>83</v>
      </c>
      <c r="O24" s="601"/>
      <c r="P24" s="642">
        <f t="shared" si="0"/>
        <v>0</v>
      </c>
      <c r="Q24" s="642"/>
      <c r="R24" s="647">
        <v>1</v>
      </c>
      <c r="S24" s="647"/>
      <c r="T24" s="95">
        <f t="shared" si="4"/>
        <v>0</v>
      </c>
      <c r="U24" s="473">
        <f t="shared" si="5"/>
        <v>0</v>
      </c>
    </row>
    <row r="25" spans="1:21" x14ac:dyDescent="0.25">
      <c r="A25" s="578" t="s">
        <v>84</v>
      </c>
      <c r="B25" s="578"/>
      <c r="C25" s="143">
        <v>0</v>
      </c>
      <c r="D25" s="143">
        <v>0</v>
      </c>
      <c r="E25" s="116">
        <f t="shared" si="1"/>
        <v>0</v>
      </c>
      <c r="F25" s="663">
        <f>'1461'!F25:G25</f>
        <v>5.992</v>
      </c>
      <c r="G25" s="663"/>
      <c r="H25" s="80">
        <f t="shared" si="2"/>
        <v>0</v>
      </c>
      <c r="I25" s="101">
        <f t="shared" si="3"/>
        <v>0</v>
      </c>
      <c r="N25" s="601" t="s">
        <v>84</v>
      </c>
      <c r="O25" s="601"/>
      <c r="P25" s="642">
        <f t="shared" si="0"/>
        <v>0</v>
      </c>
      <c r="Q25" s="642"/>
      <c r="R25" s="647">
        <v>1</v>
      </c>
      <c r="S25" s="647"/>
      <c r="T25" s="95">
        <f t="shared" si="4"/>
        <v>0</v>
      </c>
      <c r="U25" s="473">
        <f t="shared" si="5"/>
        <v>0</v>
      </c>
    </row>
    <row r="26" spans="1:21" x14ac:dyDescent="0.25">
      <c r="A26" s="578" t="s">
        <v>85</v>
      </c>
      <c r="B26" s="578"/>
      <c r="C26" s="143">
        <v>89.32</v>
      </c>
      <c r="D26" s="143">
        <v>86.68</v>
      </c>
      <c r="E26" s="116">
        <f t="shared" si="1"/>
        <v>176</v>
      </c>
      <c r="F26" s="663">
        <f>'1461'!F26:G26</f>
        <v>1.1919999999999999</v>
      </c>
      <c r="G26" s="663"/>
      <c r="H26" s="80">
        <f t="shared" si="2"/>
        <v>209.792</v>
      </c>
      <c r="I26" s="101">
        <f t="shared" si="3"/>
        <v>1164027.55</v>
      </c>
      <c r="N26" s="601" t="s">
        <v>85</v>
      </c>
      <c r="O26" s="601"/>
      <c r="P26" s="642">
        <f t="shared" si="0"/>
        <v>0</v>
      </c>
      <c r="Q26" s="642"/>
      <c r="R26" s="647">
        <v>1</v>
      </c>
      <c r="S26" s="647"/>
      <c r="T26" s="95">
        <f t="shared" si="4"/>
        <v>0</v>
      </c>
      <c r="U26" s="473">
        <f t="shared" si="5"/>
        <v>0</v>
      </c>
    </row>
    <row r="27" spans="1:21" x14ac:dyDescent="0.25">
      <c r="A27" s="578" t="s">
        <v>86</v>
      </c>
      <c r="B27" s="578"/>
      <c r="C27" s="143">
        <v>52.44</v>
      </c>
      <c r="D27" s="143">
        <v>38.799999999999997</v>
      </c>
      <c r="E27" s="116">
        <f t="shared" si="1"/>
        <v>91.24</v>
      </c>
      <c r="F27" s="663">
        <f>'1461'!F27:G27</f>
        <v>1.1919999999999999</v>
      </c>
      <c r="G27" s="663"/>
      <c r="H27" s="80">
        <f t="shared" si="2"/>
        <v>108.7581</v>
      </c>
      <c r="I27" s="101">
        <f t="shared" si="3"/>
        <v>603442.57999999996</v>
      </c>
      <c r="N27" s="601" t="s">
        <v>86</v>
      </c>
      <c r="O27" s="601"/>
      <c r="P27" s="642">
        <f t="shared" si="0"/>
        <v>0</v>
      </c>
      <c r="Q27" s="642"/>
      <c r="R27" s="647">
        <v>1</v>
      </c>
      <c r="S27" s="647"/>
      <c r="T27" s="95">
        <f t="shared" si="4"/>
        <v>0</v>
      </c>
      <c r="U27" s="473">
        <f t="shared" si="5"/>
        <v>0</v>
      </c>
    </row>
    <row r="28" spans="1:21" x14ac:dyDescent="0.25">
      <c r="A28" s="578" t="s">
        <v>87</v>
      </c>
      <c r="B28" s="578"/>
      <c r="C28" s="143">
        <v>0</v>
      </c>
      <c r="D28" s="143">
        <v>0</v>
      </c>
      <c r="E28" s="116">
        <f t="shared" si="1"/>
        <v>0</v>
      </c>
      <c r="F28" s="663">
        <f>'1461'!F28:G28</f>
        <v>1.1919999999999999</v>
      </c>
      <c r="G28" s="663"/>
      <c r="H28" s="80">
        <f t="shared" si="2"/>
        <v>0</v>
      </c>
      <c r="I28" s="101">
        <f t="shared" si="3"/>
        <v>0</v>
      </c>
      <c r="N28" s="601" t="s">
        <v>87</v>
      </c>
      <c r="O28" s="601"/>
      <c r="P28" s="642">
        <f t="shared" si="0"/>
        <v>0</v>
      </c>
      <c r="Q28" s="642"/>
      <c r="R28" s="647">
        <v>1</v>
      </c>
      <c r="S28" s="647"/>
      <c r="T28" s="95">
        <f t="shared" si="4"/>
        <v>0</v>
      </c>
      <c r="U28" s="473">
        <f t="shared" si="5"/>
        <v>0</v>
      </c>
    </row>
    <row r="29" spans="1:21" x14ac:dyDescent="0.25">
      <c r="A29" s="578" t="s">
        <v>88</v>
      </c>
      <c r="B29" s="578"/>
      <c r="C29" s="110">
        <v>0</v>
      </c>
      <c r="D29" s="110">
        <v>0</v>
      </c>
      <c r="E29" s="154">
        <f t="shared" si="1"/>
        <v>0</v>
      </c>
      <c r="F29" s="663">
        <f>'1461'!F29:G29</f>
        <v>1.079</v>
      </c>
      <c r="G29" s="663"/>
      <c r="H29" s="93">
        <f t="shared" si="2"/>
        <v>0</v>
      </c>
      <c r="I29" s="94">
        <f t="shared" si="3"/>
        <v>0</v>
      </c>
      <c r="N29" s="616" t="s">
        <v>88</v>
      </c>
      <c r="O29" s="616"/>
      <c r="P29" s="642">
        <f t="shared" si="0"/>
        <v>0</v>
      </c>
      <c r="Q29" s="642"/>
      <c r="R29" s="643">
        <v>1</v>
      </c>
      <c r="S29" s="643"/>
      <c r="T29" s="95">
        <f t="shared" si="4"/>
        <v>0</v>
      </c>
      <c r="U29" s="473">
        <f t="shared" si="5"/>
        <v>0</v>
      </c>
    </row>
    <row r="30" spans="1:21" x14ac:dyDescent="0.25">
      <c r="A30" s="590" t="s">
        <v>5</v>
      </c>
      <c r="B30" s="590"/>
      <c r="C30" s="94">
        <f>SUM(C14:C29)</f>
        <v>553.01</v>
      </c>
      <c r="D30" s="94">
        <f>SUM(D14:D29)</f>
        <v>526.77</v>
      </c>
      <c r="E30" s="94">
        <f>SUM(E14:E29)</f>
        <v>1079.78</v>
      </c>
      <c r="F30" s="582"/>
      <c r="G30" s="582"/>
      <c r="H30" s="99">
        <f>SUM(H14:H29)</f>
        <v>1171.4118999999998</v>
      </c>
      <c r="I30" s="94">
        <f>SUM(I14:I29)</f>
        <v>6499560.1600000001</v>
      </c>
      <c r="N30" s="644" t="s">
        <v>5</v>
      </c>
      <c r="O30" s="644"/>
      <c r="P30" s="645">
        <f>SUM(P14:P29)</f>
        <v>0</v>
      </c>
      <c r="Q30" s="645"/>
      <c r="R30" s="617"/>
      <c r="S30" s="617"/>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0" t="s">
        <v>233</v>
      </c>
      <c r="G34" s="670"/>
      <c r="H34" s="670"/>
      <c r="I34" s="101"/>
      <c r="N34" s="28"/>
      <c r="O34" s="28"/>
      <c r="P34" s="29"/>
      <c r="Q34" s="29"/>
      <c r="R34" s="30"/>
      <c r="S34" s="30"/>
      <c r="T34" s="102"/>
      <c r="U34" s="103"/>
    </row>
    <row r="35" spans="1:21" hidden="1" x14ac:dyDescent="0.25">
      <c r="A35" s="3"/>
      <c r="B35" s="69"/>
      <c r="C35" s="69"/>
      <c r="D35" s="69"/>
      <c r="E35" s="69"/>
      <c r="F35" s="670"/>
      <c r="G35" s="670"/>
      <c r="H35" s="670"/>
      <c r="I35" s="24" t="s">
        <v>61</v>
      </c>
      <c r="N35" s="627" t="s">
        <v>26</v>
      </c>
      <c r="O35" s="627"/>
      <c r="P35" s="627"/>
      <c r="Q35" s="627"/>
      <c r="R35" s="627"/>
      <c r="S35" s="627"/>
      <c r="T35" s="627"/>
      <c r="U35" s="25" t="str">
        <f>I35</f>
        <v>2015-16</v>
      </c>
    </row>
    <row r="36" spans="1:21" hidden="1" x14ac:dyDescent="0.25">
      <c r="A36" s="26"/>
      <c r="B36" s="26"/>
      <c r="C36" s="88" t="s">
        <v>93</v>
      </c>
      <c r="D36" s="88" t="s">
        <v>94</v>
      </c>
      <c r="E36" s="89" t="s">
        <v>8</v>
      </c>
      <c r="F36" s="670"/>
      <c r="G36" s="670"/>
      <c r="H36" s="670"/>
      <c r="I36" s="24" t="s">
        <v>27</v>
      </c>
      <c r="N36" s="28"/>
      <c r="O36" s="28"/>
      <c r="P36" s="29"/>
      <c r="Q36" s="29"/>
      <c r="R36" s="30"/>
      <c r="S36" s="30"/>
      <c r="T36" s="102"/>
      <c r="U36" s="25" t="s">
        <v>27</v>
      </c>
    </row>
    <row r="37" spans="1:21" ht="26.25" hidden="1" x14ac:dyDescent="0.25">
      <c r="A37" s="572" t="s">
        <v>50</v>
      </c>
      <c r="B37" s="572"/>
      <c r="C37" s="90" t="s">
        <v>2</v>
      </c>
      <c r="D37" s="90" t="s">
        <v>2</v>
      </c>
      <c r="E37" s="90" t="s">
        <v>2</v>
      </c>
      <c r="F37" s="671"/>
      <c r="G37" s="671"/>
      <c r="H37" s="671"/>
      <c r="I37" s="31" t="s">
        <v>395</v>
      </c>
      <c r="N37" s="639" t="s">
        <v>50</v>
      </c>
      <c r="O37" s="639"/>
      <c r="P37" s="640" t="s">
        <v>19</v>
      </c>
      <c r="Q37" s="640"/>
      <c r="R37" s="640"/>
      <c r="S37" s="640"/>
      <c r="T37" s="640"/>
      <c r="U37" s="19" t="str">
        <f>I37</f>
        <v>(WFTE x BSA x CWF x SDF)</v>
      </c>
    </row>
    <row r="38" spans="1:21" hidden="1" x14ac:dyDescent="0.25">
      <c r="A38" s="576" t="s">
        <v>45</v>
      </c>
      <c r="B38" s="576"/>
      <c r="C38" s="147">
        <v>0</v>
      </c>
      <c r="D38" s="147">
        <v>0</v>
      </c>
      <c r="E38" s="187">
        <f t="shared" ref="E38:E43" si="6">IF(D$44=0,C38*2,C38+D38)</f>
        <v>0</v>
      </c>
      <c r="F38" s="148"/>
      <c r="G38" s="148"/>
      <c r="H38" s="148"/>
      <c r="I38" s="111">
        <f>ROUND(ROUND(ROUND(E38*$C$8,4)*($H$8),2)*(MAX($H$9,1)),2)</f>
        <v>0</v>
      </c>
      <c r="N38" s="641" t="s">
        <v>45</v>
      </c>
      <c r="O38" s="641"/>
      <c r="P38" s="608">
        <f t="shared" ref="P38:P43" si="7">IF($H$133=1,E38,0)</f>
        <v>0</v>
      </c>
      <c r="Q38" s="608"/>
      <c r="R38" s="608"/>
      <c r="S38" s="608"/>
      <c r="T38" s="608"/>
      <c r="U38" s="98">
        <f>ROUND(ROUND(ROUND(P38*$C$8,4)*($H$8),2)*(MAX($H$9,1)),2)</f>
        <v>0</v>
      </c>
    </row>
    <row r="39" spans="1:21" hidden="1" x14ac:dyDescent="0.25">
      <c r="A39" s="578" t="s">
        <v>46</v>
      </c>
      <c r="B39" s="578"/>
      <c r="C39" s="150">
        <v>0</v>
      </c>
      <c r="D39" s="150">
        <v>0</v>
      </c>
      <c r="E39" s="116">
        <f t="shared" si="6"/>
        <v>0</v>
      </c>
      <c r="F39" s="151"/>
      <c r="G39" s="151"/>
      <c r="H39" s="151"/>
      <c r="I39" s="101">
        <f t="shared" ref="I39:I43" si="8">ROUND(ROUND(ROUND(E39*$C$8,4)*($H$8),2)*(MAX($H$9,1)),2)</f>
        <v>0</v>
      </c>
      <c r="N39" s="601" t="s">
        <v>46</v>
      </c>
      <c r="O39" s="601"/>
      <c r="P39" s="608">
        <f t="shared" si="7"/>
        <v>0</v>
      </c>
      <c r="Q39" s="608"/>
      <c r="R39" s="608"/>
      <c r="S39" s="608"/>
      <c r="T39" s="608"/>
      <c r="U39" s="98">
        <f t="shared" ref="U39:U43" si="9">ROUND(ROUND(ROUND(P39*$C$8,4)*($H$8),2)*(MAX($H$9,1)),2)</f>
        <v>0</v>
      </c>
    </row>
    <row r="40" spans="1:21" hidden="1" x14ac:dyDescent="0.25">
      <c r="A40" s="583" t="s">
        <v>47</v>
      </c>
      <c r="B40" s="583"/>
      <c r="C40" s="150">
        <v>0</v>
      </c>
      <c r="D40" s="150">
        <v>0</v>
      </c>
      <c r="E40" s="116">
        <f t="shared" si="6"/>
        <v>0</v>
      </c>
      <c r="F40" s="151"/>
      <c r="G40" s="151"/>
      <c r="H40" s="151"/>
      <c r="I40" s="101">
        <f t="shared" si="8"/>
        <v>0</v>
      </c>
      <c r="N40" s="646" t="s">
        <v>47</v>
      </c>
      <c r="O40" s="646"/>
      <c r="P40" s="608">
        <f t="shared" si="7"/>
        <v>0</v>
      </c>
      <c r="Q40" s="608"/>
      <c r="R40" s="608"/>
      <c r="S40" s="608"/>
      <c r="T40" s="608"/>
      <c r="U40" s="98">
        <f t="shared" si="9"/>
        <v>0</v>
      </c>
    </row>
    <row r="41" spans="1:21" hidden="1" x14ac:dyDescent="0.25">
      <c r="A41" s="578" t="s">
        <v>48</v>
      </c>
      <c r="B41" s="578"/>
      <c r="C41" s="150">
        <v>0</v>
      </c>
      <c r="D41" s="150">
        <v>0</v>
      </c>
      <c r="E41" s="116">
        <f t="shared" si="6"/>
        <v>0</v>
      </c>
      <c r="F41" s="151"/>
      <c r="G41" s="151"/>
      <c r="H41" s="151"/>
      <c r="I41" s="101">
        <f t="shared" si="8"/>
        <v>0</v>
      </c>
      <c r="N41" s="601" t="s">
        <v>48</v>
      </c>
      <c r="O41" s="601"/>
      <c r="P41" s="608">
        <f t="shared" si="7"/>
        <v>0</v>
      </c>
      <c r="Q41" s="608"/>
      <c r="R41" s="608"/>
      <c r="S41" s="608"/>
      <c r="T41" s="608"/>
      <c r="U41" s="98">
        <f t="shared" si="9"/>
        <v>0</v>
      </c>
    </row>
    <row r="42" spans="1:21" hidden="1" x14ac:dyDescent="0.25">
      <c r="A42" s="578" t="s">
        <v>49</v>
      </c>
      <c r="B42" s="578"/>
      <c r="C42" s="150">
        <v>0</v>
      </c>
      <c r="D42" s="150">
        <v>0</v>
      </c>
      <c r="E42" s="116">
        <f t="shared" si="6"/>
        <v>0</v>
      </c>
      <c r="F42" s="151"/>
      <c r="G42" s="151"/>
      <c r="H42" s="151"/>
      <c r="I42" s="101">
        <f t="shared" si="8"/>
        <v>0</v>
      </c>
      <c r="N42" s="601" t="s">
        <v>49</v>
      </c>
      <c r="O42" s="601"/>
      <c r="P42" s="608">
        <f t="shared" si="7"/>
        <v>0</v>
      </c>
      <c r="Q42" s="608"/>
      <c r="R42" s="608"/>
      <c r="S42" s="608"/>
      <c r="T42" s="608"/>
      <c r="U42" s="98">
        <f t="shared" si="9"/>
        <v>0</v>
      </c>
    </row>
    <row r="43" spans="1:21" hidden="1" x14ac:dyDescent="0.25">
      <c r="A43" s="578" t="s">
        <v>41</v>
      </c>
      <c r="B43" s="578"/>
      <c r="C43" s="149">
        <v>0</v>
      </c>
      <c r="D43" s="149">
        <v>0</v>
      </c>
      <c r="E43" s="154">
        <f t="shared" si="6"/>
        <v>0</v>
      </c>
      <c r="F43" s="151"/>
      <c r="G43" s="151"/>
      <c r="H43" s="151"/>
      <c r="I43" s="94">
        <f t="shared" si="8"/>
        <v>0</v>
      </c>
      <c r="N43" s="616" t="s">
        <v>41</v>
      </c>
      <c r="O43" s="616"/>
      <c r="P43" s="608">
        <f t="shared" si="7"/>
        <v>0</v>
      </c>
      <c r="Q43" s="608"/>
      <c r="R43" s="608"/>
      <c r="S43" s="608"/>
      <c r="T43" s="60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3" t="s">
        <v>43</v>
      </c>
      <c r="O44" s="603"/>
      <c r="P44" s="603"/>
      <c r="Q44" s="603"/>
      <c r="R44" s="33">
        <f>SUM(P38:R43)</f>
        <v>0</v>
      </c>
      <c r="S44" s="617" t="s">
        <v>51</v>
      </c>
      <c r="T44" s="617"/>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1171.4118999999998</v>
      </c>
      <c r="F46" s="34"/>
      <c r="G46" s="106"/>
      <c r="H46" s="107" t="s">
        <v>98</v>
      </c>
      <c r="I46" s="94">
        <f>SUM(I44,I30)</f>
        <v>6499560.1600000001</v>
      </c>
      <c r="N46" s="603" t="s">
        <v>44</v>
      </c>
      <c r="O46" s="603"/>
      <c r="P46" s="603"/>
      <c r="Q46" s="603"/>
      <c r="R46" s="35">
        <f>R44+T30</f>
        <v>0</v>
      </c>
      <c r="S46" s="617" t="s">
        <v>42</v>
      </c>
      <c r="T46" s="617"/>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396</v>
      </c>
      <c r="B48" s="26"/>
      <c r="C48" s="26"/>
      <c r="D48" s="26"/>
      <c r="E48" s="26"/>
      <c r="F48" s="34"/>
      <c r="G48" s="27"/>
      <c r="H48" s="27"/>
      <c r="I48" s="101"/>
      <c r="N48" s="383" t="s">
        <v>396</v>
      </c>
      <c r="O48" s="28"/>
      <c r="P48" s="28"/>
      <c r="Q48" s="28"/>
      <c r="R48" s="35"/>
      <c r="S48" s="30"/>
      <c r="T48" s="30"/>
      <c r="U48" s="402"/>
    </row>
    <row r="49" spans="1:22" s="391" customFormat="1" ht="9" customHeight="1" x14ac:dyDescent="0.2">
      <c r="A49" s="481" t="s">
        <v>397</v>
      </c>
      <c r="F49" s="392"/>
      <c r="G49" s="393"/>
      <c r="H49" s="393"/>
      <c r="I49" s="394"/>
      <c r="N49" s="403" t="s">
        <v>397</v>
      </c>
      <c r="O49" s="395"/>
      <c r="P49" s="395"/>
      <c r="Q49" s="395"/>
      <c r="R49" s="396"/>
      <c r="S49" s="397"/>
      <c r="T49" s="397"/>
      <c r="U49" s="404"/>
    </row>
    <row r="50" spans="1:22" s="391" customFormat="1" ht="11.25" customHeight="1" x14ac:dyDescent="0.2">
      <c r="A50" s="483" t="s">
        <v>398</v>
      </c>
      <c r="F50" s="392"/>
      <c r="G50" s="393"/>
      <c r="H50" s="393"/>
      <c r="I50" s="394"/>
      <c r="N50" s="405" t="s">
        <v>398</v>
      </c>
      <c r="O50" s="395"/>
      <c r="P50" s="395"/>
      <c r="Q50" s="395"/>
      <c r="R50" s="396"/>
      <c r="S50" s="397"/>
      <c r="T50" s="397"/>
      <c r="U50" s="404"/>
    </row>
    <row r="51" spans="1:22" x14ac:dyDescent="0.25">
      <c r="A51" s="389"/>
      <c r="B51" s="399" t="s">
        <v>399</v>
      </c>
      <c r="C51" s="26"/>
      <c r="D51" s="26"/>
      <c r="E51" s="43" t="s">
        <v>400</v>
      </c>
      <c r="F51" s="400">
        <f>I46</f>
        <v>6499560.1600000001</v>
      </c>
      <c r="G51" s="109" t="s">
        <v>6</v>
      </c>
      <c r="H51" s="401">
        <v>4.5199999999999997E-2</v>
      </c>
      <c r="I51" s="101">
        <f>ROUND(F51*H51,2)</f>
        <v>293780.12</v>
      </c>
      <c r="N51" s="406"/>
      <c r="O51" s="407" t="s">
        <v>399</v>
      </c>
      <c r="P51" s="28"/>
      <c r="Q51" s="44" t="s">
        <v>400</v>
      </c>
      <c r="R51" s="408">
        <f>U30</f>
        <v>0</v>
      </c>
      <c r="S51" s="409" t="s">
        <v>6</v>
      </c>
      <c r="T51" s="410">
        <v>4.5199999999999997E-2</v>
      </c>
      <c r="U51" s="402">
        <f>ROUND(R51*T51,2)</f>
        <v>0</v>
      </c>
    </row>
    <row r="52" spans="1:22" x14ac:dyDescent="0.25">
      <c r="A52" s="26"/>
      <c r="B52" s="81" t="s">
        <v>401</v>
      </c>
      <c r="C52" s="26"/>
      <c r="D52" s="26"/>
      <c r="E52" s="43" t="s">
        <v>400</v>
      </c>
      <c r="F52" s="400">
        <f>I46</f>
        <v>6499560.1600000001</v>
      </c>
      <c r="G52" s="109" t="s">
        <v>6</v>
      </c>
      <c r="H52" s="401">
        <v>1.41E-2</v>
      </c>
      <c r="I52" s="101">
        <f>ROUND(F52*H52,2)</f>
        <v>91643.8</v>
      </c>
      <c r="N52" s="28"/>
      <c r="O52" s="383" t="s">
        <v>401</v>
      </c>
      <c r="P52" s="28"/>
      <c r="Q52" s="44" t="s">
        <v>400</v>
      </c>
      <c r="R52" s="408">
        <f>U30</f>
        <v>0</v>
      </c>
      <c r="S52" s="409" t="s">
        <v>6</v>
      </c>
      <c r="T52" s="410">
        <v>1.41E-2</v>
      </c>
      <c r="U52" s="411">
        <f>ROUND(R52*T52,2)</f>
        <v>0</v>
      </c>
    </row>
    <row r="53" spans="1:22" x14ac:dyDescent="0.25">
      <c r="A53" s="26"/>
      <c r="B53" s="81" t="s">
        <v>402</v>
      </c>
      <c r="C53" s="26"/>
      <c r="D53" s="26"/>
      <c r="E53" s="43"/>
      <c r="F53" s="400"/>
      <c r="G53" s="109"/>
      <c r="H53" s="401"/>
      <c r="I53" s="97">
        <f>SUM(I51:I52)</f>
        <v>385423.92</v>
      </c>
      <c r="N53" s="28"/>
      <c r="O53" s="383" t="s">
        <v>402</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440</v>
      </c>
      <c r="G55" s="109" t="s">
        <v>441</v>
      </c>
      <c r="H55" s="454" t="s">
        <v>442</v>
      </c>
      <c r="I55" s="101"/>
      <c r="N55" s="448"/>
      <c r="O55" s="448"/>
      <c r="P55" s="464"/>
      <c r="Q55" s="465"/>
      <c r="R55" s="466"/>
      <c r="S55" s="468" t="s">
        <v>441</v>
      </c>
      <c r="T55" s="469" t="s">
        <v>442</v>
      </c>
      <c r="U55" s="467"/>
      <c r="V55" s="424"/>
    </row>
    <row r="56" spans="1:22" x14ac:dyDescent="0.25">
      <c r="A56" s="36" t="s">
        <v>443</v>
      </c>
      <c r="B56" s="36"/>
      <c r="C56" s="324" t="str">
        <f>'1461'!C56</f>
        <v>FTE</v>
      </c>
      <c r="D56" s="324" t="str">
        <f>'1461'!D56</f>
        <v>FTE</v>
      </c>
      <c r="E56" s="90" t="s">
        <v>2</v>
      </c>
      <c r="F56" s="439" t="s">
        <v>444</v>
      </c>
      <c r="G56" s="441" t="s">
        <v>444</v>
      </c>
      <c r="H56" s="455" t="s">
        <v>445</v>
      </c>
      <c r="I56" s="36"/>
      <c r="N56" s="459" t="s">
        <v>443</v>
      </c>
      <c r="O56" s="459"/>
      <c r="P56" s="620" t="s">
        <v>2</v>
      </c>
      <c r="Q56" s="620"/>
      <c r="R56" s="459" t="s">
        <v>449</v>
      </c>
      <c r="S56" s="450" t="s">
        <v>444</v>
      </c>
      <c r="T56" s="470" t="s">
        <v>445</v>
      </c>
      <c r="U56" s="459"/>
      <c r="V56" s="458"/>
    </row>
    <row r="57" spans="1:22" x14ac:dyDescent="0.25">
      <c r="A57" s="588" t="s">
        <v>447</v>
      </c>
      <c r="B57" s="588"/>
      <c r="C57" s="143">
        <v>16</v>
      </c>
      <c r="D57" s="143">
        <v>12.5</v>
      </c>
      <c r="E57" s="116">
        <f t="shared" ref="E57:E65" si="10">IF(D$66=0,C57*2,C57+D57)</f>
        <v>28.5</v>
      </c>
      <c r="F57" s="443" t="s">
        <v>439</v>
      </c>
      <c r="G57" s="443">
        <v>251</v>
      </c>
      <c r="H57" s="457">
        <f>'1461'!H57</f>
        <v>1047</v>
      </c>
      <c r="I57" s="101">
        <f>ROUND(E57*H57,2)</f>
        <v>29839.5</v>
      </c>
      <c r="N57" s="618" t="s">
        <v>447</v>
      </c>
      <c r="O57" s="618"/>
      <c r="P57" s="621"/>
      <c r="Q57" s="621"/>
      <c r="R57" s="449" t="s">
        <v>439</v>
      </c>
      <c r="S57" s="449">
        <v>251</v>
      </c>
      <c r="T57" s="460">
        <f>H57</f>
        <v>1047</v>
      </c>
      <c r="U57" s="474">
        <f>ROUND(P57*T57,2)</f>
        <v>0</v>
      </c>
      <c r="V57" s="424"/>
    </row>
    <row r="58" spans="1:22" x14ac:dyDescent="0.25">
      <c r="A58" s="589"/>
      <c r="B58" s="589"/>
      <c r="C58" s="143">
        <v>5.5</v>
      </c>
      <c r="D58" s="143">
        <v>7.5</v>
      </c>
      <c r="E58" s="116">
        <f t="shared" si="10"/>
        <v>13</v>
      </c>
      <c r="F58" s="443" t="s">
        <v>439</v>
      </c>
      <c r="G58" s="443">
        <v>252</v>
      </c>
      <c r="H58" s="457">
        <f>'1461'!H58</f>
        <v>3380</v>
      </c>
      <c r="I58" s="101">
        <f t="shared" ref="I58:I65" si="11">ROUND(E58*H58,2)</f>
        <v>43940</v>
      </c>
      <c r="N58" s="619"/>
      <c r="O58" s="619"/>
      <c r="P58" s="622"/>
      <c r="Q58" s="622"/>
      <c r="R58" s="449" t="s">
        <v>439</v>
      </c>
      <c r="S58" s="449">
        <v>252</v>
      </c>
      <c r="T58" s="460">
        <f t="shared" ref="T58:T65" si="12">H58</f>
        <v>3380</v>
      </c>
      <c r="U58" s="474">
        <f t="shared" ref="U58:U65" si="13">ROUND(P58*T58,2)</f>
        <v>0</v>
      </c>
      <c r="V58" s="424"/>
    </row>
    <row r="59" spans="1:22" x14ac:dyDescent="0.25">
      <c r="A59" s="589"/>
      <c r="B59" s="589"/>
      <c r="C59" s="143">
        <v>0</v>
      </c>
      <c r="D59" s="143">
        <v>0</v>
      </c>
      <c r="E59" s="116">
        <f t="shared" si="10"/>
        <v>0</v>
      </c>
      <c r="F59" s="443" t="s">
        <v>439</v>
      </c>
      <c r="G59" s="443">
        <v>253</v>
      </c>
      <c r="H59" s="457">
        <f>'1461'!H59</f>
        <v>6896</v>
      </c>
      <c r="I59" s="101">
        <f t="shared" si="11"/>
        <v>0</v>
      </c>
      <c r="N59" s="619"/>
      <c r="O59" s="619"/>
      <c r="P59" s="622"/>
      <c r="Q59" s="622"/>
      <c r="R59" s="449" t="s">
        <v>439</v>
      </c>
      <c r="S59" s="449">
        <v>253</v>
      </c>
      <c r="T59" s="460">
        <f t="shared" si="12"/>
        <v>6896</v>
      </c>
      <c r="U59" s="474">
        <f t="shared" si="13"/>
        <v>0</v>
      </c>
      <c r="V59" s="424"/>
    </row>
    <row r="60" spans="1:22" x14ac:dyDescent="0.25">
      <c r="A60" s="589"/>
      <c r="B60" s="589"/>
      <c r="C60" s="143">
        <v>24.5</v>
      </c>
      <c r="D60" s="143">
        <v>23.63</v>
      </c>
      <c r="E60" s="116">
        <f t="shared" si="10"/>
        <v>48.129999999999995</v>
      </c>
      <c r="F60" s="444" t="s">
        <v>13</v>
      </c>
      <c r="G60" s="443">
        <v>251</v>
      </c>
      <c r="H60" s="457">
        <f>'1461'!H60</f>
        <v>1173</v>
      </c>
      <c r="I60" s="101">
        <f t="shared" si="11"/>
        <v>56456.49</v>
      </c>
      <c r="N60" s="619"/>
      <c r="O60" s="619"/>
      <c r="P60" s="622"/>
      <c r="Q60" s="622"/>
      <c r="R60" s="40" t="s">
        <v>13</v>
      </c>
      <c r="S60" s="449">
        <v>251</v>
      </c>
      <c r="T60" s="460">
        <f t="shared" si="12"/>
        <v>1173</v>
      </c>
      <c r="U60" s="474">
        <f t="shared" si="13"/>
        <v>0</v>
      </c>
      <c r="V60" s="424"/>
    </row>
    <row r="61" spans="1:22" x14ac:dyDescent="0.25">
      <c r="A61" s="589"/>
      <c r="B61" s="589"/>
      <c r="C61" s="143">
        <v>3</v>
      </c>
      <c r="D61" s="143">
        <v>2.92</v>
      </c>
      <c r="E61" s="116">
        <f t="shared" si="10"/>
        <v>5.92</v>
      </c>
      <c r="F61" s="444" t="s">
        <v>13</v>
      </c>
      <c r="G61" s="443">
        <v>252</v>
      </c>
      <c r="H61" s="457">
        <f>'1461'!H61</f>
        <v>3506</v>
      </c>
      <c r="I61" s="101">
        <f t="shared" si="11"/>
        <v>20755.52</v>
      </c>
      <c r="N61" s="619"/>
      <c r="O61" s="619"/>
      <c r="P61" s="622"/>
      <c r="Q61" s="622"/>
      <c r="R61" s="40" t="s">
        <v>13</v>
      </c>
      <c r="S61" s="449">
        <v>252</v>
      </c>
      <c r="T61" s="460">
        <f t="shared" si="12"/>
        <v>3506</v>
      </c>
      <c r="U61" s="474">
        <f t="shared" si="13"/>
        <v>0</v>
      </c>
      <c r="V61" s="424"/>
    </row>
    <row r="62" spans="1:22" x14ac:dyDescent="0.25">
      <c r="A62" s="589"/>
      <c r="B62" s="589"/>
      <c r="C62" s="143">
        <v>0</v>
      </c>
      <c r="D62" s="143">
        <v>0.5</v>
      </c>
      <c r="E62" s="116">
        <f t="shared" si="10"/>
        <v>0.5</v>
      </c>
      <c r="F62" s="444" t="s">
        <v>13</v>
      </c>
      <c r="G62" s="443">
        <v>253</v>
      </c>
      <c r="H62" s="457">
        <f>'1461'!H62</f>
        <v>7023</v>
      </c>
      <c r="I62" s="101">
        <f t="shared" si="11"/>
        <v>3511.5</v>
      </c>
      <c r="N62" s="619"/>
      <c r="O62" s="619"/>
      <c r="P62" s="622"/>
      <c r="Q62" s="622"/>
      <c r="R62" s="40" t="s">
        <v>13</v>
      </c>
      <c r="S62" s="449">
        <v>253</v>
      </c>
      <c r="T62" s="460">
        <f t="shared" si="12"/>
        <v>7023</v>
      </c>
      <c r="U62" s="474">
        <f t="shared" si="13"/>
        <v>0</v>
      </c>
      <c r="V62" s="424"/>
    </row>
    <row r="63" spans="1:22" x14ac:dyDescent="0.25">
      <c r="A63" s="589"/>
      <c r="B63" s="589"/>
      <c r="C63" s="143">
        <v>0</v>
      </c>
      <c r="D63" s="143">
        <v>0</v>
      </c>
      <c r="E63" s="116">
        <f t="shared" si="10"/>
        <v>0</v>
      </c>
      <c r="F63" s="444" t="s">
        <v>14</v>
      </c>
      <c r="G63" s="443">
        <v>251</v>
      </c>
      <c r="H63" s="457">
        <f>'1461'!H63</f>
        <v>835</v>
      </c>
      <c r="I63" s="101">
        <f t="shared" si="11"/>
        <v>0</v>
      </c>
      <c r="N63" s="619"/>
      <c r="O63" s="619"/>
      <c r="P63" s="622"/>
      <c r="Q63" s="622"/>
      <c r="R63" s="40" t="s">
        <v>14</v>
      </c>
      <c r="S63" s="449">
        <v>251</v>
      </c>
      <c r="T63" s="460">
        <f t="shared" si="12"/>
        <v>835</v>
      </c>
      <c r="U63" s="474">
        <f t="shared" si="13"/>
        <v>0</v>
      </c>
      <c r="V63" s="424"/>
    </row>
    <row r="64" spans="1:22" x14ac:dyDescent="0.25">
      <c r="A64" s="589"/>
      <c r="B64" s="589"/>
      <c r="C64" s="143">
        <v>0</v>
      </c>
      <c r="D64" s="143">
        <v>0</v>
      </c>
      <c r="E64" s="116">
        <f t="shared" si="10"/>
        <v>0</v>
      </c>
      <c r="F64" s="444" t="s">
        <v>14</v>
      </c>
      <c r="G64" s="443">
        <v>252</v>
      </c>
      <c r="H64" s="457">
        <f>'1461'!H64</f>
        <v>3168</v>
      </c>
      <c r="I64" s="101">
        <f t="shared" si="11"/>
        <v>0</v>
      </c>
      <c r="N64" s="619"/>
      <c r="O64" s="619"/>
      <c r="P64" s="622"/>
      <c r="Q64" s="622"/>
      <c r="R64" s="40" t="s">
        <v>14</v>
      </c>
      <c r="S64" s="449">
        <v>252</v>
      </c>
      <c r="T64" s="460">
        <f t="shared" si="12"/>
        <v>3168</v>
      </c>
      <c r="U64" s="474">
        <f t="shared" si="13"/>
        <v>0</v>
      </c>
      <c r="V64" s="424"/>
    </row>
    <row r="65" spans="1:22" ht="16.5" thickBot="1" x14ac:dyDescent="0.3">
      <c r="A65" s="589"/>
      <c r="B65" s="589"/>
      <c r="C65" s="143">
        <v>0</v>
      </c>
      <c r="D65" s="143">
        <v>0</v>
      </c>
      <c r="E65" s="116">
        <f t="shared" si="10"/>
        <v>0</v>
      </c>
      <c r="F65" s="444" t="s">
        <v>14</v>
      </c>
      <c r="G65" s="443">
        <v>253</v>
      </c>
      <c r="H65" s="457">
        <f>'1461'!H65</f>
        <v>6685</v>
      </c>
      <c r="I65" s="101">
        <f t="shared" si="11"/>
        <v>0</v>
      </c>
      <c r="N65" s="619"/>
      <c r="O65" s="619"/>
      <c r="P65" s="623"/>
      <c r="Q65" s="623"/>
      <c r="R65" s="40" t="s">
        <v>14</v>
      </c>
      <c r="S65" s="449">
        <v>253</v>
      </c>
      <c r="T65" s="460">
        <f t="shared" si="12"/>
        <v>6685</v>
      </c>
      <c r="U65" s="475">
        <f t="shared" si="13"/>
        <v>0</v>
      </c>
      <c r="V65" s="424"/>
    </row>
    <row r="66" spans="1:22" ht="16.5" thickBot="1" x14ac:dyDescent="0.3">
      <c r="A66" s="440"/>
      <c r="C66" s="97">
        <f>SUM(C57:C65)</f>
        <v>49</v>
      </c>
      <c r="D66" s="97">
        <f>SUM(D57:D65)</f>
        <v>47.05</v>
      </c>
      <c r="E66" s="97">
        <f>SUM(E57:E65)</f>
        <v>96.05</v>
      </c>
      <c r="F66" s="590" t="s">
        <v>448</v>
      </c>
      <c r="G66" s="590"/>
      <c r="H66" s="590"/>
      <c r="I66" s="97">
        <f>SUM(I57:I65)</f>
        <v>154503.00999999998</v>
      </c>
      <c r="N66" s="446"/>
      <c r="O66" s="51"/>
      <c r="P66" s="602">
        <f>SUM(P57:P65)</f>
        <v>0</v>
      </c>
      <c r="Q66" s="602"/>
      <c r="R66" s="603" t="s">
        <v>448</v>
      </c>
      <c r="S66" s="603"/>
      <c r="T66" s="603"/>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450</v>
      </c>
      <c r="N68" s="453" t="s">
        <v>458</v>
      </c>
      <c r="O68" s="51"/>
      <c r="P68" s="51"/>
      <c r="Q68" s="51"/>
      <c r="R68" s="51"/>
      <c r="S68" s="51"/>
      <c r="T68" s="51"/>
      <c r="U68" s="51"/>
    </row>
    <row r="69" spans="1:22" x14ac:dyDescent="0.25">
      <c r="A69" s="584" t="s">
        <v>403</v>
      </c>
      <c r="B69" s="578"/>
      <c r="C69" s="112">
        <f>E30</f>
        <v>1079.78</v>
      </c>
      <c r="D69" s="565" t="s">
        <v>414</v>
      </c>
      <c r="E69" s="565"/>
      <c r="F69" s="565"/>
      <c r="G69" s="565"/>
      <c r="H69" s="300">
        <f>'1461'!H69</f>
        <v>210228.91</v>
      </c>
      <c r="I69" s="113"/>
      <c r="N69" s="600" t="s">
        <v>407</v>
      </c>
      <c r="O69" s="601"/>
      <c r="P69" s="41">
        <f>P30</f>
        <v>0</v>
      </c>
      <c r="Q69" s="606" t="s">
        <v>409</v>
      </c>
      <c r="R69" s="607"/>
      <c r="S69" s="607"/>
      <c r="T69" s="604">
        <f>H69</f>
        <v>210228.91</v>
      </c>
      <c r="U69" s="604"/>
    </row>
    <row r="70" spans="1:22" x14ac:dyDescent="0.25">
      <c r="B70" s="69"/>
      <c r="G70" s="42" t="s">
        <v>12</v>
      </c>
      <c r="H70" s="114">
        <f>ROUND(C69/H69,6)</f>
        <v>5.1359999999999999E-3</v>
      </c>
      <c r="I70" s="115"/>
      <c r="N70" s="601"/>
      <c r="O70" s="601"/>
      <c r="P70" s="601"/>
      <c r="Q70" s="601"/>
      <c r="R70" s="601"/>
      <c r="S70" s="601"/>
      <c r="T70" s="605">
        <f>ROUND(P69/T69,6)</f>
        <v>0</v>
      </c>
      <c r="U70" s="605"/>
    </row>
    <row r="71" spans="1:22" x14ac:dyDescent="0.25">
      <c r="A71" s="442" t="s">
        <v>451</v>
      </c>
      <c r="N71" s="453" t="s">
        <v>459</v>
      </c>
      <c r="O71" s="51"/>
      <c r="P71" s="51"/>
      <c r="Q71" s="51"/>
      <c r="R71" s="51"/>
      <c r="S71" s="51"/>
      <c r="T71" s="51"/>
      <c r="U71" s="51"/>
    </row>
    <row r="72" spans="1:22" x14ac:dyDescent="0.25">
      <c r="A72" s="584" t="s">
        <v>404</v>
      </c>
      <c r="B72" s="578"/>
      <c r="C72" s="112">
        <f>H30</f>
        <v>1171.4118999999998</v>
      </c>
      <c r="D72" s="565" t="s">
        <v>415</v>
      </c>
      <c r="E72" s="565"/>
      <c r="F72" s="565"/>
      <c r="G72" s="565"/>
      <c r="H72" s="301">
        <f>'1461'!H72</f>
        <v>234891.44</v>
      </c>
      <c r="I72" s="116"/>
      <c r="N72" s="600" t="s">
        <v>408</v>
      </c>
      <c r="O72" s="601"/>
      <c r="P72" s="41">
        <f>T30</f>
        <v>0</v>
      </c>
      <c r="Q72" s="606" t="s">
        <v>410</v>
      </c>
      <c r="R72" s="607"/>
      <c r="S72" s="607"/>
      <c r="T72" s="604">
        <f>H72</f>
        <v>234891.44</v>
      </c>
      <c r="U72" s="604"/>
    </row>
    <row r="73" spans="1:22" x14ac:dyDescent="0.25">
      <c r="G73" s="42" t="s">
        <v>12</v>
      </c>
      <c r="H73" s="114">
        <f>ROUND(C72/H72,6)</f>
        <v>4.9870000000000001E-3</v>
      </c>
      <c r="I73" s="114"/>
      <c r="N73" s="601"/>
      <c r="O73" s="601"/>
      <c r="P73" s="601"/>
      <c r="Q73" s="601"/>
      <c r="R73" s="601"/>
      <c r="S73" s="601"/>
      <c r="T73" s="605">
        <f>ROUND(P72/T72,6)</f>
        <v>0</v>
      </c>
      <c r="U73" s="605"/>
    </row>
    <row r="74" spans="1:22" x14ac:dyDescent="0.25">
      <c r="A74" s="417" t="s">
        <v>452</v>
      </c>
      <c r="B74" s="414"/>
      <c r="C74" s="414"/>
      <c r="D74" s="414"/>
      <c r="E74" s="414"/>
      <c r="F74" s="414"/>
      <c r="G74" s="414"/>
      <c r="H74" s="414"/>
      <c r="I74" s="414"/>
      <c r="N74" s="416" t="s">
        <v>460</v>
      </c>
      <c r="O74" s="415"/>
      <c r="P74" s="415"/>
      <c r="Q74" s="415"/>
      <c r="R74" s="415"/>
      <c r="S74" s="415"/>
      <c r="T74" s="415"/>
      <c r="U74" s="415"/>
      <c r="V74" s="414"/>
    </row>
    <row r="75" spans="1:22" x14ac:dyDescent="0.25">
      <c r="A75" s="584" t="s">
        <v>405</v>
      </c>
      <c r="B75" s="578"/>
      <c r="C75" s="112">
        <f>E30</f>
        <v>1079.78</v>
      </c>
      <c r="D75" s="557" t="s">
        <v>416</v>
      </c>
      <c r="E75" s="557"/>
      <c r="F75" s="557"/>
      <c r="G75" s="557"/>
      <c r="H75" s="300">
        <f>'1461'!H75</f>
        <v>187665.41</v>
      </c>
      <c r="I75" s="113"/>
      <c r="N75" s="600" t="s">
        <v>406</v>
      </c>
      <c r="O75" s="601"/>
      <c r="P75" s="41">
        <f>P30</f>
        <v>0</v>
      </c>
      <c r="Q75" s="636" t="s">
        <v>411</v>
      </c>
      <c r="R75" s="637"/>
      <c r="S75" s="637"/>
      <c r="T75" s="604">
        <f>H75</f>
        <v>187665.41</v>
      </c>
      <c r="U75" s="604"/>
    </row>
    <row r="76" spans="1:22" x14ac:dyDescent="0.25">
      <c r="B76" s="69"/>
      <c r="G76" s="42" t="s">
        <v>12</v>
      </c>
      <c r="H76" s="114">
        <f>ROUND(C75/H75,6)</f>
        <v>5.7540000000000004E-3</v>
      </c>
      <c r="I76" s="115"/>
      <c r="N76" s="601"/>
      <c r="O76" s="601"/>
      <c r="P76" s="601"/>
      <c r="Q76" s="601"/>
      <c r="R76" s="601"/>
      <c r="S76" s="601"/>
      <c r="T76" s="605">
        <f>ROUND(P75/T75,6)</f>
        <v>0</v>
      </c>
      <c r="U76" s="605"/>
    </row>
    <row r="77" spans="1:22" x14ac:dyDescent="0.25">
      <c r="A77" s="417" t="s">
        <v>453</v>
      </c>
      <c r="B77" s="414"/>
      <c r="C77" s="414"/>
      <c r="D77" s="414"/>
      <c r="E77" s="414"/>
      <c r="F77" s="414"/>
      <c r="G77" s="414"/>
      <c r="H77" s="414"/>
      <c r="I77" s="414"/>
      <c r="N77" s="416" t="s">
        <v>461</v>
      </c>
      <c r="O77" s="415"/>
      <c r="P77" s="415"/>
      <c r="Q77" s="415"/>
      <c r="R77" s="415"/>
      <c r="S77" s="415"/>
      <c r="T77" s="415"/>
      <c r="U77" s="415"/>
      <c r="V77" s="414"/>
    </row>
    <row r="78" spans="1:22" x14ac:dyDescent="0.25">
      <c r="A78" s="584" t="s">
        <v>405</v>
      </c>
      <c r="B78" s="578"/>
      <c r="C78" s="112">
        <f>E30</f>
        <v>1079.78</v>
      </c>
      <c r="D78" s="585" t="s">
        <v>417</v>
      </c>
      <c r="E78" s="585"/>
      <c r="F78" s="585"/>
      <c r="G78" s="585"/>
      <c r="H78" s="300">
        <f>'1461'!H78</f>
        <v>209892.26</v>
      </c>
      <c r="I78" s="113"/>
      <c r="N78" s="600" t="s">
        <v>406</v>
      </c>
      <c r="O78" s="601"/>
      <c r="P78" s="41">
        <f>P30</f>
        <v>0</v>
      </c>
      <c r="Q78" s="634" t="s">
        <v>412</v>
      </c>
      <c r="R78" s="635"/>
      <c r="S78" s="635"/>
      <c r="T78" s="604">
        <f>H78</f>
        <v>209892.26</v>
      </c>
      <c r="U78" s="604"/>
    </row>
    <row r="79" spans="1:22" x14ac:dyDescent="0.25">
      <c r="B79" s="69"/>
      <c r="G79" s="42" t="s">
        <v>12</v>
      </c>
      <c r="H79" s="114">
        <f>ROUND(C78/H78,6)</f>
        <v>5.1440000000000001E-3</v>
      </c>
      <c r="I79" s="115"/>
      <c r="N79" s="601"/>
      <c r="O79" s="601"/>
      <c r="P79" s="601"/>
      <c r="Q79" s="601"/>
      <c r="R79" s="601"/>
      <c r="S79" s="601"/>
      <c r="T79" s="605">
        <f>ROUND(P78/T78,6)</f>
        <v>0</v>
      </c>
      <c r="U79" s="605"/>
    </row>
    <row r="80" spans="1:22" x14ac:dyDescent="0.25">
      <c r="A80" s="417" t="s">
        <v>454</v>
      </c>
      <c r="B80" s="414"/>
      <c r="C80" s="414"/>
      <c r="D80" s="414"/>
      <c r="E80" s="414"/>
      <c r="F80" s="414"/>
      <c r="G80" s="414"/>
      <c r="H80" s="414"/>
      <c r="I80" s="414"/>
      <c r="N80" s="416" t="s">
        <v>462</v>
      </c>
      <c r="O80" s="415"/>
      <c r="P80" s="415"/>
      <c r="Q80" s="415"/>
      <c r="R80" s="415"/>
      <c r="S80" s="415"/>
      <c r="T80" s="415"/>
      <c r="U80" s="415"/>
      <c r="V80" s="414"/>
    </row>
    <row r="81" spans="1:21" x14ac:dyDescent="0.25">
      <c r="A81" s="584" t="s">
        <v>413</v>
      </c>
      <c r="B81" s="578"/>
      <c r="C81" s="112">
        <f>E30</f>
        <v>1079.78</v>
      </c>
      <c r="D81" s="557" t="s">
        <v>418</v>
      </c>
      <c r="E81" s="557"/>
      <c r="F81" s="557"/>
      <c r="G81" s="557"/>
      <c r="H81" s="300">
        <f>'1461'!H81</f>
        <v>187328.76</v>
      </c>
      <c r="I81" s="113"/>
      <c r="N81" s="600" t="s">
        <v>419</v>
      </c>
      <c r="O81" s="601"/>
      <c r="P81" s="41">
        <f>P30</f>
        <v>0</v>
      </c>
      <c r="Q81" s="636" t="s">
        <v>420</v>
      </c>
      <c r="R81" s="637"/>
      <c r="S81" s="637"/>
      <c r="T81" s="604">
        <f>H81</f>
        <v>187328.76</v>
      </c>
      <c r="U81" s="604"/>
    </row>
    <row r="82" spans="1:21" x14ac:dyDescent="0.25">
      <c r="B82" s="69"/>
      <c r="G82" s="42" t="s">
        <v>12</v>
      </c>
      <c r="H82" s="114">
        <f>ROUND(C81/H81,6)</f>
        <v>5.764E-3</v>
      </c>
      <c r="I82" s="115"/>
      <c r="N82" s="601"/>
      <c r="O82" s="601"/>
      <c r="P82" s="601"/>
      <c r="Q82" s="601"/>
      <c r="R82" s="601"/>
      <c r="S82" s="601"/>
      <c r="T82" s="605">
        <f>ROUND(P81/T81,6)</f>
        <v>0</v>
      </c>
      <c r="U82" s="605"/>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455</v>
      </c>
      <c r="D85" s="69"/>
      <c r="E85" s="43" t="s">
        <v>299</v>
      </c>
      <c r="F85" s="302">
        <f>'1461'!F85</f>
        <v>46163704</v>
      </c>
      <c r="G85" s="37" t="s">
        <v>6</v>
      </c>
      <c r="H85" s="422">
        <f>H79</f>
        <v>5.1440000000000001E-3</v>
      </c>
      <c r="I85" s="101">
        <f>ROUND(F85*H85,2)</f>
        <v>237466.09</v>
      </c>
      <c r="N85" s="453" t="s">
        <v>455</v>
      </c>
      <c r="O85" s="51"/>
      <c r="P85" s="51"/>
      <c r="Q85" s="44"/>
      <c r="R85" s="419">
        <f>F85</f>
        <v>46163704</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87" t="s">
        <v>71</v>
      </c>
      <c r="B87" s="578"/>
      <c r="C87" s="578"/>
      <c r="D87" s="69"/>
      <c r="E87" s="43"/>
      <c r="F87" s="117"/>
      <c r="G87" s="37"/>
      <c r="H87" s="422"/>
      <c r="I87" s="101"/>
      <c r="N87" s="600" t="s">
        <v>463</v>
      </c>
      <c r="O87" s="601"/>
      <c r="P87" s="601"/>
      <c r="Q87" s="51"/>
      <c r="R87" s="420"/>
      <c r="S87" s="51"/>
      <c r="T87" s="38"/>
      <c r="U87" s="478"/>
    </row>
    <row r="88" spans="1:21" x14ac:dyDescent="0.25">
      <c r="A88" s="587" t="s">
        <v>99</v>
      </c>
      <c r="B88" s="578"/>
      <c r="C88" s="578"/>
      <c r="D88" s="69"/>
      <c r="E88" s="43" t="s">
        <v>3</v>
      </c>
      <c r="F88" s="302">
        <f>'1461'!F88</f>
        <v>0</v>
      </c>
      <c r="G88" s="37" t="s">
        <v>6</v>
      </c>
      <c r="H88" s="422">
        <f>H70</f>
        <v>5.1359999999999999E-3</v>
      </c>
      <c r="I88" s="101">
        <f>ROUND(F88*H88,2)</f>
        <v>0</v>
      </c>
      <c r="N88" s="638" t="s">
        <v>99</v>
      </c>
      <c r="O88" s="601"/>
      <c r="P88" s="601"/>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456</v>
      </c>
      <c r="D90" s="69"/>
      <c r="E90" s="43" t="s">
        <v>421</v>
      </c>
      <c r="F90" s="302">
        <f>'1461'!F90</f>
        <v>19042026</v>
      </c>
      <c r="G90" s="37" t="s">
        <v>6</v>
      </c>
      <c r="H90" s="422">
        <f>H82</f>
        <v>5.764E-3</v>
      </c>
      <c r="I90" s="101">
        <f>ROUND(F90*H90,2)</f>
        <v>109758.24</v>
      </c>
      <c r="N90" s="453" t="s">
        <v>456</v>
      </c>
      <c r="O90" s="51"/>
      <c r="P90" s="51"/>
      <c r="Q90" s="44"/>
      <c r="R90" s="419">
        <f>F90</f>
        <v>19042026</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457</v>
      </c>
      <c r="D92" s="69"/>
      <c r="E92" s="43" t="s">
        <v>3</v>
      </c>
      <c r="F92" s="302">
        <f>'1461'!F92</f>
        <v>11441151</v>
      </c>
      <c r="G92" s="37" t="s">
        <v>6</v>
      </c>
      <c r="H92" s="422">
        <f>H76</f>
        <v>5.7540000000000004E-3</v>
      </c>
      <c r="I92" s="101">
        <f t="shared" ref="I92:I96" si="14">ROUND(F92*H92,2)</f>
        <v>65832.38</v>
      </c>
      <c r="N92" s="453" t="s">
        <v>457</v>
      </c>
      <c r="O92" s="51"/>
      <c r="P92" s="51"/>
      <c r="Q92" s="44"/>
      <c r="R92" s="419">
        <f t="shared" ref="R92:R96" si="15">F92</f>
        <v>11441151</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84" t="s">
        <v>422</v>
      </c>
      <c r="B94" s="578"/>
      <c r="C94" s="578"/>
      <c r="D94" s="69"/>
      <c r="E94" s="43" t="s">
        <v>4</v>
      </c>
      <c r="F94" s="302">
        <f>'1461'!F94</f>
        <v>247265670</v>
      </c>
      <c r="G94" s="37" t="s">
        <v>6</v>
      </c>
      <c r="H94" s="422">
        <f>H73</f>
        <v>4.9870000000000001E-3</v>
      </c>
      <c r="I94" s="101">
        <f t="shared" si="14"/>
        <v>1233113.8999999999</v>
      </c>
      <c r="N94" s="601" t="s">
        <v>422</v>
      </c>
      <c r="O94" s="601"/>
      <c r="P94" s="601"/>
      <c r="Q94" s="44"/>
      <c r="R94" s="419">
        <f t="shared" si="15"/>
        <v>247265670</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4" t="s">
        <v>423</v>
      </c>
      <c r="B96" s="578"/>
      <c r="C96" s="578"/>
      <c r="D96" s="69"/>
      <c r="E96" s="43" t="s">
        <v>4</v>
      </c>
      <c r="F96" s="302">
        <f>'1461'!F96</f>
        <v>0</v>
      </c>
      <c r="G96" s="37" t="s">
        <v>6</v>
      </c>
      <c r="H96" s="422">
        <f>H73</f>
        <v>4.9870000000000001E-3</v>
      </c>
      <c r="I96" s="101">
        <f t="shared" si="14"/>
        <v>0</v>
      </c>
      <c r="N96" s="600" t="s">
        <v>423</v>
      </c>
      <c r="O96" s="601"/>
      <c r="P96" s="601"/>
      <c r="Q96" s="44"/>
      <c r="R96" s="419">
        <f t="shared" si="15"/>
        <v>0</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530" t="s">
        <v>497</v>
      </c>
      <c r="B98" s="529"/>
      <c r="C98" s="529"/>
      <c r="D98" s="529"/>
      <c r="E98" s="527" t="s">
        <v>3</v>
      </c>
      <c r="F98" s="290">
        <v>0</v>
      </c>
      <c r="G98" s="528" t="s">
        <v>6</v>
      </c>
      <c r="H98" s="422">
        <f>H70</f>
        <v>5.1359999999999999E-3</v>
      </c>
      <c r="I98" s="101">
        <f t="shared" ref="I98" si="16">ROUND(F98*H98,2)</f>
        <v>0</v>
      </c>
      <c r="N98" s="533" t="s">
        <v>497</v>
      </c>
      <c r="O98" s="533"/>
      <c r="P98" s="533"/>
      <c r="Q98" s="44"/>
      <c r="R98" s="536">
        <f>F98</f>
        <v>0</v>
      </c>
      <c r="S98" s="534" t="s">
        <v>6</v>
      </c>
      <c r="T98" s="421">
        <f>T70</f>
        <v>0</v>
      </c>
      <c r="U98" s="473">
        <f>ROUND(R98*T98,2)</f>
        <v>0</v>
      </c>
    </row>
    <row r="99" spans="1:21" x14ac:dyDescent="0.25">
      <c r="A99" s="530"/>
      <c r="B99" s="529"/>
      <c r="C99" s="529"/>
      <c r="D99" s="529"/>
      <c r="E99" s="527"/>
      <c r="F99" s="276"/>
      <c r="G99" s="528"/>
      <c r="H99" s="422"/>
      <c r="I99" s="101"/>
      <c r="N99" s="533"/>
      <c r="O99" s="533"/>
      <c r="P99" s="533"/>
      <c r="Q99" s="44"/>
      <c r="R99" s="535"/>
      <c r="S99" s="534"/>
      <c r="T99" s="421"/>
      <c r="U99" s="477"/>
    </row>
    <row r="100" spans="1:21" x14ac:dyDescent="0.25">
      <c r="A100" s="530"/>
      <c r="B100" s="529"/>
      <c r="C100" s="529"/>
      <c r="D100" s="529"/>
      <c r="E100" s="527"/>
      <c r="F100" s="276"/>
      <c r="G100" s="528"/>
      <c r="H100" s="422"/>
      <c r="I100" s="101"/>
      <c r="N100" s="533"/>
      <c r="O100" s="533"/>
      <c r="P100" s="533"/>
      <c r="Q100" s="44"/>
      <c r="R100" s="420"/>
      <c r="S100" s="534"/>
      <c r="T100" s="421"/>
      <c r="U100" s="103"/>
    </row>
    <row r="101" spans="1:21" x14ac:dyDescent="0.25">
      <c r="A101" s="399" t="s">
        <v>498</v>
      </c>
      <c r="N101" s="407" t="s">
        <v>498</v>
      </c>
      <c r="O101" s="51"/>
      <c r="P101" s="51"/>
      <c r="Q101" s="51"/>
      <c r="R101" s="51"/>
      <c r="S101" s="51"/>
      <c r="T101" s="51"/>
      <c r="U101" s="51"/>
    </row>
    <row r="102" spans="1:21" x14ac:dyDescent="0.25">
      <c r="B102" s="69"/>
      <c r="C102" s="563" t="s">
        <v>60</v>
      </c>
      <c r="D102" s="563"/>
      <c r="E102" s="69"/>
      <c r="F102" s="39" t="s">
        <v>28</v>
      </c>
      <c r="G102" s="69"/>
      <c r="H102" s="69"/>
      <c r="I102" s="69"/>
      <c r="N102" s="45"/>
      <c r="O102" s="45"/>
      <c r="P102" s="45"/>
      <c r="Q102" s="45"/>
      <c r="R102" s="45"/>
      <c r="S102" s="45"/>
      <c r="T102" s="45"/>
      <c r="U102" s="45"/>
    </row>
    <row r="103" spans="1:21" x14ac:dyDescent="0.25">
      <c r="A103" s="3"/>
      <c r="B103" s="118"/>
      <c r="C103" s="564" t="s">
        <v>101</v>
      </c>
      <c r="D103" s="564"/>
      <c r="E103" s="423" t="s">
        <v>426</v>
      </c>
      <c r="F103" s="120" t="s">
        <v>106</v>
      </c>
      <c r="G103" s="121"/>
      <c r="H103" s="121"/>
      <c r="I103" s="121"/>
      <c r="N103" s="631" t="s">
        <v>35</v>
      </c>
      <c r="O103" s="631"/>
      <c r="P103" s="672" t="s">
        <v>428</v>
      </c>
      <c r="Q103" s="633"/>
      <c r="R103" s="604" t="s">
        <v>31</v>
      </c>
      <c r="S103" s="604"/>
      <c r="T103" s="604"/>
      <c r="U103" s="604"/>
    </row>
    <row r="104" spans="1:21" x14ac:dyDescent="0.25">
      <c r="A104" s="26"/>
      <c r="B104" s="52" t="s">
        <v>105</v>
      </c>
      <c r="C104" s="596">
        <f>H14+H15+H20+H23+H26</f>
        <v>591.82380000000001</v>
      </c>
      <c r="D104" s="596"/>
      <c r="E104" s="46">
        <f>H8</f>
        <v>1.0407999999999999</v>
      </c>
      <c r="F104" s="303">
        <f>'1461'!F104</f>
        <v>950.92</v>
      </c>
      <c r="G104" s="39" t="s">
        <v>12</v>
      </c>
      <c r="H104" s="101">
        <f>ROUND(C104*E104*F104,2)</f>
        <v>585738.39</v>
      </c>
      <c r="I104" s="104"/>
      <c r="N104" s="28" t="s">
        <v>17</v>
      </c>
      <c r="O104" s="47">
        <f>T14+T15+T20+T23+T26</f>
        <v>0</v>
      </c>
      <c r="P104" s="611">
        <f>T8</f>
        <v>1.0407999999999999</v>
      </c>
      <c r="Q104" s="611"/>
      <c r="R104" s="48">
        <f>F104</f>
        <v>950.92</v>
      </c>
      <c r="S104" s="40" t="s">
        <v>12</v>
      </c>
      <c r="T104" s="479">
        <f>ROUND(O104*P104*R104,2)</f>
        <v>0</v>
      </c>
      <c r="U104" s="102"/>
    </row>
    <row r="105" spans="1:21" x14ac:dyDescent="0.25">
      <c r="A105" s="49"/>
      <c r="B105" s="49" t="s">
        <v>104</v>
      </c>
      <c r="C105" s="596">
        <f>H16+H17+H21+H24+H27</f>
        <v>579.58809999999994</v>
      </c>
      <c r="D105" s="596"/>
      <c r="E105" s="46">
        <f>H8</f>
        <v>1.0407999999999999</v>
      </c>
      <c r="F105" s="303">
        <f>'1461'!F105</f>
        <v>907.92</v>
      </c>
      <c r="G105" s="39" t="s">
        <v>12</v>
      </c>
      <c r="H105" s="101">
        <f>ROUND(C105*E105*F105,2)</f>
        <v>547689.39</v>
      </c>
      <c r="N105" s="50" t="s">
        <v>13</v>
      </c>
      <c r="O105" s="47">
        <f>T16+T17+T21+T24+T27</f>
        <v>0</v>
      </c>
      <c r="P105" s="611">
        <f>T8</f>
        <v>1.0407999999999999</v>
      </c>
      <c r="Q105" s="611"/>
      <c r="R105" s="48">
        <f>F105</f>
        <v>907.92</v>
      </c>
      <c r="S105" s="40" t="s">
        <v>12</v>
      </c>
      <c r="T105" s="479">
        <f>ROUND(O105*P105*R105,2)</f>
        <v>0</v>
      </c>
      <c r="U105" s="51"/>
    </row>
    <row r="106" spans="1:21" ht="16.5" thickBot="1" x14ac:dyDescent="0.3">
      <c r="A106" s="52"/>
      <c r="B106" s="52" t="s">
        <v>103</v>
      </c>
      <c r="C106" s="596">
        <f>H18+H19+H22+H25+H28+H29</f>
        <v>0</v>
      </c>
      <c r="D106" s="596"/>
      <c r="E106" s="46">
        <f>H8</f>
        <v>1.0407999999999999</v>
      </c>
      <c r="F106" s="303">
        <f>'1461'!F106</f>
        <v>910.12</v>
      </c>
      <c r="G106" s="39" t="s">
        <v>12</v>
      </c>
      <c r="H106" s="94">
        <f>ROUND(C106*E106*F106,2)</f>
        <v>0</v>
      </c>
      <c r="N106" s="53" t="s">
        <v>14</v>
      </c>
      <c r="O106" s="54">
        <f>T18+T19+T22+T25+T28+T29</f>
        <v>0</v>
      </c>
      <c r="P106" s="611">
        <f>T8</f>
        <v>1.0407999999999999</v>
      </c>
      <c r="Q106" s="611"/>
      <c r="R106" s="48">
        <f>F106</f>
        <v>910.12</v>
      </c>
      <c r="S106" s="40" t="s">
        <v>12</v>
      </c>
      <c r="T106" s="479">
        <f>ROUND(O106*P106*R106,2)</f>
        <v>0</v>
      </c>
      <c r="U106" s="51"/>
    </row>
    <row r="107" spans="1:21" ht="16.5" thickBot="1" x14ac:dyDescent="0.3">
      <c r="A107" s="55"/>
      <c r="B107" s="122" t="s">
        <v>102</v>
      </c>
      <c r="C107" s="586">
        <f>SUM(C104:C106)</f>
        <v>1171.4119000000001</v>
      </c>
      <c r="D107" s="586"/>
      <c r="E107" s="123"/>
      <c r="F107" s="123"/>
      <c r="G107" s="123"/>
      <c r="H107" s="124" t="s">
        <v>100</v>
      </c>
      <c r="I107" s="101">
        <f>IF(A1=75,0,H106+H105+H104)</f>
        <v>1133427.78</v>
      </c>
      <c r="N107" s="56" t="s">
        <v>89</v>
      </c>
      <c r="O107" s="57">
        <f>SUM(O104:O106)</f>
        <v>0</v>
      </c>
      <c r="P107" s="612" t="s">
        <v>16</v>
      </c>
      <c r="Q107" s="613"/>
      <c r="R107" s="613"/>
      <c r="S107" s="613"/>
      <c r="T107" s="613"/>
      <c r="U107" s="473">
        <f>IF(N1=75,0,T106+T105+T104)</f>
        <v>0</v>
      </c>
    </row>
    <row r="108" spans="1:21" ht="16.5" thickTop="1" x14ac:dyDescent="0.25">
      <c r="A108" s="555" t="s">
        <v>65</v>
      </c>
      <c r="B108" s="555"/>
      <c r="C108" s="555"/>
      <c r="D108" s="555"/>
      <c r="E108" s="555"/>
      <c r="F108" s="555"/>
      <c r="G108" s="555"/>
      <c r="H108" s="555"/>
      <c r="I108" s="555"/>
      <c r="N108" s="614" t="s">
        <v>65</v>
      </c>
      <c r="O108" s="614"/>
      <c r="P108" s="614"/>
      <c r="Q108" s="614"/>
      <c r="R108" s="614"/>
      <c r="S108" s="614"/>
      <c r="T108" s="614"/>
      <c r="U108" s="614"/>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0" t="s">
        <v>499</v>
      </c>
      <c r="C110" s="43"/>
      <c r="D110" s="69"/>
      <c r="E110" s="43" t="s">
        <v>32</v>
      </c>
      <c r="F110" s="556"/>
      <c r="G110" s="556"/>
      <c r="H110" s="556"/>
      <c r="I110" s="556"/>
      <c r="N110" s="600" t="s">
        <v>499</v>
      </c>
      <c r="O110" s="601"/>
      <c r="P110" s="601"/>
      <c r="Q110" s="615"/>
      <c r="R110" s="615"/>
      <c r="S110" s="615"/>
      <c r="T110" s="615"/>
      <c r="U110" s="103"/>
    </row>
    <row r="111" spans="1:21" x14ac:dyDescent="0.25">
      <c r="B111" s="69"/>
      <c r="C111" s="88" t="s">
        <v>494</v>
      </c>
      <c r="D111" s="333" t="s">
        <v>495</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57" t="s">
        <v>381</v>
      </c>
      <c r="B113" s="558"/>
      <c r="C113" s="143">
        <v>2</v>
      </c>
      <c r="D113" s="143">
        <v>0</v>
      </c>
      <c r="E113" s="116">
        <f>(C113+D113)/2</f>
        <v>1</v>
      </c>
      <c r="F113" s="126" t="s">
        <v>30</v>
      </c>
      <c r="G113" s="304">
        <f>'1461'!G113</f>
        <v>576</v>
      </c>
      <c r="I113" s="101">
        <f>ROUND(G113*E113,2)</f>
        <v>576</v>
      </c>
      <c r="N113" s="630" t="s">
        <v>52</v>
      </c>
      <c r="O113" s="630"/>
      <c r="P113" s="610">
        <f>IF(H133=1,E113,0)</f>
        <v>0</v>
      </c>
      <c r="Q113" s="610"/>
      <c r="R113" s="610"/>
      <c r="S113" s="83" t="s">
        <v>30</v>
      </c>
      <c r="T113" s="58">
        <f>G113</f>
        <v>576</v>
      </c>
      <c r="U113" s="473">
        <f>ROUND(T113*P113,2)</f>
        <v>0</v>
      </c>
    </row>
    <row r="114" spans="1:21" x14ac:dyDescent="0.25">
      <c r="A114" s="557" t="s">
        <v>382</v>
      </c>
      <c r="B114" s="558"/>
      <c r="C114" s="143">
        <v>1</v>
      </c>
      <c r="D114" s="143">
        <v>0</v>
      </c>
      <c r="E114" s="116">
        <f>(C114+D114)/2</f>
        <v>0.5</v>
      </c>
      <c r="F114" s="126" t="s">
        <v>30</v>
      </c>
      <c r="G114" s="304">
        <f>'1461'!G114</f>
        <v>1823</v>
      </c>
      <c r="I114" s="101">
        <f>ROUND(G114*E114,2)</f>
        <v>911.5</v>
      </c>
      <c r="N114" s="630" t="s">
        <v>64</v>
      </c>
      <c r="O114" s="630"/>
      <c r="P114" s="608"/>
      <c r="Q114" s="608"/>
      <c r="R114" s="608"/>
      <c r="S114" s="83" t="s">
        <v>30</v>
      </c>
      <c r="T114" s="58">
        <f>G114</f>
        <v>1823</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4" t="s">
        <v>430</v>
      </c>
      <c r="B117" s="578"/>
      <c r="C117" s="578"/>
      <c r="D117" s="69"/>
      <c r="E117" s="39" t="s">
        <v>300</v>
      </c>
      <c r="F117" s="563"/>
      <c r="G117" s="563"/>
      <c r="H117" s="563"/>
      <c r="I117" s="563"/>
      <c r="N117" s="600" t="s">
        <v>431</v>
      </c>
      <c r="O117" s="601"/>
      <c r="P117" s="601"/>
      <c r="Q117" s="601"/>
      <c r="R117" s="601"/>
      <c r="S117" s="601"/>
      <c r="T117" s="601"/>
      <c r="U117" s="601"/>
    </row>
    <row r="118" spans="1:21" hidden="1" x14ac:dyDescent="0.25">
      <c r="B118" s="69"/>
      <c r="C118" s="564" t="s">
        <v>66</v>
      </c>
      <c r="D118" s="564"/>
      <c r="E118" s="564"/>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5" t="s">
        <v>109</v>
      </c>
      <c r="G119" s="563"/>
      <c r="H119" s="37" t="s">
        <v>29</v>
      </c>
      <c r="I119" s="37"/>
      <c r="N119" s="45"/>
      <c r="O119" s="45"/>
      <c r="P119" s="45"/>
      <c r="Q119" s="45"/>
      <c r="R119" s="45"/>
      <c r="S119" s="45"/>
      <c r="T119" s="45"/>
      <c r="U119" s="45"/>
    </row>
    <row r="120" spans="1:21" hidden="1" x14ac:dyDescent="0.25">
      <c r="A120" s="564" t="s">
        <v>69</v>
      </c>
      <c r="B120" s="564"/>
      <c r="C120" s="90" t="s">
        <v>2</v>
      </c>
      <c r="D120" s="90" t="s">
        <v>2</v>
      </c>
      <c r="E120" s="59" t="s">
        <v>2</v>
      </c>
      <c r="F120" s="564" t="s">
        <v>28</v>
      </c>
      <c r="G120" s="564"/>
      <c r="H120" s="59" t="s">
        <v>28</v>
      </c>
      <c r="I120" s="59" t="s">
        <v>8</v>
      </c>
      <c r="N120" s="609" t="s">
        <v>53</v>
      </c>
      <c r="O120" s="609"/>
      <c r="P120" s="610" t="s">
        <v>66</v>
      </c>
      <c r="Q120" s="610"/>
      <c r="R120" s="609" t="s">
        <v>54</v>
      </c>
      <c r="S120" s="609"/>
      <c r="T120" s="60" t="s">
        <v>55</v>
      </c>
      <c r="U120" s="60" t="s">
        <v>8</v>
      </c>
    </row>
    <row r="121" spans="1:21" hidden="1" x14ac:dyDescent="0.25">
      <c r="A121" s="561" t="s">
        <v>56</v>
      </c>
      <c r="B121" s="561"/>
      <c r="C121" s="141">
        <v>0</v>
      </c>
      <c r="D121" s="141">
        <v>0</v>
      </c>
      <c r="E121" s="187">
        <f>IF(D30=0,C121*2,C121+D121)</f>
        <v>0</v>
      </c>
      <c r="F121" s="562">
        <v>0</v>
      </c>
      <c r="G121" s="562"/>
      <c r="H121" s="224">
        <f>IF(C121=0,0,125)</f>
        <v>0</v>
      </c>
      <c r="I121" s="101">
        <f>ROUND((H121+F121)*E121,2)</f>
        <v>0</v>
      </c>
      <c r="N121" s="601" t="s">
        <v>56</v>
      </c>
      <c r="O121" s="601"/>
      <c r="P121" s="608">
        <f>IF(H$133=1,C121,0)</f>
        <v>0</v>
      </c>
      <c r="Q121" s="608"/>
      <c r="R121" s="628">
        <f>F121</f>
        <v>0</v>
      </c>
      <c r="S121" s="628"/>
      <c r="T121" s="62">
        <f>H121</f>
        <v>0</v>
      </c>
      <c r="U121" s="96">
        <f>ROUND((T121+R121)*P121,0)</f>
        <v>0</v>
      </c>
    </row>
    <row r="122" spans="1:21" hidden="1" x14ac:dyDescent="0.25">
      <c r="A122" s="581" t="s">
        <v>57</v>
      </c>
      <c r="B122" s="581"/>
      <c r="C122" s="143">
        <v>0</v>
      </c>
      <c r="D122" s="143">
        <v>0</v>
      </c>
      <c r="E122" s="116">
        <f>IF(D31=0,C122*2,C122+D122)</f>
        <v>0</v>
      </c>
      <c r="F122" s="598">
        <f>ROUND(F121/2,2)</f>
        <v>0</v>
      </c>
      <c r="G122" s="598"/>
      <c r="H122" s="224">
        <f>IF(C122=0,0,62.5)</f>
        <v>0</v>
      </c>
      <c r="I122" s="101">
        <f>ROUND((H122+F122)*E122,2)</f>
        <v>0</v>
      </c>
      <c r="N122" s="601" t="s">
        <v>57</v>
      </c>
      <c r="O122" s="601"/>
      <c r="P122" s="608">
        <f>IF(H$133=1,C122,0)</f>
        <v>0</v>
      </c>
      <c r="Q122" s="608"/>
      <c r="R122" s="629">
        <f>ROUND(R121/2,2)</f>
        <v>0</v>
      </c>
      <c r="S122" s="629"/>
      <c r="T122" s="62">
        <f>H122</f>
        <v>0</v>
      </c>
      <c r="U122" s="96">
        <f>ROUND((T122+R122)*P122,0)</f>
        <v>0</v>
      </c>
    </row>
    <row r="123" spans="1:21" ht="16.5" hidden="1" thickBot="1" x14ac:dyDescent="0.3">
      <c r="A123" s="581" t="s">
        <v>58</v>
      </c>
      <c r="B123" s="581"/>
      <c r="C123" s="143">
        <v>0</v>
      </c>
      <c r="D123" s="143">
        <v>0</v>
      </c>
      <c r="E123" s="116">
        <f>IF(D32=0,C123*2,C123+D123)</f>
        <v>0</v>
      </c>
      <c r="F123" s="599"/>
      <c r="G123" s="599"/>
      <c r="H123" s="225">
        <f>IF(H121&gt;0,436,0)</f>
        <v>0</v>
      </c>
      <c r="I123" s="101">
        <f>ROUND(H123*E123,2)</f>
        <v>0</v>
      </c>
      <c r="N123" s="616" t="s">
        <v>58</v>
      </c>
      <c r="O123" s="616"/>
      <c r="P123" s="608">
        <f>IF(H$133=1,C123,0)</f>
        <v>0</v>
      </c>
      <c r="Q123" s="608"/>
      <c r="R123" s="609"/>
      <c r="S123" s="609"/>
      <c r="T123" s="64">
        <f>H123</f>
        <v>0</v>
      </c>
      <c r="U123" s="103">
        <f>ROUND(T123*P123,0)</f>
        <v>0</v>
      </c>
    </row>
    <row r="124" spans="1:21" ht="16.5" hidden="1" thickBot="1" x14ac:dyDescent="0.3">
      <c r="A124" s="563" t="s">
        <v>8</v>
      </c>
      <c r="B124" s="563"/>
      <c r="C124" s="65"/>
      <c r="D124" s="65"/>
      <c r="E124" s="65"/>
      <c r="F124" s="65"/>
      <c r="G124" s="65"/>
      <c r="H124" s="65"/>
      <c r="I124" s="97">
        <f>SUM(I121:I123)</f>
        <v>0</v>
      </c>
      <c r="N124" s="627" t="s">
        <v>8</v>
      </c>
      <c r="O124" s="627"/>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4" t="s">
        <v>432</v>
      </c>
      <c r="B126" s="578"/>
      <c r="C126" s="578"/>
      <c r="D126" s="69"/>
      <c r="E126" s="68" t="s">
        <v>34</v>
      </c>
      <c r="F126" s="597"/>
      <c r="G126" s="597"/>
      <c r="H126" s="597"/>
      <c r="I126" s="154">
        <v>0</v>
      </c>
      <c r="N126" s="600" t="s">
        <v>432</v>
      </c>
      <c r="O126" s="601"/>
      <c r="P126" s="601"/>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90" t="s">
        <v>8</v>
      </c>
      <c r="B128" s="590"/>
      <c r="C128" s="590"/>
      <c r="D128" s="590"/>
      <c r="E128" s="590"/>
      <c r="F128" s="590"/>
      <c r="G128" s="590"/>
      <c r="H128" s="590"/>
      <c r="I128" s="94">
        <f>SUM(I46,I66,I85,I88,I90,I92,I94,I96,I107,I113,I114,I124,I126)</f>
        <v>9435149.0599999987</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434</v>
      </c>
      <c r="B130" s="26"/>
      <c r="C130" s="26"/>
      <c r="D130" s="26"/>
      <c r="E130" s="26"/>
      <c r="F130" s="26"/>
      <c r="G130" s="26"/>
      <c r="H130" s="26"/>
      <c r="I130" s="101">
        <f>I128-I53</f>
        <v>9049725.1399999987</v>
      </c>
      <c r="N130" s="601" t="s">
        <v>434</v>
      </c>
      <c r="O130" s="601"/>
      <c r="P130" s="601"/>
      <c r="Q130" s="601"/>
      <c r="R130" s="601"/>
      <c r="S130" s="601"/>
      <c r="T130" s="601"/>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4" t="s">
        <v>502</v>
      </c>
      <c r="B132" s="578"/>
      <c r="C132" s="578"/>
      <c r="D132" s="578"/>
      <c r="E132" s="578"/>
      <c r="F132" s="578"/>
      <c r="G132" s="578"/>
      <c r="H132" s="81" t="s">
        <v>333</v>
      </c>
      <c r="I132" s="134"/>
      <c r="N132" s="600" t="s">
        <v>502</v>
      </c>
      <c r="O132" s="601"/>
      <c r="P132" s="601"/>
      <c r="Q132" s="601"/>
      <c r="R132" s="601"/>
      <c r="S132" s="601"/>
      <c r="T132" s="601"/>
      <c r="U132" s="138"/>
    </row>
    <row r="133" spans="1:21" x14ac:dyDescent="0.25">
      <c r="A133" s="578" t="s">
        <v>70</v>
      </c>
      <c r="B133" s="578"/>
      <c r="C133" s="578"/>
      <c r="D133" s="578"/>
      <c r="E133" s="578"/>
      <c r="F133" s="578"/>
      <c r="G133" s="578"/>
      <c r="H133" s="70" t="str">
        <f>IF(E30=0,"",IF((E15+E17+SUM(E19:E25))/E30&gt;0.75,1,""))</f>
        <v/>
      </c>
      <c r="I133" s="116">
        <f>U130</f>
        <v>0</v>
      </c>
      <c r="N133" s="601" t="s">
        <v>70</v>
      </c>
      <c r="O133" s="601"/>
      <c r="P133" s="601"/>
      <c r="Q133" s="601"/>
      <c r="R133" s="601"/>
      <c r="S133" s="601"/>
      <c r="T133" s="601"/>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9049725.1399999987</v>
      </c>
      <c r="I135" s="94">
        <f>ROUND(IF(E30=0,0,IF(E30&gt;250,-(((250/E30)*H135)*IF(G135="H",0.02,0.05)),IF(G135="H",-0.02*H135,-0.05*H135))),2)</f>
        <v>-104763.53</v>
      </c>
      <c r="N135" s="626"/>
      <c r="O135" s="626"/>
      <c r="P135" s="626"/>
      <c r="Q135" s="626"/>
      <c r="R135" s="626"/>
      <c r="S135" s="626"/>
      <c r="T135" s="626"/>
      <c r="U135" s="626"/>
    </row>
    <row r="136" spans="1:21" x14ac:dyDescent="0.25">
      <c r="B136" s="69"/>
      <c r="C136" s="69"/>
      <c r="D136" s="69"/>
      <c r="E136" s="69"/>
      <c r="F136" s="69"/>
      <c r="G136" s="69"/>
      <c r="H136" s="65"/>
      <c r="I136" s="101"/>
      <c r="N136" s="624" t="s">
        <v>7</v>
      </c>
      <c r="O136" s="624"/>
      <c r="P136" s="624"/>
      <c r="Q136" s="624"/>
      <c r="R136" s="624"/>
      <c r="S136" s="624"/>
      <c r="T136" s="624"/>
      <c r="U136" s="624"/>
    </row>
    <row r="137" spans="1:21" x14ac:dyDescent="0.25">
      <c r="A137" s="309" t="s">
        <v>74</v>
      </c>
      <c r="B137" s="310"/>
      <c r="C137" s="310"/>
      <c r="D137" s="310"/>
      <c r="E137" s="310"/>
      <c r="F137" s="310"/>
      <c r="G137" s="310"/>
      <c r="H137" s="311"/>
      <c r="I137" s="312">
        <f>I128+I135</f>
        <v>9330385.5299999993</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Payments'!Q96</f>
        <v>0</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9330385.5299999993</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777532.13</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347722.73</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372</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373</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374</v>
      </c>
      <c r="B155" s="252"/>
      <c r="C155" s="252"/>
      <c r="D155" s="252"/>
      <c r="E155" s="252"/>
      <c r="F155" s="252"/>
      <c r="G155" s="252"/>
      <c r="H155" s="252"/>
      <c r="I155" s="252"/>
      <c r="N155" s="625"/>
      <c r="O155" s="625"/>
      <c r="P155" s="625"/>
      <c r="Q155" s="625"/>
      <c r="R155" s="625"/>
      <c r="S155" s="625"/>
      <c r="T155" s="625"/>
      <c r="U155" s="625"/>
    </row>
    <row r="156" spans="1:21" s="76" customFormat="1" x14ac:dyDescent="0.2">
      <c r="A156" s="320" t="s">
        <v>375</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376</v>
      </c>
      <c r="B157" s="252"/>
      <c r="C157" s="252"/>
      <c r="D157" s="252"/>
      <c r="E157" s="252"/>
      <c r="F157" s="252"/>
      <c r="G157" s="252"/>
      <c r="H157" s="252"/>
      <c r="I157" s="252"/>
      <c r="N157" s="78"/>
      <c r="O157" s="79"/>
      <c r="P157" s="79"/>
      <c r="Q157" s="79"/>
      <c r="R157" s="79"/>
      <c r="S157" s="79"/>
      <c r="T157" s="79"/>
      <c r="U157" s="79"/>
    </row>
    <row r="158" spans="1:21" s="76" customFormat="1" x14ac:dyDescent="0.2">
      <c r="A158" s="320" t="s">
        <v>377</v>
      </c>
      <c r="B158" s="252"/>
      <c r="C158" s="252"/>
      <c r="D158" s="252"/>
      <c r="E158" s="252"/>
      <c r="F158" s="252"/>
      <c r="G158" s="252"/>
      <c r="H158" s="252"/>
      <c r="I158" s="252"/>
      <c r="N158" s="78"/>
    </row>
    <row r="159" spans="1:21" s="76" customFormat="1" x14ac:dyDescent="0.2">
      <c r="A159" s="320" t="s">
        <v>379</v>
      </c>
      <c r="B159" s="252"/>
      <c r="C159" s="252"/>
      <c r="D159" s="252"/>
      <c r="E159" s="252"/>
      <c r="F159" s="252"/>
      <c r="G159" s="252"/>
      <c r="H159" s="252"/>
      <c r="I159" s="252"/>
      <c r="N159" s="78"/>
    </row>
    <row r="160" spans="1:21" s="76" customFormat="1" x14ac:dyDescent="0.2">
      <c r="A160" s="385" t="s">
        <v>378</v>
      </c>
      <c r="B160" s="252"/>
      <c r="C160" s="252"/>
      <c r="D160" s="252"/>
      <c r="E160" s="252"/>
      <c r="F160" s="252"/>
      <c r="G160" s="252"/>
      <c r="H160" s="252"/>
      <c r="I160" s="252"/>
      <c r="N160" s="78"/>
    </row>
    <row r="161" spans="1:14" s="76" customFormat="1" x14ac:dyDescent="0.2">
      <c r="A161" s="320" t="s">
        <v>380</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383</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385</v>
      </c>
      <c r="B165" s="293"/>
      <c r="C165" s="293"/>
      <c r="D165" s="293"/>
      <c r="E165" s="293"/>
      <c r="F165" s="293"/>
      <c r="G165" s="293"/>
      <c r="H165" s="293"/>
      <c r="I165" s="293"/>
      <c r="N165" s="78"/>
    </row>
    <row r="166" spans="1:14" s="76" customFormat="1" ht="15.75" customHeight="1" x14ac:dyDescent="0.2">
      <c r="A166" s="351" t="s">
        <v>384</v>
      </c>
      <c r="B166" s="293"/>
      <c r="C166" s="293"/>
      <c r="D166" s="293"/>
      <c r="E166" s="293"/>
      <c r="F166" s="293"/>
      <c r="G166" s="293"/>
      <c r="H166" s="293"/>
      <c r="I166" s="293"/>
      <c r="N166" s="78"/>
    </row>
    <row r="167" spans="1:14" s="76" customFormat="1" ht="15.75" customHeight="1" x14ac:dyDescent="0.2">
      <c r="A167" s="320" t="s">
        <v>386</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388</v>
      </c>
      <c r="B169" s="343"/>
      <c r="C169" s="343"/>
      <c r="D169" s="343"/>
      <c r="E169" s="343"/>
      <c r="F169" s="343"/>
      <c r="G169" s="343"/>
      <c r="H169" s="343"/>
      <c r="I169" s="343"/>
      <c r="N169" s="78"/>
    </row>
    <row r="170" spans="1:14" s="76" customFormat="1" ht="15.75" customHeight="1" x14ac:dyDescent="0.2">
      <c r="A170" s="351" t="s">
        <v>387</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389</v>
      </c>
      <c r="B175" s="293"/>
      <c r="C175" s="293"/>
      <c r="D175" s="293"/>
      <c r="E175" s="293"/>
      <c r="F175" s="293"/>
      <c r="G175" s="293"/>
      <c r="H175" s="293"/>
      <c r="I175" s="293"/>
      <c r="J175" s="3"/>
      <c r="K175" s="3"/>
      <c r="L175" s="3"/>
      <c r="M175" s="3"/>
      <c r="N175" s="78"/>
    </row>
    <row r="176" spans="1:14" s="76" customFormat="1" ht="15.75" customHeight="1" x14ac:dyDescent="0.2">
      <c r="A176" s="361" t="s">
        <v>390</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F26:G26"/>
    <mergeCell ref="N26:O26"/>
    <mergeCell ref="P26:Q26"/>
    <mergeCell ref="R26:S26"/>
    <mergeCell ref="A27:B27"/>
    <mergeCell ref="F27:G27"/>
    <mergeCell ref="N27:O27"/>
    <mergeCell ref="P27:Q27"/>
    <mergeCell ref="R27:S27"/>
    <mergeCell ref="A26:B26"/>
    <mergeCell ref="N24:O24"/>
    <mergeCell ref="P24:Q24"/>
    <mergeCell ref="R24:S24"/>
    <mergeCell ref="A25:B25"/>
    <mergeCell ref="F25:G25"/>
    <mergeCell ref="N25:O25"/>
    <mergeCell ref="P25:Q25"/>
    <mergeCell ref="R25:S25"/>
    <mergeCell ref="A24:B24"/>
    <mergeCell ref="F24:G24"/>
    <mergeCell ref="N22:O22"/>
    <mergeCell ref="P22:Q22"/>
    <mergeCell ref="R22:S22"/>
    <mergeCell ref="A23:B23"/>
    <mergeCell ref="F23:G23"/>
    <mergeCell ref="N23:O23"/>
    <mergeCell ref="P23:Q23"/>
    <mergeCell ref="R23:S23"/>
    <mergeCell ref="A22:B22"/>
    <mergeCell ref="F22:G22"/>
    <mergeCell ref="N20:O20"/>
    <mergeCell ref="P20:Q20"/>
    <mergeCell ref="R20:S20"/>
    <mergeCell ref="A21:B21"/>
    <mergeCell ref="F21:G21"/>
    <mergeCell ref="N21:O21"/>
    <mergeCell ref="P21:Q21"/>
    <mergeCell ref="R21:S21"/>
    <mergeCell ref="A20:B20"/>
    <mergeCell ref="F20:G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2">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6" t="s">
        <v>15</v>
      </c>
      <c r="C1" s="567"/>
      <c r="D1" s="567"/>
      <c r="E1" s="567"/>
      <c r="F1" s="567"/>
      <c r="G1" s="567"/>
      <c r="H1" s="567"/>
      <c r="I1" s="567"/>
      <c r="J1" s="135"/>
      <c r="K1" s="135"/>
      <c r="L1" s="135"/>
      <c r="N1" s="82">
        <f>A1</f>
        <v>0</v>
      </c>
      <c r="O1" s="658" t="s">
        <v>15</v>
      </c>
      <c r="P1" s="659"/>
      <c r="Q1" s="659"/>
      <c r="R1" s="659"/>
      <c r="S1" s="659"/>
      <c r="T1" s="659"/>
      <c r="U1" s="659"/>
    </row>
    <row r="2" spans="1:21" ht="21" x14ac:dyDescent="0.35">
      <c r="A2" s="1" t="s">
        <v>131</v>
      </c>
      <c r="B2" s="2"/>
      <c r="C2" s="2"/>
      <c r="D2" s="2"/>
      <c r="E2" s="2"/>
      <c r="F2" s="2"/>
      <c r="G2" s="2"/>
      <c r="H2" s="2"/>
      <c r="I2" s="2"/>
      <c r="N2" s="660" t="s">
        <v>18</v>
      </c>
      <c r="O2" s="660"/>
      <c r="P2" s="660"/>
      <c r="Q2" s="660"/>
      <c r="R2" s="660"/>
      <c r="S2" s="660"/>
      <c r="T2" s="660"/>
      <c r="U2" s="660"/>
    </row>
    <row r="3" spans="1:21" x14ac:dyDescent="0.25">
      <c r="A3" s="81" t="str">
        <f>'1461'!A3</f>
        <v>Based on the FLDOE 2024-25 Conference Calculation</v>
      </c>
      <c r="N3" s="627" t="str">
        <f>A3</f>
        <v>Based on the FLDOE 2024-25 Conference Calculation</v>
      </c>
      <c r="O3" s="627"/>
      <c r="P3" s="627"/>
      <c r="Q3" s="627"/>
      <c r="R3" s="627"/>
      <c r="S3" s="627"/>
      <c r="T3" s="627"/>
      <c r="U3" s="627"/>
    </row>
    <row r="4" spans="1:21" x14ac:dyDescent="0.25">
      <c r="A4" s="568" t="s">
        <v>0</v>
      </c>
      <c r="B4" s="568"/>
      <c r="C4" s="569" t="s">
        <v>9</v>
      </c>
      <c r="D4" s="569"/>
      <c r="E4" s="569"/>
      <c r="F4" s="4" t="str">
        <f>'1461'!F4</f>
        <v>July 2024</v>
      </c>
      <c r="G4" s="4"/>
      <c r="H4" s="4"/>
      <c r="I4" s="4"/>
      <c r="N4" s="661" t="s">
        <v>0</v>
      </c>
      <c r="O4" s="661"/>
      <c r="P4" s="662" t="str">
        <f>C4</f>
        <v>Palm Beach</v>
      </c>
      <c r="Q4" s="662"/>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70" t="s">
        <v>433</v>
      </c>
      <c r="B7" s="664"/>
      <c r="C7" s="664"/>
      <c r="D7" s="664"/>
      <c r="E7" s="664"/>
      <c r="F7" s="664"/>
      <c r="G7" s="664"/>
      <c r="H7" s="664"/>
      <c r="I7" s="664"/>
      <c r="N7" s="661" t="str">
        <f>A7</f>
        <v>1A.   2023-24 FEFP State and Local Funding</v>
      </c>
      <c r="O7" s="661"/>
      <c r="P7" s="661"/>
      <c r="Q7" s="661"/>
      <c r="R7" s="661"/>
      <c r="S7" s="661"/>
      <c r="T7" s="661"/>
      <c r="U7" s="661"/>
    </row>
    <row r="8" spans="1:21" x14ac:dyDescent="0.25">
      <c r="A8" s="84"/>
      <c r="B8" s="85" t="s">
        <v>92</v>
      </c>
      <c r="C8" s="299">
        <f>'1461'!C8</f>
        <v>5330.98</v>
      </c>
      <c r="D8" s="86"/>
      <c r="E8" s="87"/>
      <c r="F8" s="84"/>
      <c r="G8" s="85" t="s">
        <v>393</v>
      </c>
      <c r="H8" s="287">
        <f>'1461'!H8</f>
        <v>1.0407999999999999</v>
      </c>
      <c r="I8" s="75"/>
      <c r="N8" s="665" t="s">
        <v>10</v>
      </c>
      <c r="O8" s="665"/>
      <c r="P8" s="666">
        <f>C8</f>
        <v>5330.98</v>
      </c>
      <c r="Q8" s="666"/>
      <c r="R8" s="648" t="s">
        <v>394</v>
      </c>
      <c r="S8" s="649"/>
      <c r="T8" s="650">
        <f>H8</f>
        <v>1.0407999999999999</v>
      </c>
      <c r="U8" s="650"/>
    </row>
    <row r="9" spans="1:21" x14ac:dyDescent="0.25">
      <c r="A9" s="84"/>
      <c r="B9" s="85"/>
      <c r="C9" s="222"/>
      <c r="D9" s="86"/>
      <c r="E9" s="87"/>
      <c r="F9" s="84"/>
      <c r="G9" s="85" t="s">
        <v>391</v>
      </c>
      <c r="H9" s="287">
        <f>'1461'!H9</f>
        <v>1</v>
      </c>
      <c r="I9" s="75"/>
      <c r="N9" s="12"/>
      <c r="O9" s="12"/>
      <c r="P9" s="13"/>
      <c r="Q9" s="13"/>
      <c r="R9" s="387" t="s">
        <v>392</v>
      </c>
      <c r="S9" s="384"/>
      <c r="T9" s="650">
        <f>H9</f>
        <v>1</v>
      </c>
      <c r="U9" s="650"/>
    </row>
    <row r="10" spans="1:21" x14ac:dyDescent="0.25">
      <c r="A10" s="7"/>
      <c r="B10" s="42" t="s">
        <v>310</v>
      </c>
      <c r="C10" s="334" t="str">
        <f>'1461'!C10</f>
        <v xml:space="preserve"> </v>
      </c>
      <c r="D10" s="334" t="str">
        <f>'1461'!D10</f>
        <v xml:space="preserve"> </v>
      </c>
      <c r="E10" s="8"/>
      <c r="F10" s="9"/>
      <c r="G10" s="9"/>
      <c r="H10" s="10"/>
      <c r="I10" s="305" t="str">
        <f>'1461'!I10</f>
        <v>2024-25</v>
      </c>
      <c r="N10" s="12"/>
      <c r="O10" s="12"/>
      <c r="P10" s="13"/>
      <c r="Q10" s="13"/>
      <c r="R10" s="14"/>
      <c r="S10" s="14"/>
      <c r="T10" s="15"/>
      <c r="U10" s="366" t="str">
        <f>I10</f>
        <v>2024-25</v>
      </c>
    </row>
    <row r="11" spans="1:21" x14ac:dyDescent="0.25">
      <c r="A11" s="7"/>
      <c r="B11" s="7"/>
      <c r="C11" s="88" t="str">
        <f>'1461'!C11</f>
        <v>Oct 2023</v>
      </c>
      <c r="D11" s="333" t="str">
        <f>'1461'!D11</f>
        <v>Feb 2024</v>
      </c>
      <c r="E11" s="89" t="s">
        <v>8</v>
      </c>
      <c r="F11" s="571" t="s">
        <v>1</v>
      </c>
      <c r="G11" s="571"/>
      <c r="H11" s="10" t="s">
        <v>60</v>
      </c>
      <c r="I11" s="11" t="s">
        <v>27</v>
      </c>
      <c r="N11" s="12"/>
      <c r="O11" s="12"/>
      <c r="P11" s="13"/>
      <c r="Q11" s="13"/>
      <c r="R11" s="651" t="s">
        <v>1</v>
      </c>
      <c r="S11" s="651"/>
      <c r="T11" s="15" t="s">
        <v>60</v>
      </c>
      <c r="U11" s="16" t="s">
        <v>27</v>
      </c>
    </row>
    <row r="12" spans="1:21" ht="15.75" customHeight="1" x14ac:dyDescent="0.25">
      <c r="A12" s="572" t="s">
        <v>1</v>
      </c>
      <c r="B12" s="572"/>
      <c r="C12" s="324" t="str">
        <f>'1461'!C12</f>
        <v>FTE</v>
      </c>
      <c r="D12" s="324" t="str">
        <f>'1461'!D12</f>
        <v>FTE</v>
      </c>
      <c r="E12" s="324" t="s">
        <v>2</v>
      </c>
      <c r="F12" s="573" t="s">
        <v>63</v>
      </c>
      <c r="G12" s="573"/>
      <c r="H12" s="17" t="s">
        <v>59</v>
      </c>
      <c r="I12" s="388" t="s">
        <v>395</v>
      </c>
      <c r="N12" s="639" t="s">
        <v>1</v>
      </c>
      <c r="O12" s="639"/>
      <c r="P12" s="652" t="s">
        <v>19</v>
      </c>
      <c r="Q12" s="652"/>
      <c r="R12" s="653" t="s">
        <v>63</v>
      </c>
      <c r="S12" s="653"/>
      <c r="T12" s="18" t="s">
        <v>59</v>
      </c>
      <c r="U12" s="19" t="str">
        <f>I12</f>
        <v>(WFTE x BSA x CWF x SDF)</v>
      </c>
    </row>
    <row r="13" spans="1:21" x14ac:dyDescent="0.25">
      <c r="A13" s="574" t="s">
        <v>36</v>
      </c>
      <c r="B13" s="574"/>
      <c r="C13" s="91"/>
      <c r="D13" s="91"/>
      <c r="E13" s="92" t="s">
        <v>37</v>
      </c>
      <c r="F13" s="575" t="s">
        <v>38</v>
      </c>
      <c r="G13" s="575"/>
      <c r="H13" s="20" t="s">
        <v>39</v>
      </c>
      <c r="I13" s="21" t="s">
        <v>40</v>
      </c>
      <c r="N13" s="654" t="s">
        <v>36</v>
      </c>
      <c r="O13" s="654"/>
      <c r="P13" s="655" t="s">
        <v>37</v>
      </c>
      <c r="Q13" s="655"/>
      <c r="R13" s="656" t="s">
        <v>38</v>
      </c>
      <c r="S13" s="656"/>
      <c r="T13" s="22" t="s">
        <v>39</v>
      </c>
      <c r="U13" s="23" t="s">
        <v>40</v>
      </c>
    </row>
    <row r="14" spans="1:21" x14ac:dyDescent="0.25">
      <c r="A14" s="576" t="s">
        <v>20</v>
      </c>
      <c r="B14" s="576"/>
      <c r="C14" s="143">
        <v>0</v>
      </c>
      <c r="D14" s="141">
        <v>0</v>
      </c>
      <c r="E14" s="187">
        <f>IF(D$30=0,C14*2,C14+D14)</f>
        <v>0</v>
      </c>
      <c r="F14" s="667">
        <f>'1461'!F14:G14</f>
        <v>1.1180000000000001</v>
      </c>
      <c r="G14" s="667"/>
      <c r="H14" s="145">
        <f>ROUND(E14*F14,4)</f>
        <v>0</v>
      </c>
      <c r="I14" s="111">
        <f>ROUND(ROUND(ROUND(H14*$C$8,4)*($H$8),2)*(MAX($H$9,1)),2)</f>
        <v>0</v>
      </c>
      <c r="N14" s="641" t="s">
        <v>20</v>
      </c>
      <c r="O14" s="641"/>
      <c r="P14" s="642">
        <f t="shared" ref="P14:P29" si="0">IF($H$133=1,E14,0)</f>
        <v>0</v>
      </c>
      <c r="Q14" s="642"/>
      <c r="R14" s="657">
        <v>1</v>
      </c>
      <c r="S14" s="657"/>
      <c r="T14" s="95">
        <f>ROUND(P14*R14,4)</f>
        <v>0</v>
      </c>
      <c r="U14" s="473">
        <f>ROUND(ROUND(ROUND(T14*$C$8,4)*($H$8),2)*(MAX($H$9,1)),2)</f>
        <v>0</v>
      </c>
    </row>
    <row r="15" spans="1:21" x14ac:dyDescent="0.25">
      <c r="A15" s="578" t="s">
        <v>21</v>
      </c>
      <c r="B15" s="578"/>
      <c r="C15" s="143">
        <v>0</v>
      </c>
      <c r="D15" s="143">
        <v>0</v>
      </c>
      <c r="E15" s="116">
        <f t="shared" ref="E15:E29" si="1">IF(D$30=0,C15*2,C15+D15)</f>
        <v>0</v>
      </c>
      <c r="F15" s="663">
        <f>'1461'!F15:G15</f>
        <v>1.1180000000000001</v>
      </c>
      <c r="G15" s="663"/>
      <c r="H15" s="80">
        <f t="shared" ref="H15:H29" si="2">ROUND(E15*F15,4)</f>
        <v>0</v>
      </c>
      <c r="I15" s="101">
        <f t="shared" ref="I15:I29" si="3">ROUND(ROUND(ROUND(H15*$C$8,4)*($H$8),2)*(MAX($H$9,1)),2)</f>
        <v>0</v>
      </c>
      <c r="J15" s="65" t="str">
        <f>IF(ROUND(E15,2)=ROUND(SUM(E57:E59),2)," ","CHECK PK-3 LINES BELOW")</f>
        <v xml:space="preserve"> </v>
      </c>
      <c r="N15" s="601" t="s">
        <v>21</v>
      </c>
      <c r="O15" s="601"/>
      <c r="P15" s="642">
        <f t="shared" si="0"/>
        <v>0</v>
      </c>
      <c r="Q15" s="642"/>
      <c r="R15" s="647">
        <v>1</v>
      </c>
      <c r="S15" s="647"/>
      <c r="T15" s="95">
        <f t="shared" ref="T15:T29" si="4">ROUND(P15*R15,4)</f>
        <v>0</v>
      </c>
      <c r="U15" s="473">
        <f t="shared" ref="U15:U29" si="5">ROUND(ROUND(ROUND(T15*$C$8,4)*($H$8),2)*(MAX($H$9,1)),2)</f>
        <v>0</v>
      </c>
    </row>
    <row r="16" spans="1:21" x14ac:dyDescent="0.25">
      <c r="A16" s="578" t="s">
        <v>22</v>
      </c>
      <c r="B16" s="578"/>
      <c r="C16" s="143">
        <v>264.45</v>
      </c>
      <c r="D16" s="143">
        <v>272.39999999999998</v>
      </c>
      <c r="E16" s="116">
        <f t="shared" si="1"/>
        <v>536.84999999999991</v>
      </c>
      <c r="F16" s="663">
        <f>'1461'!F16:G16</f>
        <v>1</v>
      </c>
      <c r="G16" s="663"/>
      <c r="H16" s="80">
        <f t="shared" si="2"/>
        <v>536.85</v>
      </c>
      <c r="I16" s="101">
        <f t="shared" si="3"/>
        <v>2978703.63</v>
      </c>
      <c r="N16" s="601" t="s">
        <v>22</v>
      </c>
      <c r="O16" s="601"/>
      <c r="P16" s="642">
        <f t="shared" si="0"/>
        <v>0</v>
      </c>
      <c r="Q16" s="642"/>
      <c r="R16" s="647">
        <v>1</v>
      </c>
      <c r="S16" s="647"/>
      <c r="T16" s="95">
        <f t="shared" si="4"/>
        <v>0</v>
      </c>
      <c r="U16" s="473">
        <f t="shared" si="5"/>
        <v>0</v>
      </c>
    </row>
    <row r="17" spans="1:21" x14ac:dyDescent="0.25">
      <c r="A17" s="578" t="s">
        <v>23</v>
      </c>
      <c r="B17" s="578"/>
      <c r="C17" s="143">
        <v>53</v>
      </c>
      <c r="D17" s="143">
        <v>52.98</v>
      </c>
      <c r="E17" s="116">
        <f t="shared" si="1"/>
        <v>105.97999999999999</v>
      </c>
      <c r="F17" s="663">
        <f>'1461'!F17:G17</f>
        <v>1</v>
      </c>
      <c r="G17" s="663"/>
      <c r="H17" s="80">
        <f t="shared" si="2"/>
        <v>105.98</v>
      </c>
      <c r="I17" s="101">
        <f t="shared" si="3"/>
        <v>588028.32999999996</v>
      </c>
      <c r="J17" s="65" t="str">
        <f>IF(ROUND(E17,2)=ROUND(SUM(E60:E62),2)," ","CHECK 4-8 LINES BELOW")</f>
        <v xml:space="preserve"> </v>
      </c>
      <c r="N17" s="601" t="s">
        <v>23</v>
      </c>
      <c r="O17" s="601"/>
      <c r="P17" s="642">
        <f t="shared" si="0"/>
        <v>0</v>
      </c>
      <c r="Q17" s="642"/>
      <c r="R17" s="647">
        <v>1</v>
      </c>
      <c r="S17" s="647"/>
      <c r="T17" s="95">
        <f t="shared" si="4"/>
        <v>0</v>
      </c>
      <c r="U17" s="473">
        <f t="shared" si="5"/>
        <v>0</v>
      </c>
    </row>
    <row r="18" spans="1:21" x14ac:dyDescent="0.25">
      <c r="A18" s="578" t="s">
        <v>24</v>
      </c>
      <c r="B18" s="578"/>
      <c r="C18" s="143">
        <v>0</v>
      </c>
      <c r="D18" s="143">
        <v>0</v>
      </c>
      <c r="E18" s="116">
        <f t="shared" si="1"/>
        <v>0</v>
      </c>
      <c r="F18" s="663">
        <f>'1461'!F18:G18</f>
        <v>0.97799999999999998</v>
      </c>
      <c r="G18" s="663"/>
      <c r="H18" s="80">
        <f t="shared" si="2"/>
        <v>0</v>
      </c>
      <c r="I18" s="101">
        <f t="shared" si="3"/>
        <v>0</v>
      </c>
      <c r="N18" s="601" t="s">
        <v>24</v>
      </c>
      <c r="O18" s="601"/>
      <c r="P18" s="642">
        <f t="shared" si="0"/>
        <v>0</v>
      </c>
      <c r="Q18" s="642"/>
      <c r="R18" s="647">
        <v>1</v>
      </c>
      <c r="S18" s="647"/>
      <c r="T18" s="95">
        <f t="shared" si="4"/>
        <v>0</v>
      </c>
      <c r="U18" s="473">
        <f t="shared" si="5"/>
        <v>0</v>
      </c>
    </row>
    <row r="19" spans="1:21" x14ac:dyDescent="0.25">
      <c r="A19" s="578" t="s">
        <v>25</v>
      </c>
      <c r="B19" s="578"/>
      <c r="C19" s="143">
        <v>0</v>
      </c>
      <c r="D19" s="143">
        <v>0</v>
      </c>
      <c r="E19" s="116">
        <f t="shared" si="1"/>
        <v>0</v>
      </c>
      <c r="F19" s="663">
        <f>'1461'!F19:G19</f>
        <v>0.97799999999999998</v>
      </c>
      <c r="G19" s="663"/>
      <c r="H19" s="80">
        <f t="shared" si="2"/>
        <v>0</v>
      </c>
      <c r="I19" s="101">
        <f t="shared" si="3"/>
        <v>0</v>
      </c>
      <c r="J19" s="65" t="str">
        <f>IF(ROUND(E19,2)=ROUND(SUM(E63:E65),2)," ","CHECK 4-8 LINES BELOW")</f>
        <v xml:space="preserve"> </v>
      </c>
      <c r="N19" s="601" t="s">
        <v>25</v>
      </c>
      <c r="O19" s="601"/>
      <c r="P19" s="642">
        <f t="shared" si="0"/>
        <v>0</v>
      </c>
      <c r="Q19" s="642"/>
      <c r="R19" s="647">
        <v>1</v>
      </c>
      <c r="S19" s="647"/>
      <c r="T19" s="95">
        <f t="shared" si="4"/>
        <v>0</v>
      </c>
      <c r="U19" s="472">
        <f t="shared" si="5"/>
        <v>0</v>
      </c>
    </row>
    <row r="20" spans="1:21" x14ac:dyDescent="0.25">
      <c r="A20" s="578" t="s">
        <v>79</v>
      </c>
      <c r="B20" s="578"/>
      <c r="C20" s="143">
        <v>0</v>
      </c>
      <c r="D20" s="143">
        <v>0</v>
      </c>
      <c r="E20" s="116">
        <f t="shared" si="1"/>
        <v>0</v>
      </c>
      <c r="F20" s="663">
        <f>'1461'!F20:G20</f>
        <v>3.6970000000000001</v>
      </c>
      <c r="G20" s="663"/>
      <c r="H20" s="80">
        <f t="shared" si="2"/>
        <v>0</v>
      </c>
      <c r="I20" s="101">
        <f t="shared" si="3"/>
        <v>0</v>
      </c>
      <c r="N20" s="601" t="s">
        <v>79</v>
      </c>
      <c r="O20" s="601"/>
      <c r="P20" s="642">
        <f t="shared" si="0"/>
        <v>0</v>
      </c>
      <c r="Q20" s="642"/>
      <c r="R20" s="647">
        <v>1</v>
      </c>
      <c r="S20" s="647"/>
      <c r="T20" s="95">
        <f t="shared" si="4"/>
        <v>0</v>
      </c>
      <c r="U20" s="473">
        <f t="shared" si="5"/>
        <v>0</v>
      </c>
    </row>
    <row r="21" spans="1:21" x14ac:dyDescent="0.25">
      <c r="A21" s="578" t="s">
        <v>80</v>
      </c>
      <c r="B21" s="578"/>
      <c r="C21" s="143">
        <v>0</v>
      </c>
      <c r="D21" s="143">
        <v>0</v>
      </c>
      <c r="E21" s="116">
        <f t="shared" si="1"/>
        <v>0</v>
      </c>
      <c r="F21" s="663">
        <f>'1461'!F21:G21</f>
        <v>3.6970000000000001</v>
      </c>
      <c r="G21" s="663"/>
      <c r="H21" s="80">
        <f t="shared" si="2"/>
        <v>0</v>
      </c>
      <c r="I21" s="101">
        <f t="shared" si="3"/>
        <v>0</v>
      </c>
      <c r="N21" s="601" t="s">
        <v>80</v>
      </c>
      <c r="O21" s="601"/>
      <c r="P21" s="642">
        <f t="shared" si="0"/>
        <v>0</v>
      </c>
      <c r="Q21" s="642"/>
      <c r="R21" s="647">
        <v>1</v>
      </c>
      <c r="S21" s="647"/>
      <c r="T21" s="95">
        <f t="shared" si="4"/>
        <v>0</v>
      </c>
      <c r="U21" s="473">
        <f t="shared" si="5"/>
        <v>0</v>
      </c>
    </row>
    <row r="22" spans="1:21" x14ac:dyDescent="0.25">
      <c r="A22" s="578" t="s">
        <v>81</v>
      </c>
      <c r="B22" s="578"/>
      <c r="C22" s="143">
        <v>0</v>
      </c>
      <c r="D22" s="143">
        <v>0</v>
      </c>
      <c r="E22" s="116">
        <f t="shared" si="1"/>
        <v>0</v>
      </c>
      <c r="F22" s="663">
        <f>'1461'!F22:G22</f>
        <v>3.6970000000000001</v>
      </c>
      <c r="G22" s="663"/>
      <c r="H22" s="80">
        <f t="shared" si="2"/>
        <v>0</v>
      </c>
      <c r="I22" s="101">
        <f t="shared" si="3"/>
        <v>0</v>
      </c>
      <c r="N22" s="601" t="s">
        <v>81</v>
      </c>
      <c r="O22" s="601"/>
      <c r="P22" s="642">
        <f t="shared" si="0"/>
        <v>0</v>
      </c>
      <c r="Q22" s="642"/>
      <c r="R22" s="647">
        <v>1</v>
      </c>
      <c r="S22" s="647"/>
      <c r="T22" s="95">
        <f t="shared" si="4"/>
        <v>0</v>
      </c>
      <c r="U22" s="473">
        <f t="shared" si="5"/>
        <v>0</v>
      </c>
    </row>
    <row r="23" spans="1:21" x14ac:dyDescent="0.25">
      <c r="A23" s="578" t="s">
        <v>82</v>
      </c>
      <c r="B23" s="578"/>
      <c r="C23" s="143">
        <v>0</v>
      </c>
      <c r="D23" s="143">
        <v>0</v>
      </c>
      <c r="E23" s="116">
        <f t="shared" si="1"/>
        <v>0</v>
      </c>
      <c r="F23" s="663">
        <f>'1461'!F23:G23</f>
        <v>5.992</v>
      </c>
      <c r="G23" s="663"/>
      <c r="H23" s="80">
        <f t="shared" si="2"/>
        <v>0</v>
      </c>
      <c r="I23" s="101">
        <f t="shared" si="3"/>
        <v>0</v>
      </c>
      <c r="N23" s="601" t="s">
        <v>82</v>
      </c>
      <c r="O23" s="601"/>
      <c r="P23" s="642">
        <f t="shared" si="0"/>
        <v>0</v>
      </c>
      <c r="Q23" s="642"/>
      <c r="R23" s="647">
        <v>1</v>
      </c>
      <c r="S23" s="647"/>
      <c r="T23" s="95">
        <f t="shared" si="4"/>
        <v>0</v>
      </c>
      <c r="U23" s="473">
        <f t="shared" si="5"/>
        <v>0</v>
      </c>
    </row>
    <row r="24" spans="1:21" x14ac:dyDescent="0.25">
      <c r="A24" s="578" t="s">
        <v>83</v>
      </c>
      <c r="B24" s="578"/>
      <c r="C24" s="143">
        <v>0</v>
      </c>
      <c r="D24" s="143">
        <v>0</v>
      </c>
      <c r="E24" s="116">
        <f t="shared" si="1"/>
        <v>0</v>
      </c>
      <c r="F24" s="663">
        <f>'1461'!F24:G24</f>
        <v>5.992</v>
      </c>
      <c r="G24" s="663"/>
      <c r="H24" s="80">
        <f t="shared" si="2"/>
        <v>0</v>
      </c>
      <c r="I24" s="101">
        <f t="shared" si="3"/>
        <v>0</v>
      </c>
      <c r="N24" s="601" t="s">
        <v>83</v>
      </c>
      <c r="O24" s="601"/>
      <c r="P24" s="642">
        <f t="shared" si="0"/>
        <v>0</v>
      </c>
      <c r="Q24" s="642"/>
      <c r="R24" s="647">
        <v>1</v>
      </c>
      <c r="S24" s="647"/>
      <c r="T24" s="95">
        <f t="shared" si="4"/>
        <v>0</v>
      </c>
      <c r="U24" s="473">
        <f t="shared" si="5"/>
        <v>0</v>
      </c>
    </row>
    <row r="25" spans="1:21" x14ac:dyDescent="0.25">
      <c r="A25" s="578" t="s">
        <v>84</v>
      </c>
      <c r="B25" s="578"/>
      <c r="C25" s="143">
        <v>0</v>
      </c>
      <c r="D25" s="143">
        <v>0</v>
      </c>
      <c r="E25" s="116">
        <f t="shared" si="1"/>
        <v>0</v>
      </c>
      <c r="F25" s="663">
        <f>'1461'!F25:G25</f>
        <v>5.992</v>
      </c>
      <c r="G25" s="663"/>
      <c r="H25" s="80">
        <f t="shared" si="2"/>
        <v>0</v>
      </c>
      <c r="I25" s="101">
        <f t="shared" si="3"/>
        <v>0</v>
      </c>
      <c r="N25" s="601" t="s">
        <v>84</v>
      </c>
      <c r="O25" s="601"/>
      <c r="P25" s="642">
        <f t="shared" si="0"/>
        <v>0</v>
      </c>
      <c r="Q25" s="642"/>
      <c r="R25" s="647">
        <v>1</v>
      </c>
      <c r="S25" s="647"/>
      <c r="T25" s="95">
        <f t="shared" si="4"/>
        <v>0</v>
      </c>
      <c r="U25" s="473">
        <f t="shared" si="5"/>
        <v>0</v>
      </c>
    </row>
    <row r="26" spans="1:21" x14ac:dyDescent="0.25">
      <c r="A26" s="578" t="s">
        <v>85</v>
      </c>
      <c r="B26" s="578"/>
      <c r="C26" s="143">
        <v>0</v>
      </c>
      <c r="D26" s="143">
        <v>0</v>
      </c>
      <c r="E26" s="116">
        <f t="shared" si="1"/>
        <v>0</v>
      </c>
      <c r="F26" s="663">
        <f>'1461'!F26:G26</f>
        <v>1.1919999999999999</v>
      </c>
      <c r="G26" s="663"/>
      <c r="H26" s="80">
        <f t="shared" si="2"/>
        <v>0</v>
      </c>
      <c r="I26" s="101">
        <f t="shared" si="3"/>
        <v>0</v>
      </c>
      <c r="N26" s="601" t="s">
        <v>85</v>
      </c>
      <c r="O26" s="601"/>
      <c r="P26" s="642">
        <f t="shared" si="0"/>
        <v>0</v>
      </c>
      <c r="Q26" s="642"/>
      <c r="R26" s="647">
        <v>1</v>
      </c>
      <c r="S26" s="647"/>
      <c r="T26" s="95">
        <f t="shared" si="4"/>
        <v>0</v>
      </c>
      <c r="U26" s="473">
        <f t="shared" si="5"/>
        <v>0</v>
      </c>
    </row>
    <row r="27" spans="1:21" x14ac:dyDescent="0.25">
      <c r="A27" s="578" t="s">
        <v>86</v>
      </c>
      <c r="B27" s="578"/>
      <c r="C27" s="143">
        <v>5.07</v>
      </c>
      <c r="D27" s="143">
        <v>5.93</v>
      </c>
      <c r="E27" s="116">
        <f t="shared" si="1"/>
        <v>11</v>
      </c>
      <c r="F27" s="663">
        <f>'1461'!F27:G27</f>
        <v>1.1919999999999999</v>
      </c>
      <c r="G27" s="663"/>
      <c r="H27" s="80">
        <f t="shared" si="2"/>
        <v>13.112</v>
      </c>
      <c r="I27" s="101">
        <f t="shared" si="3"/>
        <v>72751.72</v>
      </c>
      <c r="N27" s="601" t="s">
        <v>86</v>
      </c>
      <c r="O27" s="601"/>
      <c r="P27" s="642">
        <f t="shared" si="0"/>
        <v>0</v>
      </c>
      <c r="Q27" s="642"/>
      <c r="R27" s="647">
        <v>1</v>
      </c>
      <c r="S27" s="647"/>
      <c r="T27" s="95">
        <f t="shared" si="4"/>
        <v>0</v>
      </c>
      <c r="U27" s="473">
        <f t="shared" si="5"/>
        <v>0</v>
      </c>
    </row>
    <row r="28" spans="1:21" x14ac:dyDescent="0.25">
      <c r="A28" s="578" t="s">
        <v>87</v>
      </c>
      <c r="B28" s="578"/>
      <c r="C28" s="143">
        <v>0</v>
      </c>
      <c r="D28" s="143">
        <v>0</v>
      </c>
      <c r="E28" s="116">
        <f t="shared" si="1"/>
        <v>0</v>
      </c>
      <c r="F28" s="663">
        <f>'1461'!F28:G28</f>
        <v>1.1919999999999999</v>
      </c>
      <c r="G28" s="663"/>
      <c r="H28" s="80">
        <f t="shared" si="2"/>
        <v>0</v>
      </c>
      <c r="I28" s="101">
        <f t="shared" si="3"/>
        <v>0</v>
      </c>
      <c r="N28" s="601" t="s">
        <v>87</v>
      </c>
      <c r="O28" s="601"/>
      <c r="P28" s="642">
        <f t="shared" si="0"/>
        <v>0</v>
      </c>
      <c r="Q28" s="642"/>
      <c r="R28" s="647">
        <v>1</v>
      </c>
      <c r="S28" s="647"/>
      <c r="T28" s="95">
        <f t="shared" si="4"/>
        <v>0</v>
      </c>
      <c r="U28" s="473">
        <f t="shared" si="5"/>
        <v>0</v>
      </c>
    </row>
    <row r="29" spans="1:21" x14ac:dyDescent="0.25">
      <c r="A29" s="578" t="s">
        <v>88</v>
      </c>
      <c r="B29" s="578"/>
      <c r="C29" s="110">
        <v>0</v>
      </c>
      <c r="D29" s="110">
        <v>0</v>
      </c>
      <c r="E29" s="154">
        <f t="shared" si="1"/>
        <v>0</v>
      </c>
      <c r="F29" s="663">
        <f>'1461'!F29:G29</f>
        <v>1.079</v>
      </c>
      <c r="G29" s="663"/>
      <c r="H29" s="93">
        <f t="shared" si="2"/>
        <v>0</v>
      </c>
      <c r="I29" s="94">
        <f t="shared" si="3"/>
        <v>0</v>
      </c>
      <c r="N29" s="616" t="s">
        <v>88</v>
      </c>
      <c r="O29" s="616"/>
      <c r="P29" s="642">
        <f t="shared" si="0"/>
        <v>0</v>
      </c>
      <c r="Q29" s="642"/>
      <c r="R29" s="643">
        <v>1</v>
      </c>
      <c r="S29" s="643"/>
      <c r="T29" s="95">
        <f t="shared" si="4"/>
        <v>0</v>
      </c>
      <c r="U29" s="473">
        <f t="shared" si="5"/>
        <v>0</v>
      </c>
    </row>
    <row r="30" spans="1:21" x14ac:dyDescent="0.25">
      <c r="A30" s="590" t="s">
        <v>5</v>
      </c>
      <c r="B30" s="590"/>
      <c r="C30" s="94">
        <f>SUM(C14:C29)</f>
        <v>322.52</v>
      </c>
      <c r="D30" s="94">
        <f>SUM(D14:D29)</f>
        <v>331.31</v>
      </c>
      <c r="E30" s="94">
        <f>SUM(E14:E29)</f>
        <v>653.82999999999993</v>
      </c>
      <c r="F30" s="582"/>
      <c r="G30" s="582"/>
      <c r="H30" s="99">
        <f>SUM(H14:H29)</f>
        <v>655.94200000000001</v>
      </c>
      <c r="I30" s="94">
        <f>SUM(I14:I29)</f>
        <v>3639483.68</v>
      </c>
      <c r="N30" s="644" t="s">
        <v>5</v>
      </c>
      <c r="O30" s="644"/>
      <c r="P30" s="645">
        <f>SUM(P14:P29)</f>
        <v>0</v>
      </c>
      <c r="Q30" s="645"/>
      <c r="R30" s="617"/>
      <c r="S30" s="617"/>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0" t="s">
        <v>233</v>
      </c>
      <c r="G34" s="670"/>
      <c r="H34" s="670"/>
      <c r="I34" s="101"/>
      <c r="N34" s="28"/>
      <c r="O34" s="28"/>
      <c r="P34" s="29"/>
      <c r="Q34" s="29"/>
      <c r="R34" s="30"/>
      <c r="S34" s="30"/>
      <c r="T34" s="102"/>
      <c r="U34" s="103"/>
    </row>
    <row r="35" spans="1:21" hidden="1" x14ac:dyDescent="0.25">
      <c r="A35" s="3"/>
      <c r="B35" s="69"/>
      <c r="C35" s="69"/>
      <c r="D35" s="69"/>
      <c r="E35" s="69"/>
      <c r="F35" s="670"/>
      <c r="G35" s="670"/>
      <c r="H35" s="670"/>
      <c r="I35" s="24" t="s">
        <v>61</v>
      </c>
      <c r="N35" s="627" t="s">
        <v>26</v>
      </c>
      <c r="O35" s="627"/>
      <c r="P35" s="627"/>
      <c r="Q35" s="627"/>
      <c r="R35" s="627"/>
      <c r="S35" s="627"/>
      <c r="T35" s="627"/>
      <c r="U35" s="25" t="str">
        <f>I35</f>
        <v>2015-16</v>
      </c>
    </row>
    <row r="36" spans="1:21" hidden="1" x14ac:dyDescent="0.25">
      <c r="A36" s="26"/>
      <c r="B36" s="26"/>
      <c r="C36" s="88" t="s">
        <v>93</v>
      </c>
      <c r="D36" s="88" t="s">
        <v>94</v>
      </c>
      <c r="E36" s="89" t="s">
        <v>8</v>
      </c>
      <c r="F36" s="670"/>
      <c r="G36" s="670"/>
      <c r="H36" s="670"/>
      <c r="I36" s="24" t="s">
        <v>27</v>
      </c>
      <c r="N36" s="28"/>
      <c r="O36" s="28"/>
      <c r="P36" s="29"/>
      <c r="Q36" s="29"/>
      <c r="R36" s="30"/>
      <c r="S36" s="30"/>
      <c r="T36" s="102"/>
      <c r="U36" s="25" t="s">
        <v>27</v>
      </c>
    </row>
    <row r="37" spans="1:21" ht="26.25" hidden="1" x14ac:dyDescent="0.25">
      <c r="A37" s="572" t="s">
        <v>50</v>
      </c>
      <c r="B37" s="572"/>
      <c r="C37" s="90" t="s">
        <v>2</v>
      </c>
      <c r="D37" s="90" t="s">
        <v>2</v>
      </c>
      <c r="E37" s="90" t="s">
        <v>2</v>
      </c>
      <c r="F37" s="671"/>
      <c r="G37" s="671"/>
      <c r="H37" s="671"/>
      <c r="I37" s="31" t="s">
        <v>395</v>
      </c>
      <c r="N37" s="639" t="s">
        <v>50</v>
      </c>
      <c r="O37" s="639"/>
      <c r="P37" s="640" t="s">
        <v>19</v>
      </c>
      <c r="Q37" s="640"/>
      <c r="R37" s="640"/>
      <c r="S37" s="640"/>
      <c r="T37" s="640"/>
      <c r="U37" s="19" t="str">
        <f>I37</f>
        <v>(WFTE x BSA x CWF x SDF)</v>
      </c>
    </row>
    <row r="38" spans="1:21" hidden="1" x14ac:dyDescent="0.25">
      <c r="A38" s="576" t="s">
        <v>45</v>
      </c>
      <c r="B38" s="576"/>
      <c r="C38" s="147">
        <v>0</v>
      </c>
      <c r="D38" s="147">
        <v>0</v>
      </c>
      <c r="E38" s="187">
        <f t="shared" ref="E38:E43" si="6">IF(D$44=0,C38*2,C38+D38)</f>
        <v>0</v>
      </c>
      <c r="F38" s="148"/>
      <c r="G38" s="148"/>
      <c r="H38" s="148"/>
      <c r="I38" s="111">
        <f>ROUND(ROUND(ROUND(E38*$C$8,4)*($H$8),2)*(MAX($H$9,1)),2)</f>
        <v>0</v>
      </c>
      <c r="N38" s="641" t="s">
        <v>45</v>
      </c>
      <c r="O38" s="641"/>
      <c r="P38" s="608">
        <f t="shared" ref="P38:P43" si="7">IF($H$133=1,E38,0)</f>
        <v>0</v>
      </c>
      <c r="Q38" s="608"/>
      <c r="R38" s="608"/>
      <c r="S38" s="608"/>
      <c r="T38" s="608"/>
      <c r="U38" s="98">
        <f>ROUND(ROUND(ROUND(P38*$C$8,4)*($H$8),2)*(MAX($H$9,1)),2)</f>
        <v>0</v>
      </c>
    </row>
    <row r="39" spans="1:21" hidden="1" x14ac:dyDescent="0.25">
      <c r="A39" s="578" t="s">
        <v>46</v>
      </c>
      <c r="B39" s="578"/>
      <c r="C39" s="150">
        <v>0</v>
      </c>
      <c r="D39" s="150">
        <v>0</v>
      </c>
      <c r="E39" s="116">
        <f t="shared" si="6"/>
        <v>0</v>
      </c>
      <c r="F39" s="151"/>
      <c r="G39" s="151"/>
      <c r="H39" s="151"/>
      <c r="I39" s="101">
        <f t="shared" ref="I39:I43" si="8">ROUND(ROUND(ROUND(E39*$C$8,4)*($H$8),2)*(MAX($H$9,1)),2)</f>
        <v>0</v>
      </c>
      <c r="N39" s="601" t="s">
        <v>46</v>
      </c>
      <c r="O39" s="601"/>
      <c r="P39" s="608">
        <f t="shared" si="7"/>
        <v>0</v>
      </c>
      <c r="Q39" s="608"/>
      <c r="R39" s="608"/>
      <c r="S39" s="608"/>
      <c r="T39" s="608"/>
      <c r="U39" s="98">
        <f t="shared" ref="U39:U43" si="9">ROUND(ROUND(ROUND(P39*$C$8,4)*($H$8),2)*(MAX($H$9,1)),2)</f>
        <v>0</v>
      </c>
    </row>
    <row r="40" spans="1:21" hidden="1" x14ac:dyDescent="0.25">
      <c r="A40" s="583" t="s">
        <v>47</v>
      </c>
      <c r="B40" s="583"/>
      <c r="C40" s="150">
        <v>0</v>
      </c>
      <c r="D40" s="150">
        <v>0</v>
      </c>
      <c r="E40" s="116">
        <f t="shared" si="6"/>
        <v>0</v>
      </c>
      <c r="F40" s="151"/>
      <c r="G40" s="151"/>
      <c r="H40" s="151"/>
      <c r="I40" s="101">
        <f t="shared" si="8"/>
        <v>0</v>
      </c>
      <c r="N40" s="646" t="s">
        <v>47</v>
      </c>
      <c r="O40" s="646"/>
      <c r="P40" s="608">
        <f t="shared" si="7"/>
        <v>0</v>
      </c>
      <c r="Q40" s="608"/>
      <c r="R40" s="608"/>
      <c r="S40" s="608"/>
      <c r="T40" s="608"/>
      <c r="U40" s="98">
        <f t="shared" si="9"/>
        <v>0</v>
      </c>
    </row>
    <row r="41" spans="1:21" hidden="1" x14ac:dyDescent="0.25">
      <c r="A41" s="578" t="s">
        <v>48</v>
      </c>
      <c r="B41" s="578"/>
      <c r="C41" s="150">
        <v>0</v>
      </c>
      <c r="D41" s="150">
        <v>0</v>
      </c>
      <c r="E41" s="116">
        <f t="shared" si="6"/>
        <v>0</v>
      </c>
      <c r="F41" s="151"/>
      <c r="G41" s="151"/>
      <c r="H41" s="151"/>
      <c r="I41" s="101">
        <f t="shared" si="8"/>
        <v>0</v>
      </c>
      <c r="N41" s="601" t="s">
        <v>48</v>
      </c>
      <c r="O41" s="601"/>
      <c r="P41" s="608">
        <f t="shared" si="7"/>
        <v>0</v>
      </c>
      <c r="Q41" s="608"/>
      <c r="R41" s="608"/>
      <c r="S41" s="608"/>
      <c r="T41" s="608"/>
      <c r="U41" s="98">
        <f t="shared" si="9"/>
        <v>0</v>
      </c>
    </row>
    <row r="42" spans="1:21" hidden="1" x14ac:dyDescent="0.25">
      <c r="A42" s="578" t="s">
        <v>49</v>
      </c>
      <c r="B42" s="578"/>
      <c r="C42" s="150">
        <v>0</v>
      </c>
      <c r="D42" s="150">
        <v>0</v>
      </c>
      <c r="E42" s="116">
        <f t="shared" si="6"/>
        <v>0</v>
      </c>
      <c r="F42" s="151"/>
      <c r="G42" s="151"/>
      <c r="H42" s="151"/>
      <c r="I42" s="101">
        <f t="shared" si="8"/>
        <v>0</v>
      </c>
      <c r="N42" s="601" t="s">
        <v>49</v>
      </c>
      <c r="O42" s="601"/>
      <c r="P42" s="608">
        <f t="shared" si="7"/>
        <v>0</v>
      </c>
      <c r="Q42" s="608"/>
      <c r="R42" s="608"/>
      <c r="S42" s="608"/>
      <c r="T42" s="608"/>
      <c r="U42" s="98">
        <f t="shared" si="9"/>
        <v>0</v>
      </c>
    </row>
    <row r="43" spans="1:21" hidden="1" x14ac:dyDescent="0.25">
      <c r="A43" s="578" t="s">
        <v>41</v>
      </c>
      <c r="B43" s="578"/>
      <c r="C43" s="149">
        <v>0</v>
      </c>
      <c r="D43" s="149">
        <v>0</v>
      </c>
      <c r="E43" s="154">
        <f t="shared" si="6"/>
        <v>0</v>
      </c>
      <c r="F43" s="151"/>
      <c r="G43" s="151"/>
      <c r="H43" s="151"/>
      <c r="I43" s="94">
        <f t="shared" si="8"/>
        <v>0</v>
      </c>
      <c r="N43" s="616" t="s">
        <v>41</v>
      </c>
      <c r="O43" s="616"/>
      <c r="P43" s="608">
        <f t="shared" si="7"/>
        <v>0</v>
      </c>
      <c r="Q43" s="608"/>
      <c r="R43" s="608"/>
      <c r="S43" s="608"/>
      <c r="T43" s="60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3" t="s">
        <v>43</v>
      </c>
      <c r="O44" s="603"/>
      <c r="P44" s="603"/>
      <c r="Q44" s="603"/>
      <c r="R44" s="33">
        <f>SUM(P38:R43)</f>
        <v>0</v>
      </c>
      <c r="S44" s="617" t="s">
        <v>51</v>
      </c>
      <c r="T44" s="617"/>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655.94200000000001</v>
      </c>
      <c r="F46" s="34"/>
      <c r="G46" s="106"/>
      <c r="H46" s="107" t="s">
        <v>98</v>
      </c>
      <c r="I46" s="94">
        <f>SUM(I44,I30)</f>
        <v>3639483.68</v>
      </c>
      <c r="N46" s="603" t="s">
        <v>44</v>
      </c>
      <c r="O46" s="603"/>
      <c r="P46" s="603"/>
      <c r="Q46" s="603"/>
      <c r="R46" s="35">
        <f>R44+T30</f>
        <v>0</v>
      </c>
      <c r="S46" s="617" t="s">
        <v>42</v>
      </c>
      <c r="T46" s="617"/>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396</v>
      </c>
      <c r="B48" s="26"/>
      <c r="C48" s="26"/>
      <c r="D48" s="26"/>
      <c r="E48" s="26"/>
      <c r="F48" s="34"/>
      <c r="G48" s="27"/>
      <c r="H48" s="27"/>
      <c r="I48" s="101"/>
      <c r="N48" s="383" t="s">
        <v>396</v>
      </c>
      <c r="O48" s="28"/>
      <c r="P48" s="28"/>
      <c r="Q48" s="28"/>
      <c r="R48" s="35"/>
      <c r="S48" s="30"/>
      <c r="T48" s="30"/>
      <c r="U48" s="402"/>
    </row>
    <row r="49" spans="1:22" s="391" customFormat="1" ht="9" customHeight="1" x14ac:dyDescent="0.2">
      <c r="A49" s="481" t="s">
        <v>397</v>
      </c>
      <c r="F49" s="392"/>
      <c r="G49" s="393"/>
      <c r="H49" s="393"/>
      <c r="I49" s="394"/>
      <c r="N49" s="403" t="s">
        <v>397</v>
      </c>
      <c r="O49" s="395"/>
      <c r="P49" s="395"/>
      <c r="Q49" s="395"/>
      <c r="R49" s="396"/>
      <c r="S49" s="397"/>
      <c r="T49" s="397"/>
      <c r="U49" s="404"/>
    </row>
    <row r="50" spans="1:22" s="391" customFormat="1" ht="11.25" customHeight="1" x14ac:dyDescent="0.2">
      <c r="A50" s="483" t="s">
        <v>398</v>
      </c>
      <c r="F50" s="392"/>
      <c r="G50" s="393"/>
      <c r="H50" s="393"/>
      <c r="I50" s="394"/>
      <c r="N50" s="405" t="s">
        <v>398</v>
      </c>
      <c r="O50" s="395"/>
      <c r="P50" s="395"/>
      <c r="Q50" s="395"/>
      <c r="R50" s="396"/>
      <c r="S50" s="397"/>
      <c r="T50" s="397"/>
      <c r="U50" s="404"/>
    </row>
    <row r="51" spans="1:22" x14ac:dyDescent="0.25">
      <c r="A51" s="389"/>
      <c r="B51" s="399" t="s">
        <v>399</v>
      </c>
      <c r="C51" s="26"/>
      <c r="D51" s="26"/>
      <c r="E51" s="43" t="s">
        <v>400</v>
      </c>
      <c r="F51" s="400">
        <f>I46</f>
        <v>3639483.68</v>
      </c>
      <c r="G51" s="109" t="s">
        <v>6</v>
      </c>
      <c r="H51" s="401">
        <v>4.5199999999999997E-2</v>
      </c>
      <c r="I51" s="101">
        <f>ROUND(F51*H51,2)</f>
        <v>164504.66</v>
      </c>
      <c r="N51" s="406"/>
      <c r="O51" s="407" t="s">
        <v>399</v>
      </c>
      <c r="P51" s="28"/>
      <c r="Q51" s="44" t="s">
        <v>400</v>
      </c>
      <c r="R51" s="408">
        <f>U30</f>
        <v>0</v>
      </c>
      <c r="S51" s="409" t="s">
        <v>6</v>
      </c>
      <c r="T51" s="410">
        <v>4.5199999999999997E-2</v>
      </c>
      <c r="U51" s="402">
        <f>ROUND(R51*T51,2)</f>
        <v>0</v>
      </c>
    </row>
    <row r="52" spans="1:22" x14ac:dyDescent="0.25">
      <c r="A52" s="26"/>
      <c r="B52" s="81" t="s">
        <v>401</v>
      </c>
      <c r="C52" s="26"/>
      <c r="D52" s="26"/>
      <c r="E52" s="43" t="s">
        <v>400</v>
      </c>
      <c r="F52" s="400">
        <f>I46</f>
        <v>3639483.68</v>
      </c>
      <c r="G52" s="109" t="s">
        <v>6</v>
      </c>
      <c r="H52" s="401">
        <v>1.41E-2</v>
      </c>
      <c r="I52" s="101">
        <f>ROUND(F52*H52,2)</f>
        <v>51316.72</v>
      </c>
      <c r="N52" s="28"/>
      <c r="O52" s="383" t="s">
        <v>401</v>
      </c>
      <c r="P52" s="28"/>
      <c r="Q52" s="44" t="s">
        <v>400</v>
      </c>
      <c r="R52" s="408">
        <f>U30</f>
        <v>0</v>
      </c>
      <c r="S52" s="409" t="s">
        <v>6</v>
      </c>
      <c r="T52" s="410">
        <v>1.41E-2</v>
      </c>
      <c r="U52" s="411">
        <f>ROUND(R52*T52,2)</f>
        <v>0</v>
      </c>
    </row>
    <row r="53" spans="1:22" x14ac:dyDescent="0.25">
      <c r="A53" s="26"/>
      <c r="B53" s="81" t="s">
        <v>402</v>
      </c>
      <c r="C53" s="26"/>
      <c r="D53" s="26"/>
      <c r="E53" s="43"/>
      <c r="F53" s="400"/>
      <c r="G53" s="109"/>
      <c r="H53" s="401"/>
      <c r="I53" s="97">
        <f>SUM(I51:I52)</f>
        <v>215821.38</v>
      </c>
      <c r="N53" s="28"/>
      <c r="O53" s="383" t="s">
        <v>402</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440</v>
      </c>
      <c r="G55" s="109" t="s">
        <v>441</v>
      </c>
      <c r="H55" s="454" t="s">
        <v>442</v>
      </c>
      <c r="I55" s="101"/>
      <c r="N55" s="448"/>
      <c r="O55" s="448"/>
      <c r="P55" s="464"/>
      <c r="Q55" s="465"/>
      <c r="R55" s="466"/>
      <c r="S55" s="468" t="s">
        <v>441</v>
      </c>
      <c r="T55" s="469" t="s">
        <v>442</v>
      </c>
      <c r="U55" s="467"/>
      <c r="V55" s="424"/>
    </row>
    <row r="56" spans="1:22" x14ac:dyDescent="0.25">
      <c r="A56" s="36" t="s">
        <v>443</v>
      </c>
      <c r="B56" s="36"/>
      <c r="C56" s="324" t="str">
        <f>'1461'!C56</f>
        <v>FTE</v>
      </c>
      <c r="D56" s="324" t="str">
        <f>'1461'!D56</f>
        <v>FTE</v>
      </c>
      <c r="E56" s="90" t="s">
        <v>2</v>
      </c>
      <c r="F56" s="439" t="s">
        <v>444</v>
      </c>
      <c r="G56" s="441" t="s">
        <v>444</v>
      </c>
      <c r="H56" s="455" t="s">
        <v>445</v>
      </c>
      <c r="I56" s="36"/>
      <c r="N56" s="459" t="s">
        <v>443</v>
      </c>
      <c r="O56" s="459"/>
      <c r="P56" s="620" t="s">
        <v>2</v>
      </c>
      <c r="Q56" s="620"/>
      <c r="R56" s="459" t="s">
        <v>449</v>
      </c>
      <c r="S56" s="450" t="s">
        <v>444</v>
      </c>
      <c r="T56" s="470" t="s">
        <v>445</v>
      </c>
      <c r="U56" s="459"/>
      <c r="V56" s="458"/>
    </row>
    <row r="57" spans="1:22" x14ac:dyDescent="0.25">
      <c r="A57" s="588" t="s">
        <v>447</v>
      </c>
      <c r="B57" s="588"/>
      <c r="C57" s="143">
        <v>0</v>
      </c>
      <c r="D57" s="143">
        <v>0</v>
      </c>
      <c r="E57" s="116">
        <f t="shared" ref="E57:E65" si="10">IF(D$72=0,C57*2,C57+D57)</f>
        <v>0</v>
      </c>
      <c r="F57" s="443" t="s">
        <v>439</v>
      </c>
      <c r="G57" s="443">
        <v>251</v>
      </c>
      <c r="H57" s="457">
        <f>'1461'!H57</f>
        <v>1047</v>
      </c>
      <c r="I57" s="101">
        <f>ROUND(E57*H57,2)</f>
        <v>0</v>
      </c>
      <c r="N57" s="618" t="s">
        <v>447</v>
      </c>
      <c r="O57" s="618"/>
      <c r="P57" s="621"/>
      <c r="Q57" s="621"/>
      <c r="R57" s="449" t="s">
        <v>439</v>
      </c>
      <c r="S57" s="449">
        <v>251</v>
      </c>
      <c r="T57" s="460">
        <f>H57</f>
        <v>1047</v>
      </c>
      <c r="U57" s="474">
        <f>ROUND(P57*T57,2)</f>
        <v>0</v>
      </c>
      <c r="V57" s="424"/>
    </row>
    <row r="58" spans="1:22" x14ac:dyDescent="0.25">
      <c r="A58" s="589"/>
      <c r="B58" s="589"/>
      <c r="C58" s="143">
        <v>0</v>
      </c>
      <c r="D58" s="143">
        <v>0</v>
      </c>
      <c r="E58" s="116">
        <f t="shared" si="10"/>
        <v>0</v>
      </c>
      <c r="F58" s="443" t="s">
        <v>439</v>
      </c>
      <c r="G58" s="443">
        <v>252</v>
      </c>
      <c r="H58" s="457">
        <f>'1461'!H58</f>
        <v>3380</v>
      </c>
      <c r="I58" s="101">
        <f t="shared" ref="I58:I65" si="11">ROUND(E58*H58,2)</f>
        <v>0</v>
      </c>
      <c r="N58" s="619"/>
      <c r="O58" s="619"/>
      <c r="P58" s="622"/>
      <c r="Q58" s="622"/>
      <c r="R58" s="449" t="s">
        <v>439</v>
      </c>
      <c r="S58" s="449">
        <v>252</v>
      </c>
      <c r="T58" s="460">
        <f t="shared" ref="T58:T65" si="12">H58</f>
        <v>3380</v>
      </c>
      <c r="U58" s="474">
        <f t="shared" ref="U58:U65" si="13">ROUND(P58*T58,2)</f>
        <v>0</v>
      </c>
      <c r="V58" s="424"/>
    </row>
    <row r="59" spans="1:22" x14ac:dyDescent="0.25">
      <c r="A59" s="589"/>
      <c r="B59" s="589"/>
      <c r="C59" s="143">
        <v>0</v>
      </c>
      <c r="D59" s="143">
        <v>0</v>
      </c>
      <c r="E59" s="116">
        <f t="shared" si="10"/>
        <v>0</v>
      </c>
      <c r="F59" s="443" t="s">
        <v>439</v>
      </c>
      <c r="G59" s="443">
        <v>253</v>
      </c>
      <c r="H59" s="457">
        <f>'1461'!H59</f>
        <v>6896</v>
      </c>
      <c r="I59" s="101">
        <f t="shared" si="11"/>
        <v>0</v>
      </c>
      <c r="N59" s="619"/>
      <c r="O59" s="619"/>
      <c r="P59" s="622"/>
      <c r="Q59" s="622"/>
      <c r="R59" s="449" t="s">
        <v>439</v>
      </c>
      <c r="S59" s="449">
        <v>253</v>
      </c>
      <c r="T59" s="460">
        <f t="shared" si="12"/>
        <v>6896</v>
      </c>
      <c r="U59" s="474">
        <f t="shared" si="13"/>
        <v>0</v>
      </c>
      <c r="V59" s="424"/>
    </row>
    <row r="60" spans="1:22" x14ac:dyDescent="0.25">
      <c r="A60" s="589"/>
      <c r="B60" s="589"/>
      <c r="C60" s="143">
        <v>48.99</v>
      </c>
      <c r="D60" s="143">
        <v>49.57</v>
      </c>
      <c r="E60" s="116">
        <f>IF(D$72=0,C60*2,C60+D60)</f>
        <v>98.56</v>
      </c>
      <c r="F60" s="444" t="s">
        <v>13</v>
      </c>
      <c r="G60" s="443">
        <v>251</v>
      </c>
      <c r="H60" s="457">
        <f>'1461'!H60</f>
        <v>1173</v>
      </c>
      <c r="I60" s="101">
        <f t="shared" si="11"/>
        <v>115610.88</v>
      </c>
      <c r="N60" s="619"/>
      <c r="O60" s="619"/>
      <c r="P60" s="622"/>
      <c r="Q60" s="622"/>
      <c r="R60" s="40" t="s">
        <v>13</v>
      </c>
      <c r="S60" s="449">
        <v>251</v>
      </c>
      <c r="T60" s="460">
        <f t="shared" si="12"/>
        <v>1173</v>
      </c>
      <c r="U60" s="474">
        <f t="shared" si="13"/>
        <v>0</v>
      </c>
      <c r="V60" s="424"/>
    </row>
    <row r="61" spans="1:22" x14ac:dyDescent="0.25">
      <c r="A61" s="589"/>
      <c r="B61" s="589"/>
      <c r="C61" s="143">
        <v>3.51</v>
      </c>
      <c r="D61" s="143">
        <v>3.41</v>
      </c>
      <c r="E61" s="116">
        <f>IF(D$72=0,C61*2,C61+D61)</f>
        <v>6.92</v>
      </c>
      <c r="F61" s="444" t="s">
        <v>13</v>
      </c>
      <c r="G61" s="443">
        <v>252</v>
      </c>
      <c r="H61" s="457">
        <f>'1461'!H61</f>
        <v>3506</v>
      </c>
      <c r="I61" s="101">
        <f t="shared" si="11"/>
        <v>24261.52</v>
      </c>
      <c r="N61" s="619"/>
      <c r="O61" s="619"/>
      <c r="P61" s="622"/>
      <c r="Q61" s="622"/>
      <c r="R61" s="40" t="s">
        <v>13</v>
      </c>
      <c r="S61" s="449">
        <v>252</v>
      </c>
      <c r="T61" s="460">
        <f t="shared" si="12"/>
        <v>3506</v>
      </c>
      <c r="U61" s="474">
        <f t="shared" si="13"/>
        <v>0</v>
      </c>
      <c r="V61" s="424"/>
    </row>
    <row r="62" spans="1:22" x14ac:dyDescent="0.25">
      <c r="A62" s="589"/>
      <c r="B62" s="589"/>
      <c r="C62" s="143">
        <v>0.5</v>
      </c>
      <c r="D62" s="143">
        <v>0</v>
      </c>
      <c r="E62" s="116">
        <f>IF(D$72=0,C62*2,C62+D62)</f>
        <v>0.5</v>
      </c>
      <c r="F62" s="444" t="s">
        <v>13</v>
      </c>
      <c r="G62" s="443">
        <v>253</v>
      </c>
      <c r="H62" s="457">
        <f>'1461'!H62</f>
        <v>7023</v>
      </c>
      <c r="I62" s="101">
        <f t="shared" si="11"/>
        <v>3511.5</v>
      </c>
      <c r="N62" s="619"/>
      <c r="O62" s="619"/>
      <c r="P62" s="622"/>
      <c r="Q62" s="622"/>
      <c r="R62" s="40" t="s">
        <v>13</v>
      </c>
      <c r="S62" s="449">
        <v>253</v>
      </c>
      <c r="T62" s="460">
        <f t="shared" si="12"/>
        <v>7023</v>
      </c>
      <c r="U62" s="474">
        <f t="shared" si="13"/>
        <v>0</v>
      </c>
      <c r="V62" s="424"/>
    </row>
    <row r="63" spans="1:22" x14ac:dyDescent="0.25">
      <c r="A63" s="589"/>
      <c r="B63" s="589"/>
      <c r="C63" s="143">
        <v>0</v>
      </c>
      <c r="D63" s="143">
        <v>0</v>
      </c>
      <c r="E63" s="116">
        <f t="shared" si="10"/>
        <v>0</v>
      </c>
      <c r="F63" s="444" t="s">
        <v>14</v>
      </c>
      <c r="G63" s="443">
        <v>251</v>
      </c>
      <c r="H63" s="457">
        <f>'1461'!H63</f>
        <v>835</v>
      </c>
      <c r="I63" s="101">
        <f t="shared" si="11"/>
        <v>0</v>
      </c>
      <c r="N63" s="619"/>
      <c r="O63" s="619"/>
      <c r="P63" s="622"/>
      <c r="Q63" s="622"/>
      <c r="R63" s="40" t="s">
        <v>14</v>
      </c>
      <c r="S63" s="449">
        <v>251</v>
      </c>
      <c r="T63" s="460">
        <f t="shared" si="12"/>
        <v>835</v>
      </c>
      <c r="U63" s="474">
        <f t="shared" si="13"/>
        <v>0</v>
      </c>
      <c r="V63" s="424"/>
    </row>
    <row r="64" spans="1:22" x14ac:dyDescent="0.25">
      <c r="A64" s="589"/>
      <c r="B64" s="589"/>
      <c r="C64" s="143">
        <v>0</v>
      </c>
      <c r="D64" s="143">
        <v>0</v>
      </c>
      <c r="E64" s="116">
        <f t="shared" si="10"/>
        <v>0</v>
      </c>
      <c r="F64" s="444" t="s">
        <v>14</v>
      </c>
      <c r="G64" s="443">
        <v>252</v>
      </c>
      <c r="H64" s="457">
        <f>'1461'!H64</f>
        <v>3168</v>
      </c>
      <c r="I64" s="101">
        <f t="shared" si="11"/>
        <v>0</v>
      </c>
      <c r="N64" s="619"/>
      <c r="O64" s="619"/>
      <c r="P64" s="622"/>
      <c r="Q64" s="622"/>
      <c r="R64" s="40" t="s">
        <v>14</v>
      </c>
      <c r="S64" s="449">
        <v>252</v>
      </c>
      <c r="T64" s="460">
        <f t="shared" si="12"/>
        <v>3168</v>
      </c>
      <c r="U64" s="474">
        <f t="shared" si="13"/>
        <v>0</v>
      </c>
      <c r="V64" s="424"/>
    </row>
    <row r="65" spans="1:22" ht="16.5" thickBot="1" x14ac:dyDescent="0.3">
      <c r="A65" s="589"/>
      <c r="B65" s="589"/>
      <c r="C65" s="143">
        <v>0</v>
      </c>
      <c r="D65" s="143">
        <v>0</v>
      </c>
      <c r="E65" s="116">
        <f t="shared" si="10"/>
        <v>0</v>
      </c>
      <c r="F65" s="444" t="s">
        <v>14</v>
      </c>
      <c r="G65" s="443">
        <v>253</v>
      </c>
      <c r="H65" s="457">
        <f>'1461'!H65</f>
        <v>6685</v>
      </c>
      <c r="I65" s="101">
        <f t="shared" si="11"/>
        <v>0</v>
      </c>
      <c r="N65" s="619"/>
      <c r="O65" s="619"/>
      <c r="P65" s="623"/>
      <c r="Q65" s="623"/>
      <c r="R65" s="40" t="s">
        <v>14</v>
      </c>
      <c r="S65" s="449">
        <v>253</v>
      </c>
      <c r="T65" s="460">
        <f t="shared" si="12"/>
        <v>6685</v>
      </c>
      <c r="U65" s="475">
        <f t="shared" si="13"/>
        <v>0</v>
      </c>
      <c r="V65" s="424"/>
    </row>
    <row r="66" spans="1:22" ht="16.5" thickBot="1" x14ac:dyDescent="0.3">
      <c r="A66" s="440"/>
      <c r="C66" s="97">
        <f>SUM(C57:C65)</f>
        <v>53</v>
      </c>
      <c r="D66" s="97">
        <f>SUM(D57:D65)</f>
        <v>52.980000000000004</v>
      </c>
      <c r="E66" s="97">
        <f>SUM(E57:E65)</f>
        <v>105.98</v>
      </c>
      <c r="F66" s="590" t="s">
        <v>448</v>
      </c>
      <c r="G66" s="590"/>
      <c r="H66" s="590"/>
      <c r="I66" s="97">
        <f>SUM(I57:I65)</f>
        <v>143383.9</v>
      </c>
      <c r="N66" s="446"/>
      <c r="O66" s="51"/>
      <c r="P66" s="602">
        <f>SUM(P57:P65)</f>
        <v>0</v>
      </c>
      <c r="Q66" s="602"/>
      <c r="R66" s="603" t="s">
        <v>448</v>
      </c>
      <c r="S66" s="603"/>
      <c r="T66" s="603"/>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450</v>
      </c>
      <c r="N68" s="453" t="s">
        <v>458</v>
      </c>
      <c r="O68" s="51"/>
      <c r="P68" s="51"/>
      <c r="Q68" s="51"/>
      <c r="R68" s="51"/>
      <c r="S68" s="51"/>
      <c r="T68" s="51"/>
      <c r="U68" s="51"/>
    </row>
    <row r="69" spans="1:22" x14ac:dyDescent="0.25">
      <c r="A69" s="584" t="s">
        <v>403</v>
      </c>
      <c r="B69" s="578"/>
      <c r="C69" s="112">
        <f>E30</f>
        <v>653.82999999999993</v>
      </c>
      <c r="D69" s="565" t="s">
        <v>414</v>
      </c>
      <c r="E69" s="565"/>
      <c r="F69" s="565"/>
      <c r="G69" s="565"/>
      <c r="H69" s="300">
        <f>'1461'!H69</f>
        <v>210228.91</v>
      </c>
      <c r="I69" s="113"/>
      <c r="N69" s="600" t="s">
        <v>407</v>
      </c>
      <c r="O69" s="601"/>
      <c r="P69" s="41">
        <f>P30</f>
        <v>0</v>
      </c>
      <c r="Q69" s="606" t="s">
        <v>409</v>
      </c>
      <c r="R69" s="607"/>
      <c r="S69" s="607"/>
      <c r="T69" s="604">
        <f>H69</f>
        <v>210228.91</v>
      </c>
      <c r="U69" s="604"/>
    </row>
    <row r="70" spans="1:22" x14ac:dyDescent="0.25">
      <c r="B70" s="69"/>
      <c r="G70" s="42" t="s">
        <v>12</v>
      </c>
      <c r="H70" s="114">
        <f>ROUND(C69/H69,6)</f>
        <v>3.1099999999999999E-3</v>
      </c>
      <c r="I70" s="115"/>
      <c r="N70" s="601"/>
      <c r="O70" s="601"/>
      <c r="P70" s="601"/>
      <c r="Q70" s="601"/>
      <c r="R70" s="601"/>
      <c r="S70" s="601"/>
      <c r="T70" s="605">
        <f>ROUND(P69/T69,6)</f>
        <v>0</v>
      </c>
      <c r="U70" s="605"/>
    </row>
    <row r="71" spans="1:22" x14ac:dyDescent="0.25">
      <c r="A71" s="442" t="s">
        <v>451</v>
      </c>
      <c r="N71" s="453" t="s">
        <v>459</v>
      </c>
      <c r="O71" s="51"/>
      <c r="P71" s="51"/>
      <c r="Q71" s="51"/>
      <c r="R71" s="51"/>
      <c r="S71" s="51"/>
      <c r="T71" s="51"/>
      <c r="U71" s="51"/>
    </row>
    <row r="72" spans="1:22" x14ac:dyDescent="0.25">
      <c r="A72" s="584" t="s">
        <v>404</v>
      </c>
      <c r="B72" s="578"/>
      <c r="C72" s="112">
        <f>H30</f>
        <v>655.94200000000001</v>
      </c>
      <c r="D72" s="565" t="s">
        <v>415</v>
      </c>
      <c r="E72" s="565"/>
      <c r="F72" s="565"/>
      <c r="G72" s="565"/>
      <c r="H72" s="301">
        <f>'1461'!H72</f>
        <v>234891.44</v>
      </c>
      <c r="I72" s="116"/>
      <c r="N72" s="600" t="s">
        <v>408</v>
      </c>
      <c r="O72" s="601"/>
      <c r="P72" s="41">
        <f>T30</f>
        <v>0</v>
      </c>
      <c r="Q72" s="606" t="s">
        <v>410</v>
      </c>
      <c r="R72" s="607"/>
      <c r="S72" s="607"/>
      <c r="T72" s="604">
        <f>H72</f>
        <v>234891.44</v>
      </c>
      <c r="U72" s="604"/>
    </row>
    <row r="73" spans="1:22" x14ac:dyDescent="0.25">
      <c r="G73" s="42" t="s">
        <v>12</v>
      </c>
      <c r="H73" s="114">
        <f>ROUND(C72/H72,6)</f>
        <v>2.7929999999999999E-3</v>
      </c>
      <c r="I73" s="114"/>
      <c r="N73" s="601"/>
      <c r="O73" s="601"/>
      <c r="P73" s="601"/>
      <c r="Q73" s="601"/>
      <c r="R73" s="601"/>
      <c r="S73" s="601"/>
      <c r="T73" s="605">
        <f>ROUND(P72/T72,6)</f>
        <v>0</v>
      </c>
      <c r="U73" s="605"/>
    </row>
    <row r="74" spans="1:22" x14ac:dyDescent="0.25">
      <c r="A74" s="417" t="s">
        <v>452</v>
      </c>
      <c r="B74" s="414"/>
      <c r="C74" s="414"/>
      <c r="D74" s="414"/>
      <c r="E74" s="414"/>
      <c r="F74" s="414"/>
      <c r="G74" s="414"/>
      <c r="H74" s="414"/>
      <c r="I74" s="414"/>
      <c r="N74" s="416" t="s">
        <v>460</v>
      </c>
      <c r="O74" s="415"/>
      <c r="P74" s="415"/>
      <c r="Q74" s="415"/>
      <c r="R74" s="415"/>
      <c r="S74" s="415"/>
      <c r="T74" s="415"/>
      <c r="U74" s="415"/>
      <c r="V74" s="414"/>
    </row>
    <row r="75" spans="1:22" x14ac:dyDescent="0.25">
      <c r="A75" s="584" t="s">
        <v>405</v>
      </c>
      <c r="B75" s="578"/>
      <c r="C75" s="112">
        <f>E30</f>
        <v>653.82999999999993</v>
      </c>
      <c r="D75" s="557" t="s">
        <v>416</v>
      </c>
      <c r="E75" s="557"/>
      <c r="F75" s="557"/>
      <c r="G75" s="557"/>
      <c r="H75" s="300">
        <f>'1461'!H75</f>
        <v>187665.41</v>
      </c>
      <c r="I75" s="113"/>
      <c r="N75" s="600" t="s">
        <v>406</v>
      </c>
      <c r="O75" s="601"/>
      <c r="P75" s="41">
        <f>P30</f>
        <v>0</v>
      </c>
      <c r="Q75" s="636" t="s">
        <v>411</v>
      </c>
      <c r="R75" s="637"/>
      <c r="S75" s="637"/>
      <c r="T75" s="604">
        <f>H75</f>
        <v>187665.41</v>
      </c>
      <c r="U75" s="604"/>
    </row>
    <row r="76" spans="1:22" x14ac:dyDescent="0.25">
      <c r="B76" s="69"/>
      <c r="G76" s="42" t="s">
        <v>12</v>
      </c>
      <c r="H76" s="114">
        <f>ROUND(C75/H75,6)</f>
        <v>3.4840000000000001E-3</v>
      </c>
      <c r="I76" s="115"/>
      <c r="N76" s="601"/>
      <c r="O76" s="601"/>
      <c r="P76" s="601"/>
      <c r="Q76" s="601"/>
      <c r="R76" s="601"/>
      <c r="S76" s="601"/>
      <c r="T76" s="605">
        <f>ROUND(P75/T75,6)</f>
        <v>0</v>
      </c>
      <c r="U76" s="605"/>
    </row>
    <row r="77" spans="1:22" x14ac:dyDescent="0.25">
      <c r="A77" s="417" t="s">
        <v>453</v>
      </c>
      <c r="B77" s="414"/>
      <c r="C77" s="414"/>
      <c r="D77" s="414"/>
      <c r="E77" s="414"/>
      <c r="F77" s="414"/>
      <c r="G77" s="414"/>
      <c r="H77" s="414"/>
      <c r="I77" s="414"/>
      <c r="N77" s="416" t="s">
        <v>461</v>
      </c>
      <c r="O77" s="415"/>
      <c r="P77" s="415"/>
      <c r="Q77" s="415"/>
      <c r="R77" s="415"/>
      <c r="S77" s="415"/>
      <c r="T77" s="415"/>
      <c r="U77" s="415"/>
      <c r="V77" s="414"/>
    </row>
    <row r="78" spans="1:22" x14ac:dyDescent="0.25">
      <c r="A78" s="584" t="s">
        <v>405</v>
      </c>
      <c r="B78" s="578"/>
      <c r="C78" s="112">
        <f>E30</f>
        <v>653.82999999999993</v>
      </c>
      <c r="D78" s="585" t="s">
        <v>417</v>
      </c>
      <c r="E78" s="585"/>
      <c r="F78" s="585"/>
      <c r="G78" s="585"/>
      <c r="H78" s="300">
        <f>'1461'!H78</f>
        <v>209892.26</v>
      </c>
      <c r="I78" s="113"/>
      <c r="N78" s="600" t="s">
        <v>406</v>
      </c>
      <c r="O78" s="601"/>
      <c r="P78" s="41">
        <f>P30</f>
        <v>0</v>
      </c>
      <c r="Q78" s="634" t="s">
        <v>412</v>
      </c>
      <c r="R78" s="635"/>
      <c r="S78" s="635"/>
      <c r="T78" s="604">
        <f>H78</f>
        <v>209892.26</v>
      </c>
      <c r="U78" s="604"/>
    </row>
    <row r="79" spans="1:22" x14ac:dyDescent="0.25">
      <c r="B79" s="69"/>
      <c r="G79" s="42" t="s">
        <v>12</v>
      </c>
      <c r="H79" s="114">
        <f>ROUND(C78/H78,6)</f>
        <v>3.1150000000000001E-3</v>
      </c>
      <c r="I79" s="115"/>
      <c r="N79" s="601"/>
      <c r="O79" s="601"/>
      <c r="P79" s="601"/>
      <c r="Q79" s="601"/>
      <c r="R79" s="601"/>
      <c r="S79" s="601"/>
      <c r="T79" s="605">
        <f>ROUND(P78/T78,6)</f>
        <v>0</v>
      </c>
      <c r="U79" s="605"/>
    </row>
    <row r="80" spans="1:22" x14ac:dyDescent="0.25">
      <c r="A80" s="417" t="s">
        <v>454</v>
      </c>
      <c r="B80" s="414"/>
      <c r="C80" s="414"/>
      <c r="D80" s="414"/>
      <c r="E80" s="414"/>
      <c r="F80" s="414"/>
      <c r="G80" s="414"/>
      <c r="H80" s="414"/>
      <c r="I80" s="414"/>
      <c r="N80" s="416" t="s">
        <v>462</v>
      </c>
      <c r="O80" s="415"/>
      <c r="P80" s="415"/>
      <c r="Q80" s="415"/>
      <c r="R80" s="415"/>
      <c r="S80" s="415"/>
      <c r="T80" s="415"/>
      <c r="U80" s="415"/>
      <c r="V80" s="414"/>
    </row>
    <row r="81" spans="1:21" x14ac:dyDescent="0.25">
      <c r="A81" s="584" t="s">
        <v>413</v>
      </c>
      <c r="B81" s="578"/>
      <c r="C81" s="112">
        <f>E30</f>
        <v>653.82999999999993</v>
      </c>
      <c r="D81" s="557" t="s">
        <v>418</v>
      </c>
      <c r="E81" s="557"/>
      <c r="F81" s="557"/>
      <c r="G81" s="557"/>
      <c r="H81" s="300">
        <f>'1461'!H81</f>
        <v>187328.76</v>
      </c>
      <c r="I81" s="113"/>
      <c r="N81" s="600" t="s">
        <v>419</v>
      </c>
      <c r="O81" s="601"/>
      <c r="P81" s="41">
        <f>P30</f>
        <v>0</v>
      </c>
      <c r="Q81" s="636" t="s">
        <v>420</v>
      </c>
      <c r="R81" s="637"/>
      <c r="S81" s="637"/>
      <c r="T81" s="604">
        <f>H81</f>
        <v>187328.76</v>
      </c>
      <c r="U81" s="604"/>
    </row>
    <row r="82" spans="1:21" x14ac:dyDescent="0.25">
      <c r="B82" s="69"/>
      <c r="G82" s="42" t="s">
        <v>12</v>
      </c>
      <c r="H82" s="114">
        <f>ROUND(C81/H81,6)</f>
        <v>3.49E-3</v>
      </c>
      <c r="I82" s="115"/>
      <c r="N82" s="601"/>
      <c r="O82" s="601"/>
      <c r="P82" s="601"/>
      <c r="Q82" s="601"/>
      <c r="R82" s="601"/>
      <c r="S82" s="601"/>
      <c r="T82" s="605">
        <f>ROUND(P81/T81,6)</f>
        <v>0</v>
      </c>
      <c r="U82" s="605"/>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455</v>
      </c>
      <c r="D85" s="69"/>
      <c r="E85" s="43" t="s">
        <v>299</v>
      </c>
      <c r="F85" s="302">
        <f>'1461'!F85</f>
        <v>46163704</v>
      </c>
      <c r="G85" s="37" t="s">
        <v>6</v>
      </c>
      <c r="H85" s="422">
        <f>H79</f>
        <v>3.1150000000000001E-3</v>
      </c>
      <c r="I85" s="101">
        <f>ROUND(F85*H85,2)</f>
        <v>143799.94</v>
      </c>
      <c r="N85" s="453" t="s">
        <v>455</v>
      </c>
      <c r="O85" s="51"/>
      <c r="P85" s="51"/>
      <c r="Q85" s="44"/>
      <c r="R85" s="419">
        <f>F85</f>
        <v>46163704</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87" t="s">
        <v>71</v>
      </c>
      <c r="B87" s="578"/>
      <c r="C87" s="578"/>
      <c r="D87" s="69"/>
      <c r="E87" s="43"/>
      <c r="F87" s="117"/>
      <c r="G87" s="37"/>
      <c r="H87" s="422"/>
      <c r="I87" s="101"/>
      <c r="N87" s="600" t="s">
        <v>463</v>
      </c>
      <c r="O87" s="601"/>
      <c r="P87" s="601"/>
      <c r="Q87" s="51"/>
      <c r="R87" s="420"/>
      <c r="S87" s="51"/>
      <c r="T87" s="38"/>
      <c r="U87" s="478"/>
    </row>
    <row r="88" spans="1:21" x14ac:dyDescent="0.25">
      <c r="A88" s="587" t="s">
        <v>99</v>
      </c>
      <c r="B88" s="578"/>
      <c r="C88" s="578"/>
      <c r="D88" s="69"/>
      <c r="E88" s="43" t="s">
        <v>3</v>
      </c>
      <c r="F88" s="302">
        <f>'1461'!F88</f>
        <v>0</v>
      </c>
      <c r="G88" s="37" t="s">
        <v>6</v>
      </c>
      <c r="H88" s="422">
        <f>H70</f>
        <v>3.1099999999999999E-3</v>
      </c>
      <c r="I88" s="101">
        <f>ROUND(F88*H88,2)</f>
        <v>0</v>
      </c>
      <c r="N88" s="638" t="s">
        <v>99</v>
      </c>
      <c r="O88" s="601"/>
      <c r="P88" s="601"/>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456</v>
      </c>
      <c r="D90" s="69"/>
      <c r="E90" s="43" t="s">
        <v>421</v>
      </c>
      <c r="F90" s="302">
        <f>'1461'!F90</f>
        <v>19042026</v>
      </c>
      <c r="G90" s="37" t="s">
        <v>6</v>
      </c>
      <c r="H90" s="422">
        <f>H82</f>
        <v>3.49E-3</v>
      </c>
      <c r="I90" s="101">
        <f>ROUND(F90*H90,2)</f>
        <v>66456.67</v>
      </c>
      <c r="N90" s="453" t="s">
        <v>456</v>
      </c>
      <c r="O90" s="51"/>
      <c r="P90" s="51"/>
      <c r="Q90" s="44"/>
      <c r="R90" s="419">
        <f>F90</f>
        <v>19042026</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457</v>
      </c>
      <c r="D92" s="69"/>
      <c r="E92" s="43" t="s">
        <v>3</v>
      </c>
      <c r="F92" s="302">
        <f>'1461'!F92</f>
        <v>11441151</v>
      </c>
      <c r="G92" s="37" t="s">
        <v>6</v>
      </c>
      <c r="H92" s="422">
        <f>H76</f>
        <v>3.4840000000000001E-3</v>
      </c>
      <c r="I92" s="101">
        <f t="shared" ref="I92:I96" si="14">ROUND(F92*H92,2)</f>
        <v>39860.97</v>
      </c>
      <c r="N92" s="453" t="s">
        <v>457</v>
      </c>
      <c r="O92" s="51"/>
      <c r="P92" s="51"/>
      <c r="Q92" s="44"/>
      <c r="R92" s="419">
        <f t="shared" ref="R92:R96" si="15">F92</f>
        <v>11441151</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84" t="s">
        <v>422</v>
      </c>
      <c r="B94" s="578"/>
      <c r="C94" s="578"/>
      <c r="D94" s="69"/>
      <c r="E94" s="43" t="s">
        <v>4</v>
      </c>
      <c r="F94" s="302">
        <f>'1461'!F94</f>
        <v>247265670</v>
      </c>
      <c r="G94" s="37" t="s">
        <v>6</v>
      </c>
      <c r="H94" s="422">
        <f>H73</f>
        <v>2.7929999999999999E-3</v>
      </c>
      <c r="I94" s="101">
        <f t="shared" si="14"/>
        <v>690613.02</v>
      </c>
      <c r="N94" s="601" t="s">
        <v>422</v>
      </c>
      <c r="O94" s="601"/>
      <c r="P94" s="601"/>
      <c r="Q94" s="44"/>
      <c r="R94" s="419">
        <f t="shared" si="15"/>
        <v>247265670</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4" t="s">
        <v>423</v>
      </c>
      <c r="B96" s="578"/>
      <c r="C96" s="578"/>
      <c r="D96" s="69"/>
      <c r="E96" s="43" t="s">
        <v>4</v>
      </c>
      <c r="F96" s="302">
        <f>'1461'!F96</f>
        <v>0</v>
      </c>
      <c r="G96" s="37" t="s">
        <v>6</v>
      </c>
      <c r="H96" s="422">
        <f>H73</f>
        <v>2.7929999999999999E-3</v>
      </c>
      <c r="I96" s="101">
        <f t="shared" si="14"/>
        <v>0</v>
      </c>
      <c r="N96" s="600" t="s">
        <v>423</v>
      </c>
      <c r="O96" s="601"/>
      <c r="P96" s="601"/>
      <c r="Q96" s="44"/>
      <c r="R96" s="419">
        <f t="shared" si="15"/>
        <v>0</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530" t="s">
        <v>497</v>
      </c>
      <c r="B98" s="529"/>
      <c r="C98" s="529"/>
      <c r="D98" s="529"/>
      <c r="E98" s="527" t="s">
        <v>3</v>
      </c>
      <c r="F98" s="290">
        <v>0</v>
      </c>
      <c r="G98" s="528" t="s">
        <v>6</v>
      </c>
      <c r="H98" s="422">
        <f>H70</f>
        <v>3.1099999999999999E-3</v>
      </c>
      <c r="I98" s="101">
        <f t="shared" ref="I98" si="16">ROUND(F98*H98,2)</f>
        <v>0</v>
      </c>
      <c r="N98" s="533" t="s">
        <v>497</v>
      </c>
      <c r="O98" s="533"/>
      <c r="P98" s="533"/>
      <c r="Q98" s="44"/>
      <c r="R98" s="536">
        <f>F98</f>
        <v>0</v>
      </c>
      <c r="S98" s="534" t="s">
        <v>6</v>
      </c>
      <c r="T98" s="421">
        <f>T70</f>
        <v>0</v>
      </c>
      <c r="U98" s="473">
        <f>ROUND(R98*T98,2)</f>
        <v>0</v>
      </c>
    </row>
    <row r="99" spans="1:21" x14ac:dyDescent="0.25">
      <c r="A99" s="530"/>
      <c r="B99" s="529"/>
      <c r="C99" s="529"/>
      <c r="D99" s="529"/>
      <c r="E99" s="527"/>
      <c r="F99" s="276"/>
      <c r="G99" s="528"/>
      <c r="H99" s="422"/>
      <c r="I99" s="101"/>
      <c r="N99" s="533"/>
      <c r="O99" s="533"/>
      <c r="P99" s="533"/>
      <c r="Q99" s="44"/>
      <c r="R99" s="535"/>
      <c r="S99" s="534"/>
      <c r="T99" s="421"/>
      <c r="U99" s="477"/>
    </row>
    <row r="100" spans="1:21" x14ac:dyDescent="0.25">
      <c r="A100" s="530"/>
      <c r="B100" s="529"/>
      <c r="C100" s="529"/>
      <c r="D100" s="529"/>
      <c r="E100" s="527"/>
      <c r="F100" s="276"/>
      <c r="G100" s="528"/>
      <c r="H100" s="422"/>
      <c r="I100" s="101"/>
      <c r="N100" s="533"/>
      <c r="O100" s="533"/>
      <c r="P100" s="533"/>
      <c r="Q100" s="44"/>
      <c r="R100" s="420"/>
      <c r="S100" s="534"/>
      <c r="T100" s="421"/>
      <c r="U100" s="103"/>
    </row>
    <row r="101" spans="1:21" x14ac:dyDescent="0.25">
      <c r="A101" s="399" t="s">
        <v>498</v>
      </c>
      <c r="N101" s="407" t="s">
        <v>498</v>
      </c>
      <c r="O101" s="51"/>
      <c r="P101" s="51"/>
      <c r="Q101" s="51"/>
      <c r="R101" s="51"/>
      <c r="S101" s="51"/>
      <c r="T101" s="51"/>
      <c r="U101" s="51"/>
    </row>
    <row r="102" spans="1:21" x14ac:dyDescent="0.25">
      <c r="B102" s="69"/>
      <c r="C102" s="563" t="s">
        <v>60</v>
      </c>
      <c r="D102" s="563"/>
      <c r="E102" s="69"/>
      <c r="F102" s="39" t="s">
        <v>28</v>
      </c>
      <c r="G102" s="69"/>
      <c r="H102" s="69"/>
      <c r="I102" s="69"/>
      <c r="N102" s="45"/>
      <c r="O102" s="45"/>
      <c r="P102" s="45"/>
      <c r="Q102" s="45"/>
      <c r="R102" s="45"/>
      <c r="S102" s="45"/>
      <c r="T102" s="45"/>
      <c r="U102" s="45"/>
    </row>
    <row r="103" spans="1:21" x14ac:dyDescent="0.25">
      <c r="A103" s="3"/>
      <c r="B103" s="118"/>
      <c r="C103" s="564" t="s">
        <v>101</v>
      </c>
      <c r="D103" s="564"/>
      <c r="E103" s="423" t="s">
        <v>426</v>
      </c>
      <c r="F103" s="120" t="s">
        <v>106</v>
      </c>
      <c r="G103" s="121"/>
      <c r="H103" s="121"/>
      <c r="I103" s="121"/>
      <c r="N103" s="631" t="s">
        <v>35</v>
      </c>
      <c r="O103" s="631"/>
      <c r="P103" s="672" t="s">
        <v>428</v>
      </c>
      <c r="Q103" s="633"/>
      <c r="R103" s="604" t="s">
        <v>31</v>
      </c>
      <c r="S103" s="604"/>
      <c r="T103" s="604"/>
      <c r="U103" s="604"/>
    </row>
    <row r="104" spans="1:21" x14ac:dyDescent="0.25">
      <c r="A104" s="26"/>
      <c r="B104" s="52" t="s">
        <v>105</v>
      </c>
      <c r="C104" s="596">
        <f>H14+H15+H20+H23+H26</f>
        <v>0</v>
      </c>
      <c r="D104" s="596"/>
      <c r="E104" s="46">
        <f>H8</f>
        <v>1.0407999999999999</v>
      </c>
      <c r="F104" s="303">
        <f>'1461'!F104</f>
        <v>950.92</v>
      </c>
      <c r="G104" s="39" t="s">
        <v>12</v>
      </c>
      <c r="H104" s="101">
        <f>ROUND(C104*E104*F104,2)</f>
        <v>0</v>
      </c>
      <c r="I104" s="104"/>
      <c r="N104" s="28" t="s">
        <v>17</v>
      </c>
      <c r="O104" s="47">
        <f>T14+T15+T20+T23+T26</f>
        <v>0</v>
      </c>
      <c r="P104" s="611">
        <f>T8</f>
        <v>1.0407999999999999</v>
      </c>
      <c r="Q104" s="611"/>
      <c r="R104" s="48">
        <f>F104</f>
        <v>950.92</v>
      </c>
      <c r="S104" s="40" t="s">
        <v>12</v>
      </c>
      <c r="T104" s="479">
        <f>ROUND(O104*P104*R104,2)</f>
        <v>0</v>
      </c>
      <c r="U104" s="102"/>
    </row>
    <row r="105" spans="1:21" x14ac:dyDescent="0.25">
      <c r="A105" s="49"/>
      <c r="B105" s="49" t="s">
        <v>104</v>
      </c>
      <c r="C105" s="596">
        <f>H16+H17+H21+H24+H27</f>
        <v>655.94200000000001</v>
      </c>
      <c r="D105" s="596"/>
      <c r="E105" s="46">
        <f>H8</f>
        <v>1.0407999999999999</v>
      </c>
      <c r="F105" s="303">
        <f>'1461'!F105</f>
        <v>907.92</v>
      </c>
      <c r="G105" s="39" t="s">
        <v>12</v>
      </c>
      <c r="H105" s="101">
        <f>ROUND(C105*E105*F105,2)</f>
        <v>619841.01</v>
      </c>
      <c r="N105" s="50" t="s">
        <v>13</v>
      </c>
      <c r="O105" s="47">
        <f>T16+T17+T21+T24+T27</f>
        <v>0</v>
      </c>
      <c r="P105" s="611">
        <f>T8</f>
        <v>1.0407999999999999</v>
      </c>
      <c r="Q105" s="611"/>
      <c r="R105" s="48">
        <f>F105</f>
        <v>907.92</v>
      </c>
      <c r="S105" s="40" t="s">
        <v>12</v>
      </c>
      <c r="T105" s="479">
        <f>ROUND(O105*P105*R105,2)</f>
        <v>0</v>
      </c>
      <c r="U105" s="51"/>
    </row>
    <row r="106" spans="1:21" ht="16.5" thickBot="1" x14ac:dyDescent="0.3">
      <c r="A106" s="52"/>
      <c r="B106" s="52" t="s">
        <v>103</v>
      </c>
      <c r="C106" s="596">
        <f>H18+H19+H22+H25+H28+H29</f>
        <v>0</v>
      </c>
      <c r="D106" s="596"/>
      <c r="E106" s="46">
        <f>H8</f>
        <v>1.0407999999999999</v>
      </c>
      <c r="F106" s="303">
        <f>'1461'!F106</f>
        <v>910.12</v>
      </c>
      <c r="G106" s="39" t="s">
        <v>12</v>
      </c>
      <c r="H106" s="94">
        <f>ROUND(C106*E106*F106,2)</f>
        <v>0</v>
      </c>
      <c r="N106" s="53" t="s">
        <v>14</v>
      </c>
      <c r="O106" s="54">
        <f>T18+T19+T22+T25+T28+T29</f>
        <v>0</v>
      </c>
      <c r="P106" s="611">
        <f>T8</f>
        <v>1.0407999999999999</v>
      </c>
      <c r="Q106" s="611"/>
      <c r="R106" s="48">
        <f>F106</f>
        <v>910.12</v>
      </c>
      <c r="S106" s="40" t="s">
        <v>12</v>
      </c>
      <c r="T106" s="479">
        <f>ROUND(O106*P106*R106,2)</f>
        <v>0</v>
      </c>
      <c r="U106" s="51"/>
    </row>
    <row r="107" spans="1:21" ht="16.5" thickBot="1" x14ac:dyDescent="0.3">
      <c r="A107" s="55"/>
      <c r="B107" s="122" t="s">
        <v>102</v>
      </c>
      <c r="C107" s="586">
        <f>SUM(C104:C106)</f>
        <v>655.94200000000001</v>
      </c>
      <c r="D107" s="586"/>
      <c r="E107" s="123"/>
      <c r="F107" s="123"/>
      <c r="G107" s="123"/>
      <c r="H107" s="124" t="s">
        <v>100</v>
      </c>
      <c r="I107" s="101">
        <f>IF(A1=75,0,H106+H105+H104)</f>
        <v>619841.01</v>
      </c>
      <c r="N107" s="56" t="s">
        <v>89</v>
      </c>
      <c r="O107" s="57">
        <f>SUM(O104:O106)</f>
        <v>0</v>
      </c>
      <c r="P107" s="612" t="s">
        <v>16</v>
      </c>
      <c r="Q107" s="613"/>
      <c r="R107" s="613"/>
      <c r="S107" s="613"/>
      <c r="T107" s="613"/>
      <c r="U107" s="473">
        <f>IF(N1=75,0,T106+T105+T104)</f>
        <v>0</v>
      </c>
    </row>
    <row r="108" spans="1:21" ht="16.5" thickTop="1" x14ac:dyDescent="0.25">
      <c r="A108" s="555" t="s">
        <v>65</v>
      </c>
      <c r="B108" s="555"/>
      <c r="C108" s="555"/>
      <c r="D108" s="555"/>
      <c r="E108" s="555"/>
      <c r="F108" s="555"/>
      <c r="G108" s="555"/>
      <c r="H108" s="555"/>
      <c r="I108" s="555"/>
      <c r="N108" s="614" t="s">
        <v>65</v>
      </c>
      <c r="O108" s="614"/>
      <c r="P108" s="614"/>
      <c r="Q108" s="614"/>
      <c r="R108" s="614"/>
      <c r="S108" s="614"/>
      <c r="T108" s="614"/>
      <c r="U108" s="614"/>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0" t="s">
        <v>499</v>
      </c>
      <c r="C110" s="43"/>
      <c r="D110" s="69"/>
      <c r="E110" s="43" t="s">
        <v>32</v>
      </c>
      <c r="F110" s="556"/>
      <c r="G110" s="556"/>
      <c r="H110" s="556"/>
      <c r="I110" s="556"/>
      <c r="N110" s="600" t="s">
        <v>499</v>
      </c>
      <c r="O110" s="601"/>
      <c r="P110" s="601"/>
      <c r="Q110" s="615"/>
      <c r="R110" s="615"/>
      <c r="S110" s="615"/>
      <c r="T110" s="615"/>
      <c r="U110" s="103"/>
    </row>
    <row r="111" spans="1:21" x14ac:dyDescent="0.25">
      <c r="B111" s="69"/>
      <c r="C111" s="88" t="s">
        <v>494</v>
      </c>
      <c r="D111" s="333" t="s">
        <v>495</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57" t="s">
        <v>381</v>
      </c>
      <c r="B113" s="558"/>
      <c r="C113" s="143">
        <v>1</v>
      </c>
      <c r="D113" s="143">
        <v>4</v>
      </c>
      <c r="E113" s="116">
        <f>(C113+D113)/2</f>
        <v>2.5</v>
      </c>
      <c r="F113" s="126" t="s">
        <v>30</v>
      </c>
      <c r="G113" s="304">
        <f>'1461'!G113</f>
        <v>576</v>
      </c>
      <c r="I113" s="101">
        <f>ROUND(G113*E113,2)</f>
        <v>1440</v>
      </c>
      <c r="N113" s="630" t="s">
        <v>52</v>
      </c>
      <c r="O113" s="630"/>
      <c r="P113" s="610">
        <f>IF(H133=1,E113,0)</f>
        <v>0</v>
      </c>
      <c r="Q113" s="610"/>
      <c r="R113" s="610"/>
      <c r="S113" s="83" t="s">
        <v>30</v>
      </c>
      <c r="T113" s="58">
        <f>G113</f>
        <v>576</v>
      </c>
      <c r="U113" s="473">
        <f>ROUND(T113*P113,2)</f>
        <v>0</v>
      </c>
    </row>
    <row r="114" spans="1:21" x14ac:dyDescent="0.25">
      <c r="A114" s="557" t="s">
        <v>382</v>
      </c>
      <c r="B114" s="558"/>
      <c r="C114" s="143">
        <v>0</v>
      </c>
      <c r="D114" s="143">
        <v>0</v>
      </c>
      <c r="E114" s="116">
        <f>(C114+D114)/2</f>
        <v>0</v>
      </c>
      <c r="F114" s="126" t="s">
        <v>30</v>
      </c>
      <c r="G114" s="304">
        <f>'1461'!G114</f>
        <v>1823</v>
      </c>
      <c r="I114" s="101">
        <f>ROUND(G114*E114,2)</f>
        <v>0</v>
      </c>
      <c r="N114" s="630" t="s">
        <v>64</v>
      </c>
      <c r="O114" s="630"/>
      <c r="P114" s="608"/>
      <c r="Q114" s="608"/>
      <c r="R114" s="608"/>
      <c r="S114" s="83" t="s">
        <v>30</v>
      </c>
      <c r="T114" s="58">
        <f>G114</f>
        <v>1823</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4" t="s">
        <v>430</v>
      </c>
      <c r="B117" s="578"/>
      <c r="C117" s="578"/>
      <c r="D117" s="69"/>
      <c r="E117" s="39" t="s">
        <v>300</v>
      </c>
      <c r="F117" s="563"/>
      <c r="G117" s="563"/>
      <c r="H117" s="563"/>
      <c r="I117" s="563"/>
      <c r="N117" s="600" t="s">
        <v>431</v>
      </c>
      <c r="O117" s="601"/>
      <c r="P117" s="601"/>
      <c r="Q117" s="601"/>
      <c r="R117" s="601"/>
      <c r="S117" s="601"/>
      <c r="T117" s="601"/>
      <c r="U117" s="601"/>
    </row>
    <row r="118" spans="1:21" hidden="1" x14ac:dyDescent="0.25">
      <c r="B118" s="69"/>
      <c r="C118" s="564" t="s">
        <v>66</v>
      </c>
      <c r="D118" s="564"/>
      <c r="E118" s="564"/>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5" t="s">
        <v>109</v>
      </c>
      <c r="G119" s="563"/>
      <c r="H119" s="37" t="s">
        <v>29</v>
      </c>
      <c r="I119" s="37"/>
      <c r="N119" s="45"/>
      <c r="O119" s="45"/>
      <c r="P119" s="45"/>
      <c r="Q119" s="45"/>
      <c r="R119" s="45"/>
      <c r="S119" s="45"/>
      <c r="T119" s="45"/>
      <c r="U119" s="45"/>
    </row>
    <row r="120" spans="1:21" hidden="1" x14ac:dyDescent="0.25">
      <c r="A120" s="564" t="s">
        <v>69</v>
      </c>
      <c r="B120" s="564"/>
      <c r="C120" s="90" t="s">
        <v>2</v>
      </c>
      <c r="D120" s="90" t="s">
        <v>2</v>
      </c>
      <c r="E120" s="59" t="s">
        <v>2</v>
      </c>
      <c r="F120" s="564" t="s">
        <v>28</v>
      </c>
      <c r="G120" s="564"/>
      <c r="H120" s="59" t="s">
        <v>28</v>
      </c>
      <c r="I120" s="59" t="s">
        <v>8</v>
      </c>
      <c r="N120" s="609" t="s">
        <v>53</v>
      </c>
      <c r="O120" s="609"/>
      <c r="P120" s="610" t="s">
        <v>66</v>
      </c>
      <c r="Q120" s="610"/>
      <c r="R120" s="609" t="s">
        <v>54</v>
      </c>
      <c r="S120" s="609"/>
      <c r="T120" s="60" t="s">
        <v>55</v>
      </c>
      <c r="U120" s="60" t="s">
        <v>8</v>
      </c>
    </row>
    <row r="121" spans="1:21" hidden="1" x14ac:dyDescent="0.25">
      <c r="A121" s="561" t="s">
        <v>56</v>
      </c>
      <c r="B121" s="561"/>
      <c r="C121" s="141">
        <v>0</v>
      </c>
      <c r="D121" s="141">
        <v>0</v>
      </c>
      <c r="E121" s="187">
        <f>IF(D30=0,C121*2,C121+D121)</f>
        <v>0</v>
      </c>
      <c r="F121" s="562">
        <v>0</v>
      </c>
      <c r="G121" s="562"/>
      <c r="H121" s="224">
        <f>IF(C121=0,0,125)</f>
        <v>0</v>
      </c>
      <c r="I121" s="101">
        <f>ROUND((H121+F121)*E121,2)</f>
        <v>0</v>
      </c>
      <c r="N121" s="601" t="s">
        <v>56</v>
      </c>
      <c r="O121" s="601"/>
      <c r="P121" s="608">
        <f>IF(H$133=1,C121,0)</f>
        <v>0</v>
      </c>
      <c r="Q121" s="608"/>
      <c r="R121" s="628">
        <f>F121</f>
        <v>0</v>
      </c>
      <c r="S121" s="628"/>
      <c r="T121" s="62">
        <f>H121</f>
        <v>0</v>
      </c>
      <c r="U121" s="96">
        <f>ROUND((T121+R121)*P121,0)</f>
        <v>0</v>
      </c>
    </row>
    <row r="122" spans="1:21" hidden="1" x14ac:dyDescent="0.25">
      <c r="A122" s="581" t="s">
        <v>57</v>
      </c>
      <c r="B122" s="581"/>
      <c r="C122" s="143">
        <v>0</v>
      </c>
      <c r="D122" s="143">
        <v>0</v>
      </c>
      <c r="E122" s="116">
        <f>IF(D31=0,C122*2,C122+D122)</f>
        <v>0</v>
      </c>
      <c r="F122" s="598">
        <f>ROUND(F121/2,2)</f>
        <v>0</v>
      </c>
      <c r="G122" s="598"/>
      <c r="H122" s="224">
        <f>IF(C122=0,0,62.5)</f>
        <v>0</v>
      </c>
      <c r="I122" s="101">
        <f>ROUND((H122+F122)*E122,2)</f>
        <v>0</v>
      </c>
      <c r="N122" s="601" t="s">
        <v>57</v>
      </c>
      <c r="O122" s="601"/>
      <c r="P122" s="608">
        <f>IF(H$133=1,C122,0)</f>
        <v>0</v>
      </c>
      <c r="Q122" s="608"/>
      <c r="R122" s="629">
        <f>ROUND(R121/2,2)</f>
        <v>0</v>
      </c>
      <c r="S122" s="629"/>
      <c r="T122" s="62">
        <f>H122</f>
        <v>0</v>
      </c>
      <c r="U122" s="96">
        <f>ROUND((T122+R122)*P122,0)</f>
        <v>0</v>
      </c>
    </row>
    <row r="123" spans="1:21" ht="16.5" hidden="1" thickBot="1" x14ac:dyDescent="0.3">
      <c r="A123" s="581" t="s">
        <v>58</v>
      </c>
      <c r="B123" s="581"/>
      <c r="C123" s="143">
        <v>0</v>
      </c>
      <c r="D123" s="143">
        <v>0</v>
      </c>
      <c r="E123" s="116">
        <f>IF(D32=0,C123*2,C123+D123)</f>
        <v>0</v>
      </c>
      <c r="F123" s="599"/>
      <c r="G123" s="599"/>
      <c r="H123" s="225">
        <f>IF(H121&gt;0,436,0)</f>
        <v>0</v>
      </c>
      <c r="I123" s="101">
        <f>ROUND(H123*E123,2)</f>
        <v>0</v>
      </c>
      <c r="N123" s="616" t="s">
        <v>58</v>
      </c>
      <c r="O123" s="616"/>
      <c r="P123" s="608">
        <f>IF(H$133=1,C123,0)</f>
        <v>0</v>
      </c>
      <c r="Q123" s="608"/>
      <c r="R123" s="609"/>
      <c r="S123" s="609"/>
      <c r="T123" s="64">
        <f>H123</f>
        <v>0</v>
      </c>
      <c r="U123" s="103">
        <f>ROUND(T123*P123,0)</f>
        <v>0</v>
      </c>
    </row>
    <row r="124" spans="1:21" ht="16.5" hidden="1" thickBot="1" x14ac:dyDescent="0.3">
      <c r="A124" s="563" t="s">
        <v>8</v>
      </c>
      <c r="B124" s="563"/>
      <c r="C124" s="65"/>
      <c r="D124" s="65"/>
      <c r="E124" s="65"/>
      <c r="F124" s="65"/>
      <c r="G124" s="65"/>
      <c r="H124" s="65"/>
      <c r="I124" s="97">
        <f>SUM(I121:I123)</f>
        <v>0</v>
      </c>
      <c r="N124" s="627" t="s">
        <v>8</v>
      </c>
      <c r="O124" s="627"/>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4" t="s">
        <v>432</v>
      </c>
      <c r="B126" s="578"/>
      <c r="C126" s="578"/>
      <c r="D126" s="69"/>
      <c r="E126" s="68" t="s">
        <v>34</v>
      </c>
      <c r="F126" s="597"/>
      <c r="G126" s="597"/>
      <c r="H126" s="597"/>
      <c r="I126" s="154">
        <v>0</v>
      </c>
      <c r="N126" s="600" t="s">
        <v>432</v>
      </c>
      <c r="O126" s="601"/>
      <c r="P126" s="601"/>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90" t="s">
        <v>8</v>
      </c>
      <c r="B128" s="590"/>
      <c r="C128" s="590"/>
      <c r="D128" s="590"/>
      <c r="E128" s="590"/>
      <c r="F128" s="590"/>
      <c r="G128" s="590"/>
      <c r="H128" s="590"/>
      <c r="I128" s="94">
        <f>SUM(I46,I66,I85,I88,I90,I92,I94,I96,I107,I113,I114,I124,I126)</f>
        <v>5344879.1899999995</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434</v>
      </c>
      <c r="B130" s="26"/>
      <c r="C130" s="26"/>
      <c r="D130" s="26"/>
      <c r="E130" s="26"/>
      <c r="F130" s="26"/>
      <c r="G130" s="26"/>
      <c r="H130" s="26"/>
      <c r="I130" s="101">
        <f>I128-I53</f>
        <v>5129057.8099999996</v>
      </c>
      <c r="N130" s="601" t="s">
        <v>434</v>
      </c>
      <c r="O130" s="601"/>
      <c r="P130" s="601"/>
      <c r="Q130" s="601"/>
      <c r="R130" s="601"/>
      <c r="S130" s="601"/>
      <c r="T130" s="601"/>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4" t="s">
        <v>502</v>
      </c>
      <c r="B132" s="578"/>
      <c r="C132" s="578"/>
      <c r="D132" s="578"/>
      <c r="E132" s="578"/>
      <c r="F132" s="578"/>
      <c r="G132" s="578"/>
      <c r="H132" s="81" t="s">
        <v>333</v>
      </c>
      <c r="I132" s="134"/>
      <c r="N132" s="600" t="s">
        <v>502</v>
      </c>
      <c r="O132" s="601"/>
      <c r="P132" s="601"/>
      <c r="Q132" s="601"/>
      <c r="R132" s="601"/>
      <c r="S132" s="601"/>
      <c r="T132" s="601"/>
      <c r="U132" s="138"/>
    </row>
    <row r="133" spans="1:21" x14ac:dyDescent="0.25">
      <c r="A133" s="578" t="s">
        <v>70</v>
      </c>
      <c r="B133" s="578"/>
      <c r="C133" s="578"/>
      <c r="D133" s="578"/>
      <c r="E133" s="578"/>
      <c r="F133" s="578"/>
      <c r="G133" s="578"/>
      <c r="H133" s="70" t="str">
        <f>IF(E30=0,"",IF((E15+E17+SUM(E19:E25))/E30&gt;0.75,1,""))</f>
        <v/>
      </c>
      <c r="I133" s="116">
        <f>U130</f>
        <v>0</v>
      </c>
      <c r="N133" s="601" t="s">
        <v>70</v>
      </c>
      <c r="O133" s="601"/>
      <c r="P133" s="601"/>
      <c r="Q133" s="601"/>
      <c r="R133" s="601"/>
      <c r="S133" s="601"/>
      <c r="T133" s="601"/>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8" t="s">
        <v>240</v>
      </c>
      <c r="H135" s="139">
        <f>IF(H133=1,I133,I130)</f>
        <v>5129057.8099999996</v>
      </c>
      <c r="I135" s="94">
        <f>ROUND(IF(E30=0,0,IF(E30&gt;250,-(((250/E30)*H135)*IF(G135="H",0.02,0.05)),IF(G135="H",-0.02*H135,-0.05*H135))),2)</f>
        <v>-39223.18</v>
      </c>
      <c r="N135" s="626"/>
      <c r="O135" s="626"/>
      <c r="P135" s="626"/>
      <c r="Q135" s="626"/>
      <c r="R135" s="626"/>
      <c r="S135" s="626"/>
      <c r="T135" s="626"/>
      <c r="U135" s="626"/>
    </row>
    <row r="136" spans="1:21" x14ac:dyDescent="0.25">
      <c r="B136" s="69"/>
      <c r="C136" s="69"/>
      <c r="D136" s="69"/>
      <c r="E136" s="69"/>
      <c r="F136" s="69"/>
      <c r="G136" s="69"/>
      <c r="H136" s="65"/>
      <c r="I136" s="101"/>
      <c r="N136" s="624" t="s">
        <v>7</v>
      </c>
      <c r="O136" s="624"/>
      <c r="P136" s="624"/>
      <c r="Q136" s="624"/>
      <c r="R136" s="624"/>
      <c r="S136" s="624"/>
      <c r="T136" s="624"/>
      <c r="U136" s="624"/>
    </row>
    <row r="137" spans="1:21" x14ac:dyDescent="0.25">
      <c r="A137" s="309" t="s">
        <v>74</v>
      </c>
      <c r="B137" s="310"/>
      <c r="C137" s="310"/>
      <c r="D137" s="310"/>
      <c r="E137" s="310"/>
      <c r="F137" s="310"/>
      <c r="G137" s="310"/>
      <c r="H137" s="311"/>
      <c r="I137" s="312">
        <f>I128+I135</f>
        <v>5305656.01</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Payments'!Q97</f>
        <v>0</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5305656.01</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442138</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63357.98</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372</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373</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374</v>
      </c>
      <c r="B155" s="252"/>
      <c r="C155" s="252"/>
      <c r="D155" s="252"/>
      <c r="E155" s="252"/>
      <c r="F155" s="252"/>
      <c r="G155" s="252"/>
      <c r="H155" s="252"/>
      <c r="I155" s="252"/>
      <c r="N155" s="625"/>
      <c r="O155" s="625"/>
      <c r="P155" s="625"/>
      <c r="Q155" s="625"/>
      <c r="R155" s="625"/>
      <c r="S155" s="625"/>
      <c r="T155" s="625"/>
      <c r="U155" s="625"/>
    </row>
    <row r="156" spans="1:21" s="76" customFormat="1" x14ac:dyDescent="0.2">
      <c r="A156" s="320" t="s">
        <v>375</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376</v>
      </c>
      <c r="B157" s="252"/>
      <c r="C157" s="252"/>
      <c r="D157" s="252"/>
      <c r="E157" s="252"/>
      <c r="F157" s="252"/>
      <c r="G157" s="252"/>
      <c r="H157" s="252"/>
      <c r="I157" s="252"/>
      <c r="N157" s="78"/>
      <c r="O157" s="79"/>
      <c r="P157" s="79"/>
      <c r="Q157" s="79"/>
      <c r="R157" s="79"/>
      <c r="S157" s="79"/>
      <c r="T157" s="79"/>
      <c r="U157" s="79"/>
    </row>
    <row r="158" spans="1:21" s="76" customFormat="1" x14ac:dyDescent="0.2">
      <c r="A158" s="320" t="s">
        <v>377</v>
      </c>
      <c r="B158" s="252"/>
      <c r="C158" s="252"/>
      <c r="D158" s="252"/>
      <c r="E158" s="252"/>
      <c r="F158" s="252"/>
      <c r="G158" s="252"/>
      <c r="H158" s="252"/>
      <c r="I158" s="252"/>
      <c r="N158" s="78"/>
    </row>
    <row r="159" spans="1:21" s="76" customFormat="1" x14ac:dyDescent="0.2">
      <c r="A159" s="320" t="s">
        <v>379</v>
      </c>
      <c r="B159" s="252"/>
      <c r="C159" s="252"/>
      <c r="D159" s="252"/>
      <c r="E159" s="252"/>
      <c r="F159" s="252"/>
      <c r="G159" s="252"/>
      <c r="H159" s="252"/>
      <c r="I159" s="252"/>
      <c r="N159" s="78"/>
    </row>
    <row r="160" spans="1:21" s="76" customFormat="1" x14ac:dyDescent="0.2">
      <c r="A160" s="385" t="s">
        <v>378</v>
      </c>
      <c r="B160" s="252"/>
      <c r="C160" s="252"/>
      <c r="D160" s="252"/>
      <c r="E160" s="252"/>
      <c r="F160" s="252"/>
      <c r="G160" s="252"/>
      <c r="H160" s="252"/>
      <c r="I160" s="252"/>
      <c r="N160" s="78"/>
    </row>
    <row r="161" spans="1:14" s="76" customFormat="1" x14ac:dyDescent="0.2">
      <c r="A161" s="320" t="s">
        <v>380</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383</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385</v>
      </c>
      <c r="B165" s="293"/>
      <c r="C165" s="293"/>
      <c r="D165" s="293"/>
      <c r="E165" s="293"/>
      <c r="F165" s="293"/>
      <c r="G165" s="293"/>
      <c r="H165" s="293"/>
      <c r="I165" s="293"/>
      <c r="N165" s="78"/>
    </row>
    <row r="166" spans="1:14" s="76" customFormat="1" ht="15.75" customHeight="1" x14ac:dyDescent="0.2">
      <c r="A166" s="351" t="s">
        <v>384</v>
      </c>
      <c r="B166" s="293"/>
      <c r="C166" s="293"/>
      <c r="D166" s="293"/>
      <c r="E166" s="293"/>
      <c r="F166" s="293"/>
      <c r="G166" s="293"/>
      <c r="H166" s="293"/>
      <c r="I166" s="293"/>
      <c r="N166" s="78"/>
    </row>
    <row r="167" spans="1:14" s="76" customFormat="1" ht="15.75" customHeight="1" x14ac:dyDescent="0.2">
      <c r="A167" s="320" t="s">
        <v>386</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388</v>
      </c>
      <c r="B169" s="343"/>
      <c r="C169" s="343"/>
      <c r="D169" s="343"/>
      <c r="E169" s="343"/>
      <c r="F169" s="343"/>
      <c r="G169" s="343"/>
      <c r="H169" s="343"/>
      <c r="I169" s="343"/>
      <c r="N169" s="78"/>
    </row>
    <row r="170" spans="1:14" s="76" customFormat="1" ht="15.75" customHeight="1" x14ac:dyDescent="0.2">
      <c r="A170" s="351" t="s">
        <v>387</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389</v>
      </c>
      <c r="B175" s="293"/>
      <c r="C175" s="293"/>
      <c r="D175" s="293"/>
      <c r="E175" s="293"/>
      <c r="F175" s="293"/>
      <c r="G175" s="293"/>
      <c r="H175" s="293"/>
      <c r="I175" s="293"/>
      <c r="J175" s="3"/>
      <c r="K175" s="3"/>
      <c r="L175" s="3"/>
      <c r="M175" s="3"/>
      <c r="N175" s="78"/>
    </row>
    <row r="176" spans="1:14" s="76" customFormat="1" ht="15.75" customHeight="1" x14ac:dyDescent="0.2">
      <c r="A176" s="361" t="s">
        <v>390</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3">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6" t="s">
        <v>15</v>
      </c>
      <c r="C1" s="567"/>
      <c r="D1" s="567"/>
      <c r="E1" s="567"/>
      <c r="F1" s="567"/>
      <c r="G1" s="567"/>
      <c r="H1" s="567"/>
      <c r="I1" s="567"/>
      <c r="J1" s="135"/>
      <c r="K1" s="135"/>
      <c r="L1" s="135"/>
      <c r="N1" s="82">
        <f>A1</f>
        <v>0</v>
      </c>
      <c r="O1" s="658" t="s">
        <v>15</v>
      </c>
      <c r="P1" s="659"/>
      <c r="Q1" s="659"/>
      <c r="R1" s="659"/>
      <c r="S1" s="659"/>
      <c r="T1" s="659"/>
      <c r="U1" s="659"/>
    </row>
    <row r="2" spans="1:21" ht="21" x14ac:dyDescent="0.35">
      <c r="A2" s="1" t="s">
        <v>132</v>
      </c>
      <c r="B2" s="2"/>
      <c r="C2" s="2"/>
      <c r="D2" s="2"/>
      <c r="E2" s="2"/>
      <c r="F2" s="2"/>
      <c r="G2" s="2"/>
      <c r="H2" s="2"/>
      <c r="I2" s="2"/>
      <c r="N2" s="660" t="s">
        <v>18</v>
      </c>
      <c r="O2" s="660"/>
      <c r="P2" s="660"/>
      <c r="Q2" s="660"/>
      <c r="R2" s="660"/>
      <c r="S2" s="660"/>
      <c r="T2" s="660"/>
      <c r="U2" s="660"/>
    </row>
    <row r="3" spans="1:21" x14ac:dyDescent="0.25">
      <c r="A3" s="81" t="str">
        <f>'1461'!A3</f>
        <v>Based on the FLDOE 2024-25 Conference Calculation</v>
      </c>
      <c r="N3" s="627" t="str">
        <f>A3</f>
        <v>Based on the FLDOE 2024-25 Conference Calculation</v>
      </c>
      <c r="O3" s="627"/>
      <c r="P3" s="627"/>
      <c r="Q3" s="627"/>
      <c r="R3" s="627"/>
      <c r="S3" s="627"/>
      <c r="T3" s="627"/>
      <c r="U3" s="627"/>
    </row>
    <row r="4" spans="1:21" x14ac:dyDescent="0.25">
      <c r="A4" s="568" t="s">
        <v>0</v>
      </c>
      <c r="B4" s="568"/>
      <c r="C4" s="569" t="s">
        <v>9</v>
      </c>
      <c r="D4" s="569"/>
      <c r="E4" s="569"/>
      <c r="F4" s="4" t="str">
        <f>'1461'!F4</f>
        <v>July 2024</v>
      </c>
      <c r="G4" s="4"/>
      <c r="H4" s="4"/>
      <c r="I4" s="4"/>
      <c r="N4" s="661" t="s">
        <v>0</v>
      </c>
      <c r="O4" s="661"/>
      <c r="P4" s="662" t="str">
        <f>C4</f>
        <v>Palm Beach</v>
      </c>
      <c r="Q4" s="662"/>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70" t="s">
        <v>433</v>
      </c>
      <c r="B7" s="664"/>
      <c r="C7" s="664"/>
      <c r="D7" s="664"/>
      <c r="E7" s="664"/>
      <c r="F7" s="664"/>
      <c r="G7" s="664"/>
      <c r="H7" s="664"/>
      <c r="I7" s="664"/>
      <c r="N7" s="661" t="str">
        <f>A7</f>
        <v>1A.   2023-24 FEFP State and Local Funding</v>
      </c>
      <c r="O7" s="661"/>
      <c r="P7" s="661"/>
      <c r="Q7" s="661"/>
      <c r="R7" s="661"/>
      <c r="S7" s="661"/>
      <c r="T7" s="661"/>
      <c r="U7" s="661"/>
    </row>
    <row r="8" spans="1:21" x14ac:dyDescent="0.25">
      <c r="A8" s="84"/>
      <c r="B8" s="85" t="s">
        <v>92</v>
      </c>
      <c r="C8" s="299">
        <f>'1461'!C8</f>
        <v>5330.98</v>
      </c>
      <c r="D8" s="86"/>
      <c r="E8" s="87"/>
      <c r="F8" s="84"/>
      <c r="G8" s="85" t="s">
        <v>393</v>
      </c>
      <c r="H8" s="287">
        <f>'1461'!H8</f>
        <v>1.0407999999999999</v>
      </c>
      <c r="I8" s="75"/>
      <c r="N8" s="665" t="s">
        <v>10</v>
      </c>
      <c r="O8" s="665"/>
      <c r="P8" s="666">
        <f>C8</f>
        <v>5330.98</v>
      </c>
      <c r="Q8" s="666"/>
      <c r="R8" s="648" t="s">
        <v>394</v>
      </c>
      <c r="S8" s="649"/>
      <c r="T8" s="650">
        <f>H8</f>
        <v>1.0407999999999999</v>
      </c>
      <c r="U8" s="650"/>
    </row>
    <row r="9" spans="1:21" x14ac:dyDescent="0.25">
      <c r="A9" s="84"/>
      <c r="B9" s="85"/>
      <c r="C9" s="222"/>
      <c r="D9" s="86"/>
      <c r="E9" s="87"/>
      <c r="F9" s="84"/>
      <c r="G9" s="85" t="s">
        <v>391</v>
      </c>
      <c r="H9" s="287">
        <f>'1461'!H9</f>
        <v>1</v>
      </c>
      <c r="I9" s="75"/>
      <c r="N9" s="12"/>
      <c r="O9" s="12"/>
      <c r="P9" s="13"/>
      <c r="Q9" s="13"/>
      <c r="R9" s="387" t="s">
        <v>392</v>
      </c>
      <c r="S9" s="384"/>
      <c r="T9" s="650">
        <f>H9</f>
        <v>1</v>
      </c>
      <c r="U9" s="650"/>
    </row>
    <row r="10" spans="1:21" x14ac:dyDescent="0.25">
      <c r="A10" s="7"/>
      <c r="B10" s="42" t="s">
        <v>310</v>
      </c>
      <c r="C10" s="334" t="str">
        <f>'1461'!C10</f>
        <v xml:space="preserve"> </v>
      </c>
      <c r="D10" s="334" t="str">
        <f>'1461'!D10</f>
        <v xml:space="preserve"> </v>
      </c>
      <c r="E10" s="8"/>
      <c r="F10" s="9"/>
      <c r="G10" s="9"/>
      <c r="H10" s="10"/>
      <c r="I10" s="305" t="str">
        <f>'1461'!I10</f>
        <v>2024-25</v>
      </c>
      <c r="N10" s="12"/>
      <c r="O10" s="12"/>
      <c r="P10" s="13"/>
      <c r="Q10" s="13"/>
      <c r="R10" s="14"/>
      <c r="S10" s="14"/>
      <c r="T10" s="15"/>
      <c r="U10" s="366" t="str">
        <f>I10</f>
        <v>2024-25</v>
      </c>
    </row>
    <row r="11" spans="1:21" x14ac:dyDescent="0.25">
      <c r="A11" s="7"/>
      <c r="B11" s="7"/>
      <c r="C11" s="88" t="str">
        <f>'1461'!C11</f>
        <v>Oct 2023</v>
      </c>
      <c r="D11" s="333" t="str">
        <f>'1461'!D11</f>
        <v>Feb 2024</v>
      </c>
      <c r="E11" s="89" t="s">
        <v>8</v>
      </c>
      <c r="F11" s="571" t="s">
        <v>1</v>
      </c>
      <c r="G11" s="571"/>
      <c r="H11" s="10" t="s">
        <v>60</v>
      </c>
      <c r="I11" s="11" t="s">
        <v>27</v>
      </c>
      <c r="N11" s="12"/>
      <c r="O11" s="12"/>
      <c r="P11" s="13"/>
      <c r="Q11" s="13"/>
      <c r="R11" s="651" t="s">
        <v>1</v>
      </c>
      <c r="S11" s="651"/>
      <c r="T11" s="15" t="s">
        <v>60</v>
      </c>
      <c r="U11" s="16" t="s">
        <v>27</v>
      </c>
    </row>
    <row r="12" spans="1:21" ht="15.75" customHeight="1" x14ac:dyDescent="0.25">
      <c r="A12" s="572" t="s">
        <v>1</v>
      </c>
      <c r="B12" s="572"/>
      <c r="C12" s="324" t="str">
        <f>'1461'!C12</f>
        <v>FTE</v>
      </c>
      <c r="D12" s="324" t="str">
        <f>'1461'!D12</f>
        <v>FTE</v>
      </c>
      <c r="E12" s="324" t="s">
        <v>2</v>
      </c>
      <c r="F12" s="573" t="s">
        <v>63</v>
      </c>
      <c r="G12" s="573"/>
      <c r="H12" s="17" t="s">
        <v>59</v>
      </c>
      <c r="I12" s="388" t="s">
        <v>395</v>
      </c>
      <c r="N12" s="639" t="s">
        <v>1</v>
      </c>
      <c r="O12" s="639"/>
      <c r="P12" s="652" t="s">
        <v>19</v>
      </c>
      <c r="Q12" s="652"/>
      <c r="R12" s="653" t="s">
        <v>63</v>
      </c>
      <c r="S12" s="653"/>
      <c r="T12" s="18" t="s">
        <v>59</v>
      </c>
      <c r="U12" s="19" t="str">
        <f>I12</f>
        <v>(WFTE x BSA x CWF x SDF)</v>
      </c>
    </row>
    <row r="13" spans="1:21" x14ac:dyDescent="0.25">
      <c r="A13" s="574" t="s">
        <v>36</v>
      </c>
      <c r="B13" s="574"/>
      <c r="C13" s="91"/>
      <c r="D13" s="91"/>
      <c r="E13" s="92" t="s">
        <v>37</v>
      </c>
      <c r="F13" s="575" t="s">
        <v>38</v>
      </c>
      <c r="G13" s="575"/>
      <c r="H13" s="20" t="s">
        <v>39</v>
      </c>
      <c r="I13" s="21" t="s">
        <v>40</v>
      </c>
      <c r="N13" s="654" t="s">
        <v>36</v>
      </c>
      <c r="O13" s="654"/>
      <c r="P13" s="655" t="s">
        <v>37</v>
      </c>
      <c r="Q13" s="655"/>
      <c r="R13" s="656" t="s">
        <v>38</v>
      </c>
      <c r="S13" s="656"/>
      <c r="T13" s="22" t="s">
        <v>39</v>
      </c>
      <c r="U13" s="23" t="s">
        <v>40</v>
      </c>
    </row>
    <row r="14" spans="1:21" x14ac:dyDescent="0.25">
      <c r="A14" s="576" t="s">
        <v>20</v>
      </c>
      <c r="B14" s="576"/>
      <c r="C14" s="143">
        <v>0</v>
      </c>
      <c r="D14" s="141">
        <v>0</v>
      </c>
      <c r="E14" s="187">
        <f>IF(D$30=0,C14*2,C14+D14)</f>
        <v>0</v>
      </c>
      <c r="F14" s="667">
        <f>'1461'!F14:G14</f>
        <v>1.1180000000000001</v>
      </c>
      <c r="G14" s="667"/>
      <c r="H14" s="145">
        <f>ROUND(E14*F14,4)</f>
        <v>0</v>
      </c>
      <c r="I14" s="111">
        <f>ROUND(ROUND(ROUND(H14*$C$8,4)*($H$8),2)*(MAX($H$9,1)),2)</f>
        <v>0</v>
      </c>
      <c r="N14" s="641" t="s">
        <v>20</v>
      </c>
      <c r="O14" s="641"/>
      <c r="P14" s="642">
        <f t="shared" ref="P14:P29" si="0">IF($H$133=1,E14,0)</f>
        <v>0</v>
      </c>
      <c r="Q14" s="642"/>
      <c r="R14" s="657">
        <v>1</v>
      </c>
      <c r="S14" s="657"/>
      <c r="T14" s="95">
        <f>ROUND(P14*R14,4)</f>
        <v>0</v>
      </c>
      <c r="U14" s="473">
        <f>ROUND(ROUND(ROUND(T14*$C$8,4)*($H$8),2)*(MAX($H$9,1)),2)</f>
        <v>0</v>
      </c>
    </row>
    <row r="15" spans="1:21" x14ac:dyDescent="0.25">
      <c r="A15" s="578" t="s">
        <v>21</v>
      </c>
      <c r="B15" s="578"/>
      <c r="C15" s="143">
        <v>0</v>
      </c>
      <c r="D15" s="143">
        <v>0</v>
      </c>
      <c r="E15" s="116">
        <f t="shared" ref="E15:E29" si="1">IF(D$30=0,C15*2,C15+D15)</f>
        <v>0</v>
      </c>
      <c r="F15" s="663">
        <f>'1461'!F15:G15</f>
        <v>1.1180000000000001</v>
      </c>
      <c r="G15" s="663"/>
      <c r="H15" s="80">
        <f t="shared" ref="H15:H29" si="2">ROUND(E15*F15,4)</f>
        <v>0</v>
      </c>
      <c r="I15" s="101">
        <f t="shared" ref="I15:I29" si="3">ROUND(ROUND(ROUND(H15*$C$8,4)*($H$8),2)*(MAX($H$9,1)),2)</f>
        <v>0</v>
      </c>
      <c r="J15" s="65" t="str">
        <f>IF(ROUND(E15,2)=ROUND(SUM(E57:E59),2)," ","CHECK PK-3 LINES BELOW")</f>
        <v xml:space="preserve"> </v>
      </c>
      <c r="N15" s="601" t="s">
        <v>21</v>
      </c>
      <c r="O15" s="601"/>
      <c r="P15" s="642">
        <f t="shared" si="0"/>
        <v>0</v>
      </c>
      <c r="Q15" s="642"/>
      <c r="R15" s="647">
        <v>1</v>
      </c>
      <c r="S15" s="647"/>
      <c r="T15" s="95">
        <f t="shared" ref="T15:T29" si="4">ROUND(P15*R15,4)</f>
        <v>0</v>
      </c>
      <c r="U15" s="473">
        <f t="shared" ref="U15:U29" si="5">ROUND(ROUND(ROUND(T15*$C$8,4)*($H$8),2)*(MAX($H$9,1)),2)</f>
        <v>0</v>
      </c>
    </row>
    <row r="16" spans="1:21" x14ac:dyDescent="0.25">
      <c r="A16" s="578" t="s">
        <v>22</v>
      </c>
      <c r="B16" s="578"/>
      <c r="C16" s="143">
        <v>0</v>
      </c>
      <c r="D16" s="143">
        <v>0</v>
      </c>
      <c r="E16" s="116">
        <f t="shared" si="1"/>
        <v>0</v>
      </c>
      <c r="F16" s="663">
        <f>'1461'!F16:G16</f>
        <v>1</v>
      </c>
      <c r="G16" s="663"/>
      <c r="H16" s="80">
        <f t="shared" si="2"/>
        <v>0</v>
      </c>
      <c r="I16" s="101">
        <f t="shared" si="3"/>
        <v>0</v>
      </c>
      <c r="N16" s="601" t="s">
        <v>22</v>
      </c>
      <c r="O16" s="601"/>
      <c r="P16" s="642">
        <f t="shared" si="0"/>
        <v>0</v>
      </c>
      <c r="Q16" s="642"/>
      <c r="R16" s="647">
        <v>1</v>
      </c>
      <c r="S16" s="647"/>
      <c r="T16" s="95">
        <f t="shared" si="4"/>
        <v>0</v>
      </c>
      <c r="U16" s="473">
        <f t="shared" si="5"/>
        <v>0</v>
      </c>
    </row>
    <row r="17" spans="1:21" x14ac:dyDescent="0.25">
      <c r="A17" s="578" t="s">
        <v>23</v>
      </c>
      <c r="B17" s="578"/>
      <c r="C17" s="143">
        <v>0</v>
      </c>
      <c r="D17" s="143">
        <v>0</v>
      </c>
      <c r="E17" s="116">
        <f t="shared" si="1"/>
        <v>0</v>
      </c>
      <c r="F17" s="663">
        <f>'1461'!F17:G17</f>
        <v>1</v>
      </c>
      <c r="G17" s="663"/>
      <c r="H17" s="80">
        <f t="shared" si="2"/>
        <v>0</v>
      </c>
      <c r="I17" s="101">
        <f t="shared" si="3"/>
        <v>0</v>
      </c>
      <c r="J17" s="65" t="str">
        <f>IF(ROUND(E17,2)=ROUND(SUM(E60:E62),2)," ","CHECK 4-8 LINES BELOW")</f>
        <v xml:space="preserve"> </v>
      </c>
      <c r="N17" s="601" t="s">
        <v>23</v>
      </c>
      <c r="O17" s="601"/>
      <c r="P17" s="642">
        <f t="shared" si="0"/>
        <v>0</v>
      </c>
      <c r="Q17" s="642"/>
      <c r="R17" s="647">
        <v>1</v>
      </c>
      <c r="S17" s="647"/>
      <c r="T17" s="95">
        <f t="shared" si="4"/>
        <v>0</v>
      </c>
      <c r="U17" s="473">
        <f t="shared" si="5"/>
        <v>0</v>
      </c>
    </row>
    <row r="18" spans="1:21" x14ac:dyDescent="0.25">
      <c r="A18" s="578" t="s">
        <v>24</v>
      </c>
      <c r="B18" s="578"/>
      <c r="C18" s="143">
        <v>422.73</v>
      </c>
      <c r="D18" s="143">
        <v>431.83</v>
      </c>
      <c r="E18" s="116">
        <f t="shared" si="1"/>
        <v>854.56</v>
      </c>
      <c r="F18" s="663">
        <f>'1461'!F18:G18</f>
        <v>0.97799999999999998</v>
      </c>
      <c r="G18" s="663"/>
      <c r="H18" s="80">
        <f t="shared" si="2"/>
        <v>835.75969999999995</v>
      </c>
      <c r="I18" s="101">
        <f t="shared" si="3"/>
        <v>4637199.3099999996</v>
      </c>
      <c r="N18" s="601" t="s">
        <v>24</v>
      </c>
      <c r="O18" s="601"/>
      <c r="P18" s="642">
        <f t="shared" si="0"/>
        <v>0</v>
      </c>
      <c r="Q18" s="642"/>
      <c r="R18" s="647">
        <v>1</v>
      </c>
      <c r="S18" s="647"/>
      <c r="T18" s="95">
        <f t="shared" si="4"/>
        <v>0</v>
      </c>
      <c r="U18" s="473">
        <f t="shared" si="5"/>
        <v>0</v>
      </c>
    </row>
    <row r="19" spans="1:21" x14ac:dyDescent="0.25">
      <c r="A19" s="578" t="s">
        <v>25</v>
      </c>
      <c r="B19" s="578"/>
      <c r="C19" s="143">
        <v>44.5</v>
      </c>
      <c r="D19" s="143">
        <v>36.03</v>
      </c>
      <c r="E19" s="116">
        <f t="shared" si="1"/>
        <v>80.53</v>
      </c>
      <c r="F19" s="663">
        <f>'1461'!F19:G19</f>
        <v>0.97799999999999998</v>
      </c>
      <c r="G19" s="663"/>
      <c r="H19" s="80">
        <f t="shared" si="2"/>
        <v>78.758300000000006</v>
      </c>
      <c r="I19" s="101">
        <f t="shared" si="3"/>
        <v>436989.17</v>
      </c>
      <c r="J19" s="65" t="str">
        <f>IF(ROUND(E19,2)=ROUND(SUM(E63:E65),2)," ","CHECK 4-8 LINES BELOW")</f>
        <v xml:space="preserve"> </v>
      </c>
      <c r="N19" s="601" t="s">
        <v>25</v>
      </c>
      <c r="O19" s="601"/>
      <c r="P19" s="642">
        <f t="shared" si="0"/>
        <v>0</v>
      </c>
      <c r="Q19" s="642"/>
      <c r="R19" s="647">
        <v>1</v>
      </c>
      <c r="S19" s="647"/>
      <c r="T19" s="95">
        <f t="shared" si="4"/>
        <v>0</v>
      </c>
      <c r="U19" s="472">
        <f t="shared" si="5"/>
        <v>0</v>
      </c>
    </row>
    <row r="20" spans="1:21" x14ac:dyDescent="0.25">
      <c r="A20" s="578" t="s">
        <v>79</v>
      </c>
      <c r="B20" s="578"/>
      <c r="C20" s="143">
        <v>0</v>
      </c>
      <c r="D20" s="143">
        <v>0</v>
      </c>
      <c r="E20" s="116">
        <f t="shared" si="1"/>
        <v>0</v>
      </c>
      <c r="F20" s="663">
        <f>'1461'!F20:G20</f>
        <v>3.6970000000000001</v>
      </c>
      <c r="G20" s="663"/>
      <c r="H20" s="80">
        <f t="shared" si="2"/>
        <v>0</v>
      </c>
      <c r="I20" s="101">
        <f t="shared" si="3"/>
        <v>0</v>
      </c>
      <c r="N20" s="601" t="s">
        <v>79</v>
      </c>
      <c r="O20" s="601"/>
      <c r="P20" s="642">
        <f t="shared" si="0"/>
        <v>0</v>
      </c>
      <c r="Q20" s="642"/>
      <c r="R20" s="647">
        <v>1</v>
      </c>
      <c r="S20" s="647"/>
      <c r="T20" s="95">
        <f t="shared" si="4"/>
        <v>0</v>
      </c>
      <c r="U20" s="473">
        <f t="shared" si="5"/>
        <v>0</v>
      </c>
    </row>
    <row r="21" spans="1:21" x14ac:dyDescent="0.25">
      <c r="A21" s="578" t="s">
        <v>80</v>
      </c>
      <c r="B21" s="578"/>
      <c r="C21" s="143">
        <v>0</v>
      </c>
      <c r="D21" s="143">
        <v>0</v>
      </c>
      <c r="E21" s="116">
        <f t="shared" si="1"/>
        <v>0</v>
      </c>
      <c r="F21" s="663">
        <f>'1461'!F21:G21</f>
        <v>3.6970000000000001</v>
      </c>
      <c r="G21" s="663"/>
      <c r="H21" s="80">
        <f t="shared" si="2"/>
        <v>0</v>
      </c>
      <c r="I21" s="101">
        <f t="shared" si="3"/>
        <v>0</v>
      </c>
      <c r="N21" s="601" t="s">
        <v>80</v>
      </c>
      <c r="O21" s="601"/>
      <c r="P21" s="642">
        <f t="shared" si="0"/>
        <v>0</v>
      </c>
      <c r="Q21" s="642"/>
      <c r="R21" s="647">
        <v>1</v>
      </c>
      <c r="S21" s="647"/>
      <c r="T21" s="95">
        <f t="shared" si="4"/>
        <v>0</v>
      </c>
      <c r="U21" s="473">
        <f t="shared" si="5"/>
        <v>0</v>
      </c>
    </row>
    <row r="22" spans="1:21" x14ac:dyDescent="0.25">
      <c r="A22" s="578" t="s">
        <v>81</v>
      </c>
      <c r="B22" s="578"/>
      <c r="C22" s="143">
        <v>0</v>
      </c>
      <c r="D22" s="143">
        <v>0</v>
      </c>
      <c r="E22" s="116">
        <f t="shared" si="1"/>
        <v>0</v>
      </c>
      <c r="F22" s="663">
        <f>'1461'!F22:G22</f>
        <v>3.6970000000000001</v>
      </c>
      <c r="G22" s="663"/>
      <c r="H22" s="80">
        <f t="shared" si="2"/>
        <v>0</v>
      </c>
      <c r="I22" s="101">
        <f t="shared" si="3"/>
        <v>0</v>
      </c>
      <c r="N22" s="601" t="s">
        <v>81</v>
      </c>
      <c r="O22" s="601"/>
      <c r="P22" s="642">
        <f t="shared" si="0"/>
        <v>0</v>
      </c>
      <c r="Q22" s="642"/>
      <c r="R22" s="647">
        <v>1</v>
      </c>
      <c r="S22" s="647"/>
      <c r="T22" s="95">
        <f t="shared" si="4"/>
        <v>0</v>
      </c>
      <c r="U22" s="473">
        <f t="shared" si="5"/>
        <v>0</v>
      </c>
    </row>
    <row r="23" spans="1:21" x14ac:dyDescent="0.25">
      <c r="A23" s="578" t="s">
        <v>82</v>
      </c>
      <c r="B23" s="578"/>
      <c r="C23" s="143">
        <v>0</v>
      </c>
      <c r="D23" s="143">
        <v>0</v>
      </c>
      <c r="E23" s="116">
        <f t="shared" si="1"/>
        <v>0</v>
      </c>
      <c r="F23" s="663">
        <f>'1461'!F23:G23</f>
        <v>5.992</v>
      </c>
      <c r="G23" s="663"/>
      <c r="H23" s="80">
        <f t="shared" si="2"/>
        <v>0</v>
      </c>
      <c r="I23" s="101">
        <f t="shared" si="3"/>
        <v>0</v>
      </c>
      <c r="N23" s="601" t="s">
        <v>82</v>
      </c>
      <c r="O23" s="601"/>
      <c r="P23" s="642">
        <f t="shared" si="0"/>
        <v>0</v>
      </c>
      <c r="Q23" s="642"/>
      <c r="R23" s="647">
        <v>1</v>
      </c>
      <c r="S23" s="647"/>
      <c r="T23" s="95">
        <f t="shared" si="4"/>
        <v>0</v>
      </c>
      <c r="U23" s="473">
        <f t="shared" si="5"/>
        <v>0</v>
      </c>
    </row>
    <row r="24" spans="1:21" x14ac:dyDescent="0.25">
      <c r="A24" s="578" t="s">
        <v>83</v>
      </c>
      <c r="B24" s="578"/>
      <c r="C24" s="143">
        <v>0</v>
      </c>
      <c r="D24" s="143">
        <v>0</v>
      </c>
      <c r="E24" s="116">
        <f t="shared" si="1"/>
        <v>0</v>
      </c>
      <c r="F24" s="663">
        <f>'1461'!F24:G24</f>
        <v>5.992</v>
      </c>
      <c r="G24" s="663"/>
      <c r="H24" s="80">
        <f t="shared" si="2"/>
        <v>0</v>
      </c>
      <c r="I24" s="101">
        <f t="shared" si="3"/>
        <v>0</v>
      </c>
      <c r="N24" s="601" t="s">
        <v>83</v>
      </c>
      <c r="O24" s="601"/>
      <c r="P24" s="642">
        <f t="shared" si="0"/>
        <v>0</v>
      </c>
      <c r="Q24" s="642"/>
      <c r="R24" s="647">
        <v>1</v>
      </c>
      <c r="S24" s="647"/>
      <c r="T24" s="95">
        <f t="shared" si="4"/>
        <v>0</v>
      </c>
      <c r="U24" s="473">
        <f t="shared" si="5"/>
        <v>0</v>
      </c>
    </row>
    <row r="25" spans="1:21" x14ac:dyDescent="0.25">
      <c r="A25" s="578" t="s">
        <v>84</v>
      </c>
      <c r="B25" s="578"/>
      <c r="C25" s="143">
        <v>0</v>
      </c>
      <c r="D25" s="143">
        <v>0</v>
      </c>
      <c r="E25" s="116">
        <f t="shared" si="1"/>
        <v>0</v>
      </c>
      <c r="F25" s="663">
        <f>'1461'!F25:G25</f>
        <v>5.992</v>
      </c>
      <c r="G25" s="663"/>
      <c r="H25" s="80">
        <f t="shared" si="2"/>
        <v>0</v>
      </c>
      <c r="I25" s="101">
        <f t="shared" si="3"/>
        <v>0</v>
      </c>
      <c r="N25" s="601" t="s">
        <v>84</v>
      </c>
      <c r="O25" s="601"/>
      <c r="P25" s="642">
        <f t="shared" si="0"/>
        <v>0</v>
      </c>
      <c r="Q25" s="642"/>
      <c r="R25" s="647">
        <v>1</v>
      </c>
      <c r="S25" s="647"/>
      <c r="T25" s="95">
        <f t="shared" si="4"/>
        <v>0</v>
      </c>
      <c r="U25" s="473">
        <f t="shared" si="5"/>
        <v>0</v>
      </c>
    </row>
    <row r="26" spans="1:21" x14ac:dyDescent="0.25">
      <c r="A26" s="578" t="s">
        <v>85</v>
      </c>
      <c r="B26" s="578"/>
      <c r="C26" s="143">
        <v>0</v>
      </c>
      <c r="D26" s="143">
        <v>0</v>
      </c>
      <c r="E26" s="116">
        <f t="shared" si="1"/>
        <v>0</v>
      </c>
      <c r="F26" s="663">
        <f>'1461'!F26:G26</f>
        <v>1.1919999999999999</v>
      </c>
      <c r="G26" s="663"/>
      <c r="H26" s="80">
        <f t="shared" si="2"/>
        <v>0</v>
      </c>
      <c r="I26" s="101">
        <f t="shared" si="3"/>
        <v>0</v>
      </c>
      <c r="N26" s="601" t="s">
        <v>85</v>
      </c>
      <c r="O26" s="601"/>
      <c r="P26" s="642">
        <f t="shared" si="0"/>
        <v>0</v>
      </c>
      <c r="Q26" s="642"/>
      <c r="R26" s="647">
        <v>1</v>
      </c>
      <c r="S26" s="647"/>
      <c r="T26" s="95">
        <f t="shared" si="4"/>
        <v>0</v>
      </c>
      <c r="U26" s="473">
        <f t="shared" si="5"/>
        <v>0</v>
      </c>
    </row>
    <row r="27" spans="1:21" x14ac:dyDescent="0.25">
      <c r="A27" s="578" t="s">
        <v>86</v>
      </c>
      <c r="B27" s="578"/>
      <c r="C27" s="143">
        <v>0</v>
      </c>
      <c r="D27" s="143">
        <v>0</v>
      </c>
      <c r="E27" s="116">
        <f t="shared" si="1"/>
        <v>0</v>
      </c>
      <c r="F27" s="663">
        <f>'1461'!F27:G27</f>
        <v>1.1919999999999999</v>
      </c>
      <c r="G27" s="663"/>
      <c r="H27" s="80">
        <f t="shared" si="2"/>
        <v>0</v>
      </c>
      <c r="I27" s="101">
        <f t="shared" si="3"/>
        <v>0</v>
      </c>
      <c r="N27" s="601" t="s">
        <v>86</v>
      </c>
      <c r="O27" s="601"/>
      <c r="P27" s="642">
        <f t="shared" si="0"/>
        <v>0</v>
      </c>
      <c r="Q27" s="642"/>
      <c r="R27" s="647">
        <v>1</v>
      </c>
      <c r="S27" s="647"/>
      <c r="T27" s="95">
        <f t="shared" si="4"/>
        <v>0</v>
      </c>
      <c r="U27" s="473">
        <f t="shared" si="5"/>
        <v>0</v>
      </c>
    </row>
    <row r="28" spans="1:21" x14ac:dyDescent="0.25">
      <c r="A28" s="578" t="s">
        <v>87</v>
      </c>
      <c r="B28" s="578"/>
      <c r="C28" s="143">
        <v>7.47</v>
      </c>
      <c r="D28" s="143">
        <v>6.89</v>
      </c>
      <c r="E28" s="116">
        <f t="shared" si="1"/>
        <v>14.36</v>
      </c>
      <c r="F28" s="663">
        <f>'1461'!F28:G28</f>
        <v>1.1919999999999999</v>
      </c>
      <c r="G28" s="663"/>
      <c r="H28" s="80">
        <f t="shared" si="2"/>
        <v>17.117100000000001</v>
      </c>
      <c r="I28" s="101">
        <f t="shared" si="3"/>
        <v>94973.96</v>
      </c>
      <c r="N28" s="601" t="s">
        <v>87</v>
      </c>
      <c r="O28" s="601"/>
      <c r="P28" s="642">
        <f t="shared" si="0"/>
        <v>0</v>
      </c>
      <c r="Q28" s="642"/>
      <c r="R28" s="647">
        <v>1</v>
      </c>
      <c r="S28" s="647"/>
      <c r="T28" s="95">
        <f t="shared" si="4"/>
        <v>0</v>
      </c>
      <c r="U28" s="473">
        <f t="shared" si="5"/>
        <v>0</v>
      </c>
    </row>
    <row r="29" spans="1:21" x14ac:dyDescent="0.25">
      <c r="A29" s="578" t="s">
        <v>88</v>
      </c>
      <c r="B29" s="578"/>
      <c r="C29" s="110">
        <v>24.6</v>
      </c>
      <c r="D29" s="110">
        <v>25.07</v>
      </c>
      <c r="E29" s="154">
        <f t="shared" si="1"/>
        <v>49.67</v>
      </c>
      <c r="F29" s="663">
        <f>'1461'!F29:G29</f>
        <v>1.079</v>
      </c>
      <c r="G29" s="663"/>
      <c r="H29" s="93">
        <f t="shared" si="2"/>
        <v>53.593899999999998</v>
      </c>
      <c r="I29" s="94">
        <f t="shared" si="3"/>
        <v>297364.90000000002</v>
      </c>
      <c r="N29" s="616" t="s">
        <v>88</v>
      </c>
      <c r="O29" s="616"/>
      <c r="P29" s="642">
        <f t="shared" si="0"/>
        <v>0</v>
      </c>
      <c r="Q29" s="642"/>
      <c r="R29" s="643">
        <v>1</v>
      </c>
      <c r="S29" s="643"/>
      <c r="T29" s="95">
        <f t="shared" si="4"/>
        <v>0</v>
      </c>
      <c r="U29" s="473">
        <f t="shared" si="5"/>
        <v>0</v>
      </c>
    </row>
    <row r="30" spans="1:21" x14ac:dyDescent="0.25">
      <c r="A30" s="590" t="s">
        <v>5</v>
      </c>
      <c r="B30" s="590"/>
      <c r="C30" s="94">
        <f>SUM(C14:C29)</f>
        <v>499.30000000000007</v>
      </c>
      <c r="D30" s="94">
        <f>SUM(D14:D29)</f>
        <v>499.82</v>
      </c>
      <c r="E30" s="94">
        <f>SUM(E14:E29)</f>
        <v>999.11999999999989</v>
      </c>
      <c r="F30" s="582"/>
      <c r="G30" s="582"/>
      <c r="H30" s="99">
        <f>SUM(H14:H29)</f>
        <v>985.22899999999993</v>
      </c>
      <c r="I30" s="94">
        <f>SUM(I14:I29)</f>
        <v>5466527.3399999999</v>
      </c>
      <c r="N30" s="644" t="s">
        <v>5</v>
      </c>
      <c r="O30" s="644"/>
      <c r="P30" s="645">
        <f>SUM(P14:P29)</f>
        <v>0</v>
      </c>
      <c r="Q30" s="645"/>
      <c r="R30" s="617"/>
      <c r="S30" s="617"/>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0" t="s">
        <v>233</v>
      </c>
      <c r="G34" s="670"/>
      <c r="H34" s="670"/>
      <c r="I34" s="101"/>
      <c r="N34" s="28"/>
      <c r="O34" s="28"/>
      <c r="P34" s="29"/>
      <c r="Q34" s="29"/>
      <c r="R34" s="30"/>
      <c r="S34" s="30"/>
      <c r="T34" s="102"/>
      <c r="U34" s="103"/>
    </row>
    <row r="35" spans="1:21" hidden="1" x14ac:dyDescent="0.25">
      <c r="A35" s="3"/>
      <c r="B35" s="69"/>
      <c r="C35" s="69"/>
      <c r="D35" s="69"/>
      <c r="E35" s="69"/>
      <c r="F35" s="670"/>
      <c r="G35" s="670"/>
      <c r="H35" s="670"/>
      <c r="I35" s="24" t="s">
        <v>61</v>
      </c>
      <c r="N35" s="627" t="s">
        <v>26</v>
      </c>
      <c r="O35" s="627"/>
      <c r="P35" s="627"/>
      <c r="Q35" s="627"/>
      <c r="R35" s="627"/>
      <c r="S35" s="627"/>
      <c r="T35" s="627"/>
      <c r="U35" s="25" t="str">
        <f>I35</f>
        <v>2015-16</v>
      </c>
    </row>
    <row r="36" spans="1:21" hidden="1" x14ac:dyDescent="0.25">
      <c r="A36" s="26"/>
      <c r="B36" s="26"/>
      <c r="C36" s="88" t="s">
        <v>93</v>
      </c>
      <c r="D36" s="88" t="s">
        <v>94</v>
      </c>
      <c r="E36" s="89" t="s">
        <v>8</v>
      </c>
      <c r="F36" s="670"/>
      <c r="G36" s="670"/>
      <c r="H36" s="670"/>
      <c r="I36" s="24" t="s">
        <v>27</v>
      </c>
      <c r="N36" s="28"/>
      <c r="O36" s="28"/>
      <c r="P36" s="29"/>
      <c r="Q36" s="29"/>
      <c r="R36" s="30"/>
      <c r="S36" s="30"/>
      <c r="T36" s="102"/>
      <c r="U36" s="25" t="s">
        <v>27</v>
      </c>
    </row>
    <row r="37" spans="1:21" ht="26.25" hidden="1" x14ac:dyDescent="0.25">
      <c r="A37" s="572" t="s">
        <v>50</v>
      </c>
      <c r="B37" s="572"/>
      <c r="C37" s="90" t="s">
        <v>2</v>
      </c>
      <c r="D37" s="90" t="s">
        <v>2</v>
      </c>
      <c r="E37" s="90" t="s">
        <v>2</v>
      </c>
      <c r="F37" s="671"/>
      <c r="G37" s="671"/>
      <c r="H37" s="671"/>
      <c r="I37" s="31" t="s">
        <v>395</v>
      </c>
      <c r="N37" s="639" t="s">
        <v>50</v>
      </c>
      <c r="O37" s="639"/>
      <c r="P37" s="640" t="s">
        <v>19</v>
      </c>
      <c r="Q37" s="640"/>
      <c r="R37" s="640"/>
      <c r="S37" s="640"/>
      <c r="T37" s="640"/>
      <c r="U37" s="19" t="str">
        <f>I37</f>
        <v>(WFTE x BSA x CWF x SDF)</v>
      </c>
    </row>
    <row r="38" spans="1:21" hidden="1" x14ac:dyDescent="0.25">
      <c r="A38" s="576" t="s">
        <v>45</v>
      </c>
      <c r="B38" s="576"/>
      <c r="C38" s="147">
        <v>0</v>
      </c>
      <c r="D38" s="147">
        <v>0</v>
      </c>
      <c r="E38" s="187">
        <f t="shared" ref="E38:E43" si="6">IF(D$44=0,C38*2,C38+D38)</f>
        <v>0</v>
      </c>
      <c r="F38" s="148"/>
      <c r="G38" s="148"/>
      <c r="H38" s="148"/>
      <c r="I38" s="111">
        <f>ROUND(ROUND(ROUND(E38*$C$8,4)*($H$8),2)*(MAX($H$9,1)),2)</f>
        <v>0</v>
      </c>
      <c r="N38" s="641" t="s">
        <v>45</v>
      </c>
      <c r="O38" s="641"/>
      <c r="P38" s="608">
        <f t="shared" ref="P38:P43" si="7">IF($H$133=1,E38,0)</f>
        <v>0</v>
      </c>
      <c r="Q38" s="608"/>
      <c r="R38" s="608"/>
      <c r="S38" s="608"/>
      <c r="T38" s="608"/>
      <c r="U38" s="98">
        <f>ROUND(ROUND(ROUND(P38*$C$8,4)*($H$8),2)*(MAX($H$9,1)),2)</f>
        <v>0</v>
      </c>
    </row>
    <row r="39" spans="1:21" hidden="1" x14ac:dyDescent="0.25">
      <c r="A39" s="578" t="s">
        <v>46</v>
      </c>
      <c r="B39" s="578"/>
      <c r="C39" s="150">
        <v>0</v>
      </c>
      <c r="D39" s="150">
        <v>0</v>
      </c>
      <c r="E39" s="116">
        <f t="shared" si="6"/>
        <v>0</v>
      </c>
      <c r="F39" s="151"/>
      <c r="G39" s="151"/>
      <c r="H39" s="151"/>
      <c r="I39" s="101">
        <f t="shared" ref="I39:I43" si="8">ROUND(ROUND(ROUND(E39*$C$8,4)*($H$8),2)*(MAX($H$9,1)),2)</f>
        <v>0</v>
      </c>
      <c r="N39" s="601" t="s">
        <v>46</v>
      </c>
      <c r="O39" s="601"/>
      <c r="P39" s="608">
        <f t="shared" si="7"/>
        <v>0</v>
      </c>
      <c r="Q39" s="608"/>
      <c r="R39" s="608"/>
      <c r="S39" s="608"/>
      <c r="T39" s="608"/>
      <c r="U39" s="98">
        <f t="shared" ref="U39:U43" si="9">ROUND(ROUND(ROUND(P39*$C$8,4)*($H$8),2)*(MAX($H$9,1)),2)</f>
        <v>0</v>
      </c>
    </row>
    <row r="40" spans="1:21" hidden="1" x14ac:dyDescent="0.25">
      <c r="A40" s="583" t="s">
        <v>47</v>
      </c>
      <c r="B40" s="583"/>
      <c r="C40" s="150">
        <v>0</v>
      </c>
      <c r="D40" s="150">
        <v>0</v>
      </c>
      <c r="E40" s="116">
        <f t="shared" si="6"/>
        <v>0</v>
      </c>
      <c r="F40" s="151"/>
      <c r="G40" s="151"/>
      <c r="H40" s="151"/>
      <c r="I40" s="101">
        <f t="shared" si="8"/>
        <v>0</v>
      </c>
      <c r="N40" s="646" t="s">
        <v>47</v>
      </c>
      <c r="O40" s="646"/>
      <c r="P40" s="608">
        <f t="shared" si="7"/>
        <v>0</v>
      </c>
      <c r="Q40" s="608"/>
      <c r="R40" s="608"/>
      <c r="S40" s="608"/>
      <c r="T40" s="608"/>
      <c r="U40" s="98">
        <f t="shared" si="9"/>
        <v>0</v>
      </c>
    </row>
    <row r="41" spans="1:21" hidden="1" x14ac:dyDescent="0.25">
      <c r="A41" s="578" t="s">
        <v>48</v>
      </c>
      <c r="B41" s="578"/>
      <c r="C41" s="150">
        <v>0</v>
      </c>
      <c r="D41" s="150">
        <v>0</v>
      </c>
      <c r="E41" s="116">
        <f t="shared" si="6"/>
        <v>0</v>
      </c>
      <c r="F41" s="151"/>
      <c r="G41" s="151"/>
      <c r="H41" s="151"/>
      <c r="I41" s="101">
        <f t="shared" si="8"/>
        <v>0</v>
      </c>
      <c r="N41" s="601" t="s">
        <v>48</v>
      </c>
      <c r="O41" s="601"/>
      <c r="P41" s="608">
        <f t="shared" si="7"/>
        <v>0</v>
      </c>
      <c r="Q41" s="608"/>
      <c r="R41" s="608"/>
      <c r="S41" s="608"/>
      <c r="T41" s="608"/>
      <c r="U41" s="98">
        <f t="shared" si="9"/>
        <v>0</v>
      </c>
    </row>
    <row r="42" spans="1:21" hidden="1" x14ac:dyDescent="0.25">
      <c r="A42" s="578" t="s">
        <v>49</v>
      </c>
      <c r="B42" s="578"/>
      <c r="C42" s="150">
        <v>0</v>
      </c>
      <c r="D42" s="150">
        <v>0</v>
      </c>
      <c r="E42" s="116">
        <f t="shared" si="6"/>
        <v>0</v>
      </c>
      <c r="F42" s="151"/>
      <c r="G42" s="151"/>
      <c r="H42" s="151"/>
      <c r="I42" s="101">
        <f t="shared" si="8"/>
        <v>0</v>
      </c>
      <c r="N42" s="601" t="s">
        <v>49</v>
      </c>
      <c r="O42" s="601"/>
      <c r="P42" s="608">
        <f t="shared" si="7"/>
        <v>0</v>
      </c>
      <c r="Q42" s="608"/>
      <c r="R42" s="608"/>
      <c r="S42" s="608"/>
      <c r="T42" s="608"/>
      <c r="U42" s="98">
        <f t="shared" si="9"/>
        <v>0</v>
      </c>
    </row>
    <row r="43" spans="1:21" hidden="1" x14ac:dyDescent="0.25">
      <c r="A43" s="578" t="s">
        <v>41</v>
      </c>
      <c r="B43" s="578"/>
      <c r="C43" s="149">
        <v>0</v>
      </c>
      <c r="D43" s="149">
        <v>0</v>
      </c>
      <c r="E43" s="154">
        <f t="shared" si="6"/>
        <v>0</v>
      </c>
      <c r="F43" s="151"/>
      <c r="G43" s="151"/>
      <c r="H43" s="151"/>
      <c r="I43" s="94">
        <f t="shared" si="8"/>
        <v>0</v>
      </c>
      <c r="N43" s="616" t="s">
        <v>41</v>
      </c>
      <c r="O43" s="616"/>
      <c r="P43" s="608">
        <f t="shared" si="7"/>
        <v>0</v>
      </c>
      <c r="Q43" s="608"/>
      <c r="R43" s="608"/>
      <c r="S43" s="608"/>
      <c r="T43" s="60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3" t="s">
        <v>43</v>
      </c>
      <c r="O44" s="603"/>
      <c r="P44" s="603"/>
      <c r="Q44" s="603"/>
      <c r="R44" s="33">
        <f>SUM(P38:R43)</f>
        <v>0</v>
      </c>
      <c r="S44" s="617" t="s">
        <v>51</v>
      </c>
      <c r="T44" s="617"/>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985.22899999999993</v>
      </c>
      <c r="F46" s="34"/>
      <c r="G46" s="106"/>
      <c r="H46" s="107" t="s">
        <v>98</v>
      </c>
      <c r="I46" s="94">
        <f>SUM(I44,I30)</f>
        <v>5466527.3399999999</v>
      </c>
      <c r="N46" s="603" t="s">
        <v>44</v>
      </c>
      <c r="O46" s="603"/>
      <c r="P46" s="603"/>
      <c r="Q46" s="603"/>
      <c r="R46" s="35">
        <f>R44+T30</f>
        <v>0</v>
      </c>
      <c r="S46" s="617" t="s">
        <v>42</v>
      </c>
      <c r="T46" s="617"/>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396</v>
      </c>
      <c r="B48" s="26"/>
      <c r="C48" s="26"/>
      <c r="D48" s="26"/>
      <c r="E48" s="26"/>
      <c r="F48" s="34"/>
      <c r="G48" s="27"/>
      <c r="H48" s="27"/>
      <c r="I48" s="101"/>
      <c r="N48" s="383" t="s">
        <v>396</v>
      </c>
      <c r="O48" s="28"/>
      <c r="P48" s="28"/>
      <c r="Q48" s="28"/>
      <c r="R48" s="35"/>
      <c r="S48" s="30"/>
      <c r="T48" s="30"/>
      <c r="U48" s="402"/>
    </row>
    <row r="49" spans="1:22" s="391" customFormat="1" ht="9" customHeight="1" x14ac:dyDescent="0.2">
      <c r="A49" s="481" t="s">
        <v>397</v>
      </c>
      <c r="F49" s="392"/>
      <c r="G49" s="393"/>
      <c r="H49" s="393"/>
      <c r="I49" s="394"/>
      <c r="N49" s="403" t="s">
        <v>397</v>
      </c>
      <c r="O49" s="395"/>
      <c r="P49" s="395"/>
      <c r="Q49" s="395"/>
      <c r="R49" s="396"/>
      <c r="S49" s="397"/>
      <c r="T49" s="397"/>
      <c r="U49" s="404"/>
    </row>
    <row r="50" spans="1:22" s="391" customFormat="1" ht="11.25" customHeight="1" x14ac:dyDescent="0.2">
      <c r="A50" s="483" t="s">
        <v>398</v>
      </c>
      <c r="F50" s="392"/>
      <c r="G50" s="393"/>
      <c r="H50" s="393"/>
      <c r="I50" s="394"/>
      <c r="N50" s="405" t="s">
        <v>398</v>
      </c>
      <c r="O50" s="395"/>
      <c r="P50" s="395"/>
      <c r="Q50" s="395"/>
      <c r="R50" s="396"/>
      <c r="S50" s="397"/>
      <c r="T50" s="397"/>
      <c r="U50" s="404"/>
    </row>
    <row r="51" spans="1:22" x14ac:dyDescent="0.25">
      <c r="A51" s="389"/>
      <c r="B51" s="399" t="s">
        <v>399</v>
      </c>
      <c r="C51" s="26"/>
      <c r="D51" s="26"/>
      <c r="E51" s="43" t="s">
        <v>400</v>
      </c>
      <c r="F51" s="400">
        <f>I46</f>
        <v>5466527.3399999999</v>
      </c>
      <c r="G51" s="109" t="s">
        <v>6</v>
      </c>
      <c r="H51" s="401">
        <v>4.5199999999999997E-2</v>
      </c>
      <c r="I51" s="101">
        <f>ROUND(F51*H51,2)</f>
        <v>247087.04</v>
      </c>
      <c r="N51" s="406"/>
      <c r="O51" s="407" t="s">
        <v>399</v>
      </c>
      <c r="P51" s="28"/>
      <c r="Q51" s="44" t="s">
        <v>400</v>
      </c>
      <c r="R51" s="408">
        <f>U30</f>
        <v>0</v>
      </c>
      <c r="S51" s="409" t="s">
        <v>6</v>
      </c>
      <c r="T51" s="410">
        <v>4.5199999999999997E-2</v>
      </c>
      <c r="U51" s="402">
        <f>ROUND(R51*T51,2)</f>
        <v>0</v>
      </c>
    </row>
    <row r="52" spans="1:22" x14ac:dyDescent="0.25">
      <c r="A52" s="26"/>
      <c r="B52" s="81" t="s">
        <v>401</v>
      </c>
      <c r="C52" s="26"/>
      <c r="D52" s="26"/>
      <c r="E52" s="43" t="s">
        <v>400</v>
      </c>
      <c r="F52" s="400">
        <f>I46</f>
        <v>5466527.3399999999</v>
      </c>
      <c r="G52" s="109" t="s">
        <v>6</v>
      </c>
      <c r="H52" s="401">
        <v>1.41E-2</v>
      </c>
      <c r="I52" s="101">
        <f>ROUND(F52*H52,2)</f>
        <v>77078.039999999994</v>
      </c>
      <c r="N52" s="28"/>
      <c r="O52" s="383" t="s">
        <v>401</v>
      </c>
      <c r="P52" s="28"/>
      <c r="Q52" s="44" t="s">
        <v>400</v>
      </c>
      <c r="R52" s="408">
        <f>U30</f>
        <v>0</v>
      </c>
      <c r="S52" s="409" t="s">
        <v>6</v>
      </c>
      <c r="T52" s="410">
        <v>1.41E-2</v>
      </c>
      <c r="U52" s="411">
        <f>ROUND(R52*T52,2)</f>
        <v>0</v>
      </c>
    </row>
    <row r="53" spans="1:22" x14ac:dyDescent="0.25">
      <c r="A53" s="26"/>
      <c r="B53" s="81" t="s">
        <v>402</v>
      </c>
      <c r="C53" s="26"/>
      <c r="D53" s="26"/>
      <c r="E53" s="43"/>
      <c r="F53" s="400"/>
      <c r="G53" s="109"/>
      <c r="H53" s="401"/>
      <c r="I53" s="97">
        <f>SUM(I51:I52)</f>
        <v>324165.08</v>
      </c>
      <c r="N53" s="28"/>
      <c r="O53" s="383" t="s">
        <v>402</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440</v>
      </c>
      <c r="G55" s="109" t="s">
        <v>441</v>
      </c>
      <c r="H55" s="454" t="s">
        <v>442</v>
      </c>
      <c r="I55" s="101"/>
      <c r="N55" s="448"/>
      <c r="O55" s="448"/>
      <c r="P55" s="464"/>
      <c r="Q55" s="465"/>
      <c r="R55" s="466"/>
      <c r="S55" s="468" t="s">
        <v>441</v>
      </c>
      <c r="T55" s="469" t="s">
        <v>442</v>
      </c>
      <c r="U55" s="467"/>
      <c r="V55" s="424"/>
    </row>
    <row r="56" spans="1:22" x14ac:dyDescent="0.25">
      <c r="A56" s="36" t="s">
        <v>443</v>
      </c>
      <c r="B56" s="36"/>
      <c r="C56" s="324" t="str">
        <f>'1461'!C56</f>
        <v>FTE</v>
      </c>
      <c r="D56" s="324" t="str">
        <f>'1461'!D56</f>
        <v>FTE</v>
      </c>
      <c r="E56" s="90" t="s">
        <v>2</v>
      </c>
      <c r="F56" s="439" t="s">
        <v>444</v>
      </c>
      <c r="G56" s="441" t="s">
        <v>444</v>
      </c>
      <c r="H56" s="455" t="s">
        <v>445</v>
      </c>
      <c r="I56" s="36"/>
      <c r="N56" s="459" t="s">
        <v>443</v>
      </c>
      <c r="O56" s="459"/>
      <c r="P56" s="620" t="s">
        <v>2</v>
      </c>
      <c r="Q56" s="620"/>
      <c r="R56" s="459" t="s">
        <v>449</v>
      </c>
      <c r="S56" s="450" t="s">
        <v>444</v>
      </c>
      <c r="T56" s="470" t="s">
        <v>445</v>
      </c>
      <c r="U56" s="459"/>
      <c r="V56" s="458"/>
    </row>
    <row r="57" spans="1:22" x14ac:dyDescent="0.25">
      <c r="A57" s="588" t="s">
        <v>447</v>
      </c>
      <c r="B57" s="588"/>
      <c r="C57" s="143">
        <v>0</v>
      </c>
      <c r="D57" s="143">
        <v>0</v>
      </c>
      <c r="E57" s="116">
        <f t="shared" ref="E57:E65" si="10">IF(D$66=0,C57*2,C57+D57)</f>
        <v>0</v>
      </c>
      <c r="F57" s="443" t="s">
        <v>439</v>
      </c>
      <c r="G57" s="443">
        <v>251</v>
      </c>
      <c r="H57" s="457">
        <f>'1461'!H57</f>
        <v>1047</v>
      </c>
      <c r="I57" s="101">
        <f>ROUND(E57*H57,2)</f>
        <v>0</v>
      </c>
      <c r="N57" s="618" t="s">
        <v>447</v>
      </c>
      <c r="O57" s="618"/>
      <c r="P57" s="621"/>
      <c r="Q57" s="621"/>
      <c r="R57" s="449" t="s">
        <v>439</v>
      </c>
      <c r="S57" s="449">
        <v>251</v>
      </c>
      <c r="T57" s="460">
        <f>H57</f>
        <v>1047</v>
      </c>
      <c r="U57" s="474">
        <f>ROUND(P57*T57,2)</f>
        <v>0</v>
      </c>
      <c r="V57" s="424"/>
    </row>
    <row r="58" spans="1:22" x14ac:dyDescent="0.25">
      <c r="A58" s="589"/>
      <c r="B58" s="589"/>
      <c r="C58" s="143">
        <v>0</v>
      </c>
      <c r="D58" s="143">
        <v>0</v>
      </c>
      <c r="E58" s="116">
        <f t="shared" si="10"/>
        <v>0</v>
      </c>
      <c r="F58" s="443" t="s">
        <v>439</v>
      </c>
      <c r="G58" s="443">
        <v>252</v>
      </c>
      <c r="H58" s="457">
        <f>'1461'!H58</f>
        <v>3380</v>
      </c>
      <c r="I58" s="101">
        <f t="shared" ref="I58:I65" si="11">ROUND(E58*H58,2)</f>
        <v>0</v>
      </c>
      <c r="N58" s="619"/>
      <c r="O58" s="619"/>
      <c r="P58" s="622"/>
      <c r="Q58" s="622"/>
      <c r="R58" s="449" t="s">
        <v>439</v>
      </c>
      <c r="S58" s="449">
        <v>252</v>
      </c>
      <c r="T58" s="460">
        <f t="shared" ref="T58:T65" si="12">H58</f>
        <v>3380</v>
      </c>
      <c r="U58" s="474">
        <f t="shared" ref="U58:U65" si="13">ROUND(P58*T58,2)</f>
        <v>0</v>
      </c>
      <c r="V58" s="424"/>
    </row>
    <row r="59" spans="1:22" x14ac:dyDescent="0.25">
      <c r="A59" s="589"/>
      <c r="B59" s="589"/>
      <c r="C59" s="143">
        <v>0</v>
      </c>
      <c r="D59" s="143">
        <v>0</v>
      </c>
      <c r="E59" s="116">
        <f t="shared" si="10"/>
        <v>0</v>
      </c>
      <c r="F59" s="443" t="s">
        <v>439</v>
      </c>
      <c r="G59" s="443">
        <v>253</v>
      </c>
      <c r="H59" s="457">
        <f>'1461'!H59</f>
        <v>6896</v>
      </c>
      <c r="I59" s="101">
        <f t="shared" si="11"/>
        <v>0</v>
      </c>
      <c r="N59" s="619"/>
      <c r="O59" s="619"/>
      <c r="P59" s="622"/>
      <c r="Q59" s="622"/>
      <c r="R59" s="449" t="s">
        <v>439</v>
      </c>
      <c r="S59" s="449">
        <v>253</v>
      </c>
      <c r="T59" s="460">
        <f t="shared" si="12"/>
        <v>6896</v>
      </c>
      <c r="U59" s="474">
        <f t="shared" si="13"/>
        <v>0</v>
      </c>
      <c r="V59" s="424"/>
    </row>
    <row r="60" spans="1:22" x14ac:dyDescent="0.25">
      <c r="A60" s="589"/>
      <c r="B60" s="589"/>
      <c r="C60" s="143">
        <v>0</v>
      </c>
      <c r="D60" s="143">
        <v>0</v>
      </c>
      <c r="E60" s="116">
        <f t="shared" si="10"/>
        <v>0</v>
      </c>
      <c r="F60" s="444" t="s">
        <v>13</v>
      </c>
      <c r="G60" s="443">
        <v>251</v>
      </c>
      <c r="H60" s="457">
        <f>'1461'!H60</f>
        <v>1173</v>
      </c>
      <c r="I60" s="101">
        <f t="shared" si="11"/>
        <v>0</v>
      </c>
      <c r="N60" s="619"/>
      <c r="O60" s="619"/>
      <c r="P60" s="622"/>
      <c r="Q60" s="622"/>
      <c r="R60" s="40" t="s">
        <v>13</v>
      </c>
      <c r="S60" s="449">
        <v>251</v>
      </c>
      <c r="T60" s="460">
        <f t="shared" si="12"/>
        <v>1173</v>
      </c>
      <c r="U60" s="474">
        <f t="shared" si="13"/>
        <v>0</v>
      </c>
      <c r="V60" s="424"/>
    </row>
    <row r="61" spans="1:22" x14ac:dyDescent="0.25">
      <c r="A61" s="589"/>
      <c r="B61" s="589"/>
      <c r="C61" s="143">
        <v>0</v>
      </c>
      <c r="D61" s="143">
        <v>0</v>
      </c>
      <c r="E61" s="116">
        <f t="shared" si="10"/>
        <v>0</v>
      </c>
      <c r="F61" s="444" t="s">
        <v>13</v>
      </c>
      <c r="G61" s="443">
        <v>252</v>
      </c>
      <c r="H61" s="457">
        <f>'1461'!H61</f>
        <v>3506</v>
      </c>
      <c r="I61" s="101">
        <f t="shared" si="11"/>
        <v>0</v>
      </c>
      <c r="N61" s="619"/>
      <c r="O61" s="619"/>
      <c r="P61" s="622"/>
      <c r="Q61" s="622"/>
      <c r="R61" s="40" t="s">
        <v>13</v>
      </c>
      <c r="S61" s="449">
        <v>252</v>
      </c>
      <c r="T61" s="460">
        <f t="shared" si="12"/>
        <v>3506</v>
      </c>
      <c r="U61" s="474">
        <f t="shared" si="13"/>
        <v>0</v>
      </c>
      <c r="V61" s="424"/>
    </row>
    <row r="62" spans="1:22" x14ac:dyDescent="0.25">
      <c r="A62" s="589"/>
      <c r="B62" s="589"/>
      <c r="C62" s="143">
        <v>0</v>
      </c>
      <c r="D62" s="143">
        <v>0</v>
      </c>
      <c r="E62" s="116">
        <f t="shared" si="10"/>
        <v>0</v>
      </c>
      <c r="F62" s="444" t="s">
        <v>13</v>
      </c>
      <c r="G62" s="443">
        <v>253</v>
      </c>
      <c r="H62" s="457">
        <f>'1461'!H62</f>
        <v>7023</v>
      </c>
      <c r="I62" s="101">
        <f t="shared" si="11"/>
        <v>0</v>
      </c>
      <c r="N62" s="619"/>
      <c r="O62" s="619"/>
      <c r="P62" s="622"/>
      <c r="Q62" s="622"/>
      <c r="R62" s="40" t="s">
        <v>13</v>
      </c>
      <c r="S62" s="449">
        <v>253</v>
      </c>
      <c r="T62" s="460">
        <f t="shared" si="12"/>
        <v>7023</v>
      </c>
      <c r="U62" s="474">
        <f t="shared" si="13"/>
        <v>0</v>
      </c>
      <c r="V62" s="424"/>
    </row>
    <row r="63" spans="1:22" x14ac:dyDescent="0.25">
      <c r="A63" s="589"/>
      <c r="B63" s="589"/>
      <c r="C63" s="143">
        <v>43</v>
      </c>
      <c r="D63" s="143">
        <v>36.03</v>
      </c>
      <c r="E63" s="116">
        <f t="shared" si="10"/>
        <v>79.03</v>
      </c>
      <c r="F63" s="444" t="s">
        <v>14</v>
      </c>
      <c r="G63" s="443">
        <v>251</v>
      </c>
      <c r="H63" s="457">
        <f>'1461'!H63</f>
        <v>835</v>
      </c>
      <c r="I63" s="101">
        <f t="shared" si="11"/>
        <v>65990.05</v>
      </c>
      <c r="N63" s="619"/>
      <c r="O63" s="619"/>
      <c r="P63" s="622"/>
      <c r="Q63" s="622"/>
      <c r="R63" s="40" t="s">
        <v>14</v>
      </c>
      <c r="S63" s="449">
        <v>251</v>
      </c>
      <c r="T63" s="460">
        <f t="shared" si="12"/>
        <v>835</v>
      </c>
      <c r="U63" s="474">
        <f t="shared" si="13"/>
        <v>0</v>
      </c>
      <c r="V63" s="424"/>
    </row>
    <row r="64" spans="1:22" x14ac:dyDescent="0.25">
      <c r="A64" s="589"/>
      <c r="B64" s="589"/>
      <c r="C64" s="143">
        <v>1.5</v>
      </c>
      <c r="D64" s="143">
        <v>0</v>
      </c>
      <c r="E64" s="116">
        <f t="shared" si="10"/>
        <v>1.5</v>
      </c>
      <c r="F64" s="444" t="s">
        <v>14</v>
      </c>
      <c r="G64" s="443">
        <v>252</v>
      </c>
      <c r="H64" s="457">
        <f>'1461'!H64</f>
        <v>3168</v>
      </c>
      <c r="I64" s="101">
        <f t="shared" si="11"/>
        <v>4752</v>
      </c>
      <c r="N64" s="619"/>
      <c r="O64" s="619"/>
      <c r="P64" s="622"/>
      <c r="Q64" s="622"/>
      <c r="R64" s="40" t="s">
        <v>14</v>
      </c>
      <c r="S64" s="449">
        <v>252</v>
      </c>
      <c r="T64" s="460">
        <f t="shared" si="12"/>
        <v>3168</v>
      </c>
      <c r="U64" s="474">
        <f t="shared" si="13"/>
        <v>0</v>
      </c>
      <c r="V64" s="424"/>
    </row>
    <row r="65" spans="1:22" ht="16.5" thickBot="1" x14ac:dyDescent="0.3">
      <c r="A65" s="589"/>
      <c r="B65" s="589"/>
      <c r="C65" s="143">
        <v>0</v>
      </c>
      <c r="D65" s="143">
        <v>0</v>
      </c>
      <c r="E65" s="116">
        <f t="shared" si="10"/>
        <v>0</v>
      </c>
      <c r="F65" s="444" t="s">
        <v>14</v>
      </c>
      <c r="G65" s="443">
        <v>253</v>
      </c>
      <c r="H65" s="457">
        <f>'1461'!H65</f>
        <v>6685</v>
      </c>
      <c r="I65" s="101">
        <f t="shared" si="11"/>
        <v>0</v>
      </c>
      <c r="N65" s="619"/>
      <c r="O65" s="619"/>
      <c r="P65" s="623"/>
      <c r="Q65" s="623"/>
      <c r="R65" s="40" t="s">
        <v>14</v>
      </c>
      <c r="S65" s="449">
        <v>253</v>
      </c>
      <c r="T65" s="460">
        <f t="shared" si="12"/>
        <v>6685</v>
      </c>
      <c r="U65" s="475">
        <f t="shared" si="13"/>
        <v>0</v>
      </c>
      <c r="V65" s="424"/>
    </row>
    <row r="66" spans="1:22" ht="16.5" thickBot="1" x14ac:dyDescent="0.3">
      <c r="A66" s="440"/>
      <c r="C66" s="97">
        <f>SUM(C57:C65)</f>
        <v>44.5</v>
      </c>
      <c r="D66" s="97">
        <f>SUM(D57:D65)</f>
        <v>36.03</v>
      </c>
      <c r="E66" s="97">
        <f>SUM(E57:E65)</f>
        <v>80.53</v>
      </c>
      <c r="F66" s="590" t="s">
        <v>448</v>
      </c>
      <c r="G66" s="590"/>
      <c r="H66" s="590"/>
      <c r="I66" s="97">
        <f>SUM(I57:I65)</f>
        <v>70742.05</v>
      </c>
      <c r="N66" s="446"/>
      <c r="O66" s="51"/>
      <c r="P66" s="602">
        <f>SUM(P57:P65)</f>
        <v>0</v>
      </c>
      <c r="Q66" s="602"/>
      <c r="R66" s="603" t="s">
        <v>448</v>
      </c>
      <c r="S66" s="603"/>
      <c r="T66" s="603"/>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450</v>
      </c>
      <c r="N68" s="453" t="s">
        <v>458</v>
      </c>
      <c r="O68" s="51"/>
      <c r="P68" s="51"/>
      <c r="Q68" s="51"/>
      <c r="R68" s="51"/>
      <c r="S68" s="51"/>
      <c r="T68" s="51"/>
      <c r="U68" s="51"/>
    </row>
    <row r="69" spans="1:22" x14ac:dyDescent="0.25">
      <c r="A69" s="584" t="s">
        <v>403</v>
      </c>
      <c r="B69" s="578"/>
      <c r="C69" s="112">
        <f>E30</f>
        <v>999.11999999999989</v>
      </c>
      <c r="D69" s="565" t="s">
        <v>414</v>
      </c>
      <c r="E69" s="565"/>
      <c r="F69" s="565"/>
      <c r="G69" s="565"/>
      <c r="H69" s="300">
        <f>'1461'!H69</f>
        <v>210228.91</v>
      </c>
      <c r="I69" s="113"/>
      <c r="N69" s="600" t="s">
        <v>407</v>
      </c>
      <c r="O69" s="601"/>
      <c r="P69" s="41">
        <f>P30</f>
        <v>0</v>
      </c>
      <c r="Q69" s="606" t="s">
        <v>409</v>
      </c>
      <c r="R69" s="607"/>
      <c r="S69" s="607"/>
      <c r="T69" s="604">
        <f>H69</f>
        <v>210228.91</v>
      </c>
      <c r="U69" s="604"/>
    </row>
    <row r="70" spans="1:22" x14ac:dyDescent="0.25">
      <c r="B70" s="69"/>
      <c r="G70" s="42" t="s">
        <v>12</v>
      </c>
      <c r="H70" s="114">
        <f>ROUND(C69/H69,6)</f>
        <v>4.7530000000000003E-3</v>
      </c>
      <c r="I70" s="115"/>
      <c r="N70" s="601"/>
      <c r="O70" s="601"/>
      <c r="P70" s="601"/>
      <c r="Q70" s="601"/>
      <c r="R70" s="601"/>
      <c r="S70" s="601"/>
      <c r="T70" s="605">
        <f>ROUND(P69/T69,6)</f>
        <v>0</v>
      </c>
      <c r="U70" s="605"/>
    </row>
    <row r="71" spans="1:22" x14ac:dyDescent="0.25">
      <c r="A71" s="442" t="s">
        <v>451</v>
      </c>
      <c r="N71" s="453" t="s">
        <v>459</v>
      </c>
      <c r="O71" s="51"/>
      <c r="P71" s="51"/>
      <c r="Q71" s="51"/>
      <c r="R71" s="51"/>
      <c r="S71" s="51"/>
      <c r="T71" s="51"/>
      <c r="U71" s="51"/>
    </row>
    <row r="72" spans="1:22" x14ac:dyDescent="0.25">
      <c r="A72" s="584" t="s">
        <v>404</v>
      </c>
      <c r="B72" s="578"/>
      <c r="C72" s="112">
        <f>H30</f>
        <v>985.22899999999993</v>
      </c>
      <c r="D72" s="565" t="s">
        <v>415</v>
      </c>
      <c r="E72" s="565"/>
      <c r="F72" s="565"/>
      <c r="G72" s="565"/>
      <c r="H72" s="301">
        <f>'1461'!H72</f>
        <v>234891.44</v>
      </c>
      <c r="I72" s="116"/>
      <c r="N72" s="600" t="s">
        <v>408</v>
      </c>
      <c r="O72" s="601"/>
      <c r="P72" s="41">
        <f>T30</f>
        <v>0</v>
      </c>
      <c r="Q72" s="606" t="s">
        <v>410</v>
      </c>
      <c r="R72" s="607"/>
      <c r="S72" s="607"/>
      <c r="T72" s="604">
        <f>H72</f>
        <v>234891.44</v>
      </c>
      <c r="U72" s="604"/>
    </row>
    <row r="73" spans="1:22" x14ac:dyDescent="0.25">
      <c r="G73" s="42" t="s">
        <v>12</v>
      </c>
      <c r="H73" s="114">
        <f>ROUND(C72/H72,6)</f>
        <v>4.1939999999999998E-3</v>
      </c>
      <c r="I73" s="114"/>
      <c r="N73" s="601"/>
      <c r="O73" s="601"/>
      <c r="P73" s="601"/>
      <c r="Q73" s="601"/>
      <c r="R73" s="601"/>
      <c r="S73" s="601"/>
      <c r="T73" s="605">
        <f>ROUND(P72/T72,6)</f>
        <v>0</v>
      </c>
      <c r="U73" s="605"/>
    </row>
    <row r="74" spans="1:22" x14ac:dyDescent="0.25">
      <c r="A74" s="417" t="s">
        <v>452</v>
      </c>
      <c r="B74" s="414"/>
      <c r="C74" s="414"/>
      <c r="D74" s="414"/>
      <c r="E74" s="414"/>
      <c r="F74" s="414"/>
      <c r="G74" s="414"/>
      <c r="H74" s="414"/>
      <c r="I74" s="414"/>
      <c r="N74" s="416" t="s">
        <v>460</v>
      </c>
      <c r="O74" s="415"/>
      <c r="P74" s="415"/>
      <c r="Q74" s="415"/>
      <c r="R74" s="415"/>
      <c r="S74" s="415"/>
      <c r="T74" s="415"/>
      <c r="U74" s="415"/>
      <c r="V74" s="414"/>
    </row>
    <row r="75" spans="1:22" x14ac:dyDescent="0.25">
      <c r="A75" s="584" t="s">
        <v>405</v>
      </c>
      <c r="B75" s="578"/>
      <c r="C75" s="112">
        <f>E30</f>
        <v>999.11999999999989</v>
      </c>
      <c r="D75" s="557" t="s">
        <v>416</v>
      </c>
      <c r="E75" s="557"/>
      <c r="F75" s="557"/>
      <c r="G75" s="557"/>
      <c r="H75" s="300">
        <f>'1461'!H75</f>
        <v>187665.41</v>
      </c>
      <c r="I75" s="113"/>
      <c r="N75" s="600" t="s">
        <v>406</v>
      </c>
      <c r="O75" s="601"/>
      <c r="P75" s="41">
        <f>P30</f>
        <v>0</v>
      </c>
      <c r="Q75" s="636" t="s">
        <v>411</v>
      </c>
      <c r="R75" s="637"/>
      <c r="S75" s="637"/>
      <c r="T75" s="604">
        <f>H75</f>
        <v>187665.41</v>
      </c>
      <c r="U75" s="604"/>
    </row>
    <row r="76" spans="1:22" x14ac:dyDescent="0.25">
      <c r="B76" s="69"/>
      <c r="G76" s="42" t="s">
        <v>12</v>
      </c>
      <c r="H76" s="114">
        <f>ROUND(C75/H75,6)</f>
        <v>5.3239999999999997E-3</v>
      </c>
      <c r="I76" s="115"/>
      <c r="N76" s="601"/>
      <c r="O76" s="601"/>
      <c r="P76" s="601"/>
      <c r="Q76" s="601"/>
      <c r="R76" s="601"/>
      <c r="S76" s="601"/>
      <c r="T76" s="605">
        <f>ROUND(P75/T75,6)</f>
        <v>0</v>
      </c>
      <c r="U76" s="605"/>
    </row>
    <row r="77" spans="1:22" x14ac:dyDescent="0.25">
      <c r="A77" s="417" t="s">
        <v>453</v>
      </c>
      <c r="B77" s="414"/>
      <c r="C77" s="414"/>
      <c r="D77" s="414"/>
      <c r="E77" s="414"/>
      <c r="F77" s="414"/>
      <c r="G77" s="414"/>
      <c r="H77" s="414"/>
      <c r="I77" s="414"/>
      <c r="N77" s="416" t="s">
        <v>461</v>
      </c>
      <c r="O77" s="415"/>
      <c r="P77" s="415"/>
      <c r="Q77" s="415"/>
      <c r="R77" s="415"/>
      <c r="S77" s="415"/>
      <c r="T77" s="415"/>
      <c r="U77" s="415"/>
      <c r="V77" s="414"/>
    </row>
    <row r="78" spans="1:22" x14ac:dyDescent="0.25">
      <c r="A78" s="584" t="s">
        <v>405</v>
      </c>
      <c r="B78" s="578"/>
      <c r="C78" s="112">
        <f>E30</f>
        <v>999.11999999999989</v>
      </c>
      <c r="D78" s="585" t="s">
        <v>417</v>
      </c>
      <c r="E78" s="585"/>
      <c r="F78" s="585"/>
      <c r="G78" s="585"/>
      <c r="H78" s="300">
        <f>'1461'!H78</f>
        <v>209892.26</v>
      </c>
      <c r="I78" s="113"/>
      <c r="N78" s="600" t="s">
        <v>406</v>
      </c>
      <c r="O78" s="601"/>
      <c r="P78" s="41">
        <f>P30</f>
        <v>0</v>
      </c>
      <c r="Q78" s="634" t="s">
        <v>412</v>
      </c>
      <c r="R78" s="635"/>
      <c r="S78" s="635"/>
      <c r="T78" s="604">
        <f>H78</f>
        <v>209892.26</v>
      </c>
      <c r="U78" s="604"/>
    </row>
    <row r="79" spans="1:22" x14ac:dyDescent="0.25">
      <c r="B79" s="69"/>
      <c r="G79" s="42" t="s">
        <v>12</v>
      </c>
      <c r="H79" s="114">
        <f>ROUND(C78/H78,6)</f>
        <v>4.7600000000000003E-3</v>
      </c>
      <c r="I79" s="115"/>
      <c r="N79" s="601"/>
      <c r="O79" s="601"/>
      <c r="P79" s="601"/>
      <c r="Q79" s="601"/>
      <c r="R79" s="601"/>
      <c r="S79" s="601"/>
      <c r="T79" s="605">
        <f>ROUND(P78/T78,6)</f>
        <v>0</v>
      </c>
      <c r="U79" s="605"/>
    </row>
    <row r="80" spans="1:22" x14ac:dyDescent="0.25">
      <c r="A80" s="417" t="s">
        <v>454</v>
      </c>
      <c r="B80" s="414"/>
      <c r="C80" s="414"/>
      <c r="D80" s="414"/>
      <c r="E80" s="414"/>
      <c r="F80" s="414"/>
      <c r="G80" s="414"/>
      <c r="H80" s="414"/>
      <c r="I80" s="414"/>
      <c r="N80" s="416" t="s">
        <v>462</v>
      </c>
      <c r="O80" s="415"/>
      <c r="P80" s="415"/>
      <c r="Q80" s="415"/>
      <c r="R80" s="415"/>
      <c r="S80" s="415"/>
      <c r="T80" s="415"/>
      <c r="U80" s="415"/>
      <c r="V80" s="414"/>
    </row>
    <row r="81" spans="1:21" x14ac:dyDescent="0.25">
      <c r="A81" s="584" t="s">
        <v>413</v>
      </c>
      <c r="B81" s="578"/>
      <c r="C81" s="112">
        <f>E30</f>
        <v>999.11999999999989</v>
      </c>
      <c r="D81" s="557" t="s">
        <v>418</v>
      </c>
      <c r="E81" s="557"/>
      <c r="F81" s="557"/>
      <c r="G81" s="557"/>
      <c r="H81" s="300">
        <f>'1461'!H81</f>
        <v>187328.76</v>
      </c>
      <c r="I81" s="113"/>
      <c r="N81" s="600" t="s">
        <v>419</v>
      </c>
      <c r="O81" s="601"/>
      <c r="P81" s="41">
        <f>P30</f>
        <v>0</v>
      </c>
      <c r="Q81" s="636" t="s">
        <v>420</v>
      </c>
      <c r="R81" s="637"/>
      <c r="S81" s="637"/>
      <c r="T81" s="604">
        <f>H81</f>
        <v>187328.76</v>
      </c>
      <c r="U81" s="604"/>
    </row>
    <row r="82" spans="1:21" x14ac:dyDescent="0.25">
      <c r="B82" s="69"/>
      <c r="G82" s="42" t="s">
        <v>12</v>
      </c>
      <c r="H82" s="114">
        <f>ROUND(C81/H81,6)</f>
        <v>5.3340000000000002E-3</v>
      </c>
      <c r="I82" s="115"/>
      <c r="N82" s="601"/>
      <c r="O82" s="601"/>
      <c r="P82" s="601"/>
      <c r="Q82" s="601"/>
      <c r="R82" s="601"/>
      <c r="S82" s="601"/>
      <c r="T82" s="605">
        <f>ROUND(P81/T81,6)</f>
        <v>0</v>
      </c>
      <c r="U82" s="605"/>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455</v>
      </c>
      <c r="D85" s="69"/>
      <c r="E85" s="43" t="s">
        <v>299</v>
      </c>
      <c r="F85" s="302">
        <f>'1461'!F85</f>
        <v>46163704</v>
      </c>
      <c r="G85" s="37" t="s">
        <v>6</v>
      </c>
      <c r="H85" s="422">
        <f>H79</f>
        <v>4.7600000000000003E-3</v>
      </c>
      <c r="I85" s="101">
        <f>ROUND(F85*H85,2)</f>
        <v>219739.23</v>
      </c>
      <c r="N85" s="453" t="s">
        <v>455</v>
      </c>
      <c r="O85" s="51"/>
      <c r="P85" s="51"/>
      <c r="Q85" s="44"/>
      <c r="R85" s="419">
        <f>F85</f>
        <v>46163704</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87" t="s">
        <v>71</v>
      </c>
      <c r="B87" s="578"/>
      <c r="C87" s="578"/>
      <c r="D87" s="69"/>
      <c r="E87" s="43"/>
      <c r="F87" s="117"/>
      <c r="G87" s="37"/>
      <c r="H87" s="422"/>
      <c r="I87" s="101"/>
      <c r="N87" s="600" t="s">
        <v>463</v>
      </c>
      <c r="O87" s="601"/>
      <c r="P87" s="601"/>
      <c r="Q87" s="51"/>
      <c r="R87" s="420"/>
      <c r="S87" s="51"/>
      <c r="T87" s="38"/>
      <c r="U87" s="478"/>
    </row>
    <row r="88" spans="1:21" x14ac:dyDescent="0.25">
      <c r="A88" s="587" t="s">
        <v>99</v>
      </c>
      <c r="B88" s="578"/>
      <c r="C88" s="578"/>
      <c r="D88" s="69"/>
      <c r="E88" s="43" t="s">
        <v>3</v>
      </c>
      <c r="F88" s="302">
        <f>'1461'!F88</f>
        <v>0</v>
      </c>
      <c r="G88" s="37" t="s">
        <v>6</v>
      </c>
      <c r="H88" s="422">
        <f>H70</f>
        <v>4.7530000000000003E-3</v>
      </c>
      <c r="I88" s="101">
        <f>ROUND(F88*H88,2)</f>
        <v>0</v>
      </c>
      <c r="N88" s="638" t="s">
        <v>99</v>
      </c>
      <c r="O88" s="601"/>
      <c r="P88" s="601"/>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456</v>
      </c>
      <c r="D90" s="69"/>
      <c r="E90" s="43" t="s">
        <v>421</v>
      </c>
      <c r="F90" s="302">
        <f>'1461'!F90</f>
        <v>19042026</v>
      </c>
      <c r="G90" s="37" t="s">
        <v>6</v>
      </c>
      <c r="H90" s="422">
        <f>H82</f>
        <v>5.3340000000000002E-3</v>
      </c>
      <c r="I90" s="101">
        <f>ROUND(F90*H90,2)</f>
        <v>101570.17</v>
      </c>
      <c r="N90" s="453" t="s">
        <v>456</v>
      </c>
      <c r="O90" s="51"/>
      <c r="P90" s="51"/>
      <c r="Q90" s="44"/>
      <c r="R90" s="419">
        <f>F90</f>
        <v>19042026</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457</v>
      </c>
      <c r="D92" s="69"/>
      <c r="E92" s="43" t="s">
        <v>3</v>
      </c>
      <c r="F92" s="302">
        <f>'1461'!F92</f>
        <v>11441151</v>
      </c>
      <c r="G92" s="37" t="s">
        <v>6</v>
      </c>
      <c r="H92" s="422">
        <f>H76</f>
        <v>5.3239999999999997E-3</v>
      </c>
      <c r="I92" s="101">
        <f t="shared" ref="I92:I96" si="14">ROUND(F92*H92,2)</f>
        <v>60912.69</v>
      </c>
      <c r="N92" s="453" t="s">
        <v>457</v>
      </c>
      <c r="O92" s="51"/>
      <c r="P92" s="51"/>
      <c r="Q92" s="44"/>
      <c r="R92" s="419">
        <f t="shared" ref="R92:R96" si="15">F92</f>
        <v>11441151</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84" t="s">
        <v>422</v>
      </c>
      <c r="B94" s="578"/>
      <c r="C94" s="578"/>
      <c r="D94" s="69"/>
      <c r="E94" s="43" t="s">
        <v>4</v>
      </c>
      <c r="F94" s="302">
        <f>'1461'!F94</f>
        <v>247265670</v>
      </c>
      <c r="G94" s="37" t="s">
        <v>6</v>
      </c>
      <c r="H94" s="422">
        <f>H73</f>
        <v>4.1939999999999998E-3</v>
      </c>
      <c r="I94" s="101">
        <f t="shared" si="14"/>
        <v>1037032.22</v>
      </c>
      <c r="N94" s="601" t="s">
        <v>422</v>
      </c>
      <c r="O94" s="601"/>
      <c r="P94" s="601"/>
      <c r="Q94" s="44"/>
      <c r="R94" s="419">
        <f t="shared" si="15"/>
        <v>247265670</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4" t="s">
        <v>423</v>
      </c>
      <c r="B96" s="578"/>
      <c r="C96" s="578"/>
      <c r="D96" s="69"/>
      <c r="E96" s="43" t="s">
        <v>4</v>
      </c>
      <c r="F96" s="302">
        <f>'1461'!F96</f>
        <v>0</v>
      </c>
      <c r="G96" s="37" t="s">
        <v>6</v>
      </c>
      <c r="H96" s="422">
        <f>H73</f>
        <v>4.1939999999999998E-3</v>
      </c>
      <c r="I96" s="101">
        <f t="shared" si="14"/>
        <v>0</v>
      </c>
      <c r="N96" s="600" t="s">
        <v>423</v>
      </c>
      <c r="O96" s="601"/>
      <c r="P96" s="601"/>
      <c r="Q96" s="44"/>
      <c r="R96" s="419">
        <f t="shared" si="15"/>
        <v>0</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530" t="s">
        <v>497</v>
      </c>
      <c r="B98" s="529"/>
      <c r="C98" s="529"/>
      <c r="D98" s="529"/>
      <c r="E98" s="527" t="s">
        <v>3</v>
      </c>
      <c r="F98" s="290">
        <v>0</v>
      </c>
      <c r="G98" s="528" t="s">
        <v>6</v>
      </c>
      <c r="H98" s="422">
        <f>H70</f>
        <v>4.7530000000000003E-3</v>
      </c>
      <c r="I98" s="101">
        <f t="shared" ref="I98" si="16">ROUND(F98*H98,2)</f>
        <v>0</v>
      </c>
      <c r="N98" s="533" t="s">
        <v>497</v>
      </c>
      <c r="O98" s="533"/>
      <c r="P98" s="533"/>
      <c r="Q98" s="44"/>
      <c r="R98" s="536">
        <f>F98</f>
        <v>0</v>
      </c>
      <c r="S98" s="534" t="s">
        <v>6</v>
      </c>
      <c r="T98" s="421">
        <f>T70</f>
        <v>0</v>
      </c>
      <c r="U98" s="473">
        <f>ROUND(R98*T98,2)</f>
        <v>0</v>
      </c>
    </row>
    <row r="99" spans="1:21" x14ac:dyDescent="0.25">
      <c r="A99" s="530"/>
      <c r="B99" s="529"/>
      <c r="C99" s="529"/>
      <c r="D99" s="529"/>
      <c r="E99" s="527"/>
      <c r="F99" s="276"/>
      <c r="G99" s="528"/>
      <c r="H99" s="422"/>
      <c r="I99" s="101"/>
      <c r="N99" s="533"/>
      <c r="O99" s="533"/>
      <c r="P99" s="533"/>
      <c r="Q99" s="44"/>
      <c r="R99" s="535"/>
      <c r="S99" s="534"/>
      <c r="T99" s="421"/>
      <c r="U99" s="477"/>
    </row>
    <row r="100" spans="1:21" x14ac:dyDescent="0.25">
      <c r="A100" s="530"/>
      <c r="B100" s="529"/>
      <c r="C100" s="529"/>
      <c r="D100" s="529"/>
      <c r="E100" s="527"/>
      <c r="F100" s="276"/>
      <c r="G100" s="528"/>
      <c r="H100" s="422"/>
      <c r="I100" s="101"/>
      <c r="N100" s="533"/>
      <c r="O100" s="533"/>
      <c r="P100" s="533"/>
      <c r="Q100" s="44"/>
      <c r="R100" s="420"/>
      <c r="S100" s="534"/>
      <c r="T100" s="421"/>
      <c r="U100" s="103"/>
    </row>
    <row r="101" spans="1:21" x14ac:dyDescent="0.25">
      <c r="A101" s="399" t="s">
        <v>498</v>
      </c>
      <c r="N101" s="407" t="s">
        <v>498</v>
      </c>
      <c r="O101" s="51"/>
      <c r="P101" s="51"/>
      <c r="Q101" s="51"/>
      <c r="R101" s="51"/>
      <c r="S101" s="51"/>
      <c r="T101" s="51"/>
      <c r="U101" s="51"/>
    </row>
    <row r="102" spans="1:21" x14ac:dyDescent="0.25">
      <c r="B102" s="69"/>
      <c r="C102" s="563" t="s">
        <v>60</v>
      </c>
      <c r="D102" s="563"/>
      <c r="E102" s="69"/>
      <c r="F102" s="39" t="s">
        <v>28</v>
      </c>
      <c r="G102" s="69"/>
      <c r="H102" s="69"/>
      <c r="I102" s="69"/>
      <c r="N102" s="45"/>
      <c r="O102" s="45"/>
      <c r="P102" s="45"/>
      <c r="Q102" s="45"/>
      <c r="R102" s="45"/>
      <c r="S102" s="45"/>
      <c r="T102" s="45"/>
      <c r="U102" s="45"/>
    </row>
    <row r="103" spans="1:21" x14ac:dyDescent="0.25">
      <c r="A103" s="3"/>
      <c r="B103" s="118"/>
      <c r="C103" s="564" t="s">
        <v>101</v>
      </c>
      <c r="D103" s="564"/>
      <c r="E103" s="423" t="s">
        <v>426</v>
      </c>
      <c r="F103" s="120" t="s">
        <v>106</v>
      </c>
      <c r="G103" s="121"/>
      <c r="H103" s="121"/>
      <c r="I103" s="121"/>
      <c r="N103" s="631" t="s">
        <v>35</v>
      </c>
      <c r="O103" s="631"/>
      <c r="P103" s="672" t="s">
        <v>428</v>
      </c>
      <c r="Q103" s="633"/>
      <c r="R103" s="604" t="s">
        <v>31</v>
      </c>
      <c r="S103" s="604"/>
      <c r="T103" s="604"/>
      <c r="U103" s="604"/>
    </row>
    <row r="104" spans="1:21" x14ac:dyDescent="0.25">
      <c r="A104" s="26"/>
      <c r="B104" s="52" t="s">
        <v>105</v>
      </c>
      <c r="C104" s="596">
        <f>H14+H15+H20+H23+H26</f>
        <v>0</v>
      </c>
      <c r="D104" s="596"/>
      <c r="E104" s="46">
        <f>H8</f>
        <v>1.0407999999999999</v>
      </c>
      <c r="F104" s="303">
        <f>'1461'!F104</f>
        <v>950.92</v>
      </c>
      <c r="G104" s="39" t="s">
        <v>12</v>
      </c>
      <c r="H104" s="101">
        <f>ROUND(C104*E104*F104,2)</f>
        <v>0</v>
      </c>
      <c r="I104" s="104"/>
      <c r="N104" s="28" t="s">
        <v>17</v>
      </c>
      <c r="O104" s="47">
        <f>T14+T15+T20+T23+T26</f>
        <v>0</v>
      </c>
      <c r="P104" s="611">
        <f>T8</f>
        <v>1.0407999999999999</v>
      </c>
      <c r="Q104" s="611"/>
      <c r="R104" s="48">
        <f>F104</f>
        <v>950.92</v>
      </c>
      <c r="S104" s="40" t="s">
        <v>12</v>
      </c>
      <c r="T104" s="479">
        <f>ROUND(O104*P104*R104,2)</f>
        <v>0</v>
      </c>
      <c r="U104" s="102"/>
    </row>
    <row r="105" spans="1:21" x14ac:dyDescent="0.25">
      <c r="A105" s="49"/>
      <c r="B105" s="49" t="s">
        <v>104</v>
      </c>
      <c r="C105" s="596">
        <f>H16+H17+H21+H24+H27</f>
        <v>0</v>
      </c>
      <c r="D105" s="596"/>
      <c r="E105" s="46">
        <f>H8</f>
        <v>1.0407999999999999</v>
      </c>
      <c r="F105" s="303">
        <f>'1461'!F105</f>
        <v>907.92</v>
      </c>
      <c r="G105" s="39" t="s">
        <v>12</v>
      </c>
      <c r="H105" s="101">
        <f>ROUND(C105*E105*F105,2)</f>
        <v>0</v>
      </c>
      <c r="N105" s="50" t="s">
        <v>13</v>
      </c>
      <c r="O105" s="47">
        <f>T16+T17+T21+T24+T27</f>
        <v>0</v>
      </c>
      <c r="P105" s="611">
        <f>T8</f>
        <v>1.0407999999999999</v>
      </c>
      <c r="Q105" s="611"/>
      <c r="R105" s="48">
        <f>F105</f>
        <v>907.92</v>
      </c>
      <c r="S105" s="40" t="s">
        <v>12</v>
      </c>
      <c r="T105" s="479">
        <f>ROUND(O105*P105*R105,2)</f>
        <v>0</v>
      </c>
      <c r="U105" s="51"/>
    </row>
    <row r="106" spans="1:21" ht="16.5" thickBot="1" x14ac:dyDescent="0.3">
      <c r="A106" s="52"/>
      <c r="B106" s="52" t="s">
        <v>103</v>
      </c>
      <c r="C106" s="596">
        <f>H18+H19+H22+H25+H28+H29</f>
        <v>985.22899999999993</v>
      </c>
      <c r="D106" s="596"/>
      <c r="E106" s="46">
        <f>H8</f>
        <v>1.0407999999999999</v>
      </c>
      <c r="F106" s="303">
        <f>'1461'!F106</f>
        <v>910.12</v>
      </c>
      <c r="G106" s="39" t="s">
        <v>12</v>
      </c>
      <c r="H106" s="94">
        <f>ROUND(C106*E106*F106,2)</f>
        <v>933261.02</v>
      </c>
      <c r="N106" s="53" t="s">
        <v>14</v>
      </c>
      <c r="O106" s="54">
        <f>T18+T19+T22+T25+T28+T29</f>
        <v>0</v>
      </c>
      <c r="P106" s="611">
        <f>T8</f>
        <v>1.0407999999999999</v>
      </c>
      <c r="Q106" s="611"/>
      <c r="R106" s="48">
        <f>F106</f>
        <v>910.12</v>
      </c>
      <c r="S106" s="40" t="s">
        <v>12</v>
      </c>
      <c r="T106" s="479">
        <f>ROUND(O106*P106*R106,2)</f>
        <v>0</v>
      </c>
      <c r="U106" s="51"/>
    </row>
    <row r="107" spans="1:21" ht="16.5" thickBot="1" x14ac:dyDescent="0.3">
      <c r="A107" s="55"/>
      <c r="B107" s="122" t="s">
        <v>102</v>
      </c>
      <c r="C107" s="586">
        <f>SUM(C104:C106)</f>
        <v>985.22899999999993</v>
      </c>
      <c r="D107" s="586"/>
      <c r="E107" s="123"/>
      <c r="F107" s="123"/>
      <c r="G107" s="123"/>
      <c r="H107" s="124" t="s">
        <v>100</v>
      </c>
      <c r="I107" s="101">
        <f>IF(A1=75,0,H106+H105+H104)</f>
        <v>933261.02</v>
      </c>
      <c r="N107" s="56" t="s">
        <v>89</v>
      </c>
      <c r="O107" s="57">
        <f>SUM(O104:O106)</f>
        <v>0</v>
      </c>
      <c r="P107" s="612" t="s">
        <v>16</v>
      </c>
      <c r="Q107" s="613"/>
      <c r="R107" s="613"/>
      <c r="S107" s="613"/>
      <c r="T107" s="613"/>
      <c r="U107" s="473">
        <f>IF(N1=75,0,T106+T105+T104)</f>
        <v>0</v>
      </c>
    </row>
    <row r="108" spans="1:21" ht="16.5" thickTop="1" x14ac:dyDescent="0.25">
      <c r="A108" s="555" t="s">
        <v>65</v>
      </c>
      <c r="B108" s="555"/>
      <c r="C108" s="555"/>
      <c r="D108" s="555"/>
      <c r="E108" s="555"/>
      <c r="F108" s="555"/>
      <c r="G108" s="555"/>
      <c r="H108" s="555"/>
      <c r="I108" s="555"/>
      <c r="N108" s="614" t="s">
        <v>65</v>
      </c>
      <c r="O108" s="614"/>
      <c r="P108" s="614"/>
      <c r="Q108" s="614"/>
      <c r="R108" s="614"/>
      <c r="S108" s="614"/>
      <c r="T108" s="614"/>
      <c r="U108" s="614"/>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0" t="s">
        <v>499</v>
      </c>
      <c r="C110" s="43"/>
      <c r="D110" s="69"/>
      <c r="E110" s="43" t="s">
        <v>32</v>
      </c>
      <c r="F110" s="556"/>
      <c r="G110" s="556"/>
      <c r="H110" s="556"/>
      <c r="I110" s="556"/>
      <c r="N110" s="600" t="s">
        <v>499</v>
      </c>
      <c r="O110" s="601"/>
      <c r="P110" s="601"/>
      <c r="Q110" s="615"/>
      <c r="R110" s="615"/>
      <c r="S110" s="615"/>
      <c r="T110" s="615"/>
      <c r="U110" s="103"/>
    </row>
    <row r="111" spans="1:21" x14ac:dyDescent="0.25">
      <c r="B111" s="69"/>
      <c r="C111" s="88" t="s">
        <v>494</v>
      </c>
      <c r="D111" s="333" t="s">
        <v>495</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57" t="s">
        <v>381</v>
      </c>
      <c r="B113" s="558"/>
      <c r="C113" s="143">
        <v>3</v>
      </c>
      <c r="D113" s="143">
        <v>0</v>
      </c>
      <c r="E113" s="116">
        <f>(C113+D113)/2</f>
        <v>1.5</v>
      </c>
      <c r="F113" s="126" t="s">
        <v>30</v>
      </c>
      <c r="G113" s="304">
        <f>'1461'!G113</f>
        <v>576</v>
      </c>
      <c r="I113" s="101">
        <f>ROUND(G113*E113,2)</f>
        <v>864</v>
      </c>
      <c r="N113" s="630" t="s">
        <v>52</v>
      </c>
      <c r="O113" s="630"/>
      <c r="P113" s="610">
        <f>IF(H133=1,E113,0)</f>
        <v>0</v>
      </c>
      <c r="Q113" s="610"/>
      <c r="R113" s="610"/>
      <c r="S113" s="83" t="s">
        <v>30</v>
      </c>
      <c r="T113" s="58">
        <f>G113</f>
        <v>576</v>
      </c>
      <c r="U113" s="473">
        <f>ROUND(T113*P113,2)</f>
        <v>0</v>
      </c>
    </row>
    <row r="114" spans="1:21" x14ac:dyDescent="0.25">
      <c r="A114" s="557" t="s">
        <v>382</v>
      </c>
      <c r="B114" s="558"/>
      <c r="C114" s="143">
        <v>0</v>
      </c>
      <c r="D114" s="143">
        <v>0</v>
      </c>
      <c r="E114" s="116">
        <f>(C114+D114)/2</f>
        <v>0</v>
      </c>
      <c r="F114" s="126" t="s">
        <v>30</v>
      </c>
      <c r="G114" s="304">
        <f>'1461'!G114</f>
        <v>1823</v>
      </c>
      <c r="I114" s="101">
        <f>ROUND(G114*E114,2)</f>
        <v>0</v>
      </c>
      <c r="N114" s="630" t="s">
        <v>64</v>
      </c>
      <c r="O114" s="630"/>
      <c r="P114" s="608"/>
      <c r="Q114" s="608"/>
      <c r="R114" s="608"/>
      <c r="S114" s="83" t="s">
        <v>30</v>
      </c>
      <c r="T114" s="58">
        <f>G114</f>
        <v>1823</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4" t="s">
        <v>430</v>
      </c>
      <c r="B117" s="578"/>
      <c r="C117" s="578"/>
      <c r="D117" s="69"/>
      <c r="E117" s="39" t="s">
        <v>300</v>
      </c>
      <c r="F117" s="563"/>
      <c r="G117" s="563"/>
      <c r="H117" s="563"/>
      <c r="I117" s="563"/>
      <c r="N117" s="600" t="s">
        <v>431</v>
      </c>
      <c r="O117" s="601"/>
      <c r="P117" s="601"/>
      <c r="Q117" s="601"/>
      <c r="R117" s="601"/>
      <c r="S117" s="601"/>
      <c r="T117" s="601"/>
      <c r="U117" s="601"/>
    </row>
    <row r="118" spans="1:21" hidden="1" x14ac:dyDescent="0.25">
      <c r="B118" s="69"/>
      <c r="C118" s="564" t="s">
        <v>66</v>
      </c>
      <c r="D118" s="564"/>
      <c r="E118" s="564"/>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5" t="s">
        <v>109</v>
      </c>
      <c r="G119" s="563"/>
      <c r="H119" s="37" t="s">
        <v>29</v>
      </c>
      <c r="I119" s="37"/>
      <c r="N119" s="45"/>
      <c r="O119" s="45"/>
      <c r="P119" s="45"/>
      <c r="Q119" s="45"/>
      <c r="R119" s="45"/>
      <c r="S119" s="45"/>
      <c r="T119" s="45"/>
      <c r="U119" s="45"/>
    </row>
    <row r="120" spans="1:21" hidden="1" x14ac:dyDescent="0.25">
      <c r="A120" s="564" t="s">
        <v>69</v>
      </c>
      <c r="B120" s="564"/>
      <c r="C120" s="90" t="s">
        <v>2</v>
      </c>
      <c r="D120" s="90" t="s">
        <v>2</v>
      </c>
      <c r="E120" s="59" t="s">
        <v>2</v>
      </c>
      <c r="F120" s="564" t="s">
        <v>28</v>
      </c>
      <c r="G120" s="564"/>
      <c r="H120" s="59" t="s">
        <v>28</v>
      </c>
      <c r="I120" s="59" t="s">
        <v>8</v>
      </c>
      <c r="N120" s="609" t="s">
        <v>53</v>
      </c>
      <c r="O120" s="609"/>
      <c r="P120" s="610" t="s">
        <v>66</v>
      </c>
      <c r="Q120" s="610"/>
      <c r="R120" s="609" t="s">
        <v>54</v>
      </c>
      <c r="S120" s="609"/>
      <c r="T120" s="60" t="s">
        <v>55</v>
      </c>
      <c r="U120" s="60" t="s">
        <v>8</v>
      </c>
    </row>
    <row r="121" spans="1:21" hidden="1" x14ac:dyDescent="0.25">
      <c r="A121" s="561" t="s">
        <v>56</v>
      </c>
      <c r="B121" s="561"/>
      <c r="C121" s="141">
        <v>0</v>
      </c>
      <c r="D121" s="141">
        <v>0</v>
      </c>
      <c r="E121" s="187">
        <f>IF(D30=0,C121*2,C121+D121)</f>
        <v>0</v>
      </c>
      <c r="F121" s="562">
        <v>0</v>
      </c>
      <c r="G121" s="562"/>
      <c r="H121" s="224">
        <f>IF(C121=0,0,125)</f>
        <v>0</v>
      </c>
      <c r="I121" s="101">
        <f>ROUND((H121+F121)*E121,2)</f>
        <v>0</v>
      </c>
      <c r="N121" s="601" t="s">
        <v>56</v>
      </c>
      <c r="O121" s="601"/>
      <c r="P121" s="608">
        <f>IF(H$133=1,C121,0)</f>
        <v>0</v>
      </c>
      <c r="Q121" s="608"/>
      <c r="R121" s="628">
        <f>F121</f>
        <v>0</v>
      </c>
      <c r="S121" s="628"/>
      <c r="T121" s="62">
        <f>H121</f>
        <v>0</v>
      </c>
      <c r="U121" s="96">
        <f>ROUND((T121+R121)*P121,0)</f>
        <v>0</v>
      </c>
    </row>
    <row r="122" spans="1:21" hidden="1" x14ac:dyDescent="0.25">
      <c r="A122" s="581" t="s">
        <v>57</v>
      </c>
      <c r="B122" s="581"/>
      <c r="C122" s="143">
        <v>0</v>
      </c>
      <c r="D122" s="143">
        <v>0</v>
      </c>
      <c r="E122" s="116">
        <f>IF(D31=0,C122*2,C122+D122)</f>
        <v>0</v>
      </c>
      <c r="F122" s="598">
        <f>ROUND(F121/2,2)</f>
        <v>0</v>
      </c>
      <c r="G122" s="598"/>
      <c r="H122" s="224">
        <f>IF(C122=0,0,62.5)</f>
        <v>0</v>
      </c>
      <c r="I122" s="101">
        <f>ROUND((H122+F122)*E122,2)</f>
        <v>0</v>
      </c>
      <c r="N122" s="601" t="s">
        <v>57</v>
      </c>
      <c r="O122" s="601"/>
      <c r="P122" s="608">
        <f>IF(H$133=1,C122,0)</f>
        <v>0</v>
      </c>
      <c r="Q122" s="608"/>
      <c r="R122" s="629">
        <f>ROUND(R121/2,2)</f>
        <v>0</v>
      </c>
      <c r="S122" s="629"/>
      <c r="T122" s="62">
        <f>H122</f>
        <v>0</v>
      </c>
      <c r="U122" s="96">
        <f>ROUND((T122+R122)*P122,0)</f>
        <v>0</v>
      </c>
    </row>
    <row r="123" spans="1:21" ht="16.5" hidden="1" thickBot="1" x14ac:dyDescent="0.3">
      <c r="A123" s="581" t="s">
        <v>58</v>
      </c>
      <c r="B123" s="581"/>
      <c r="C123" s="143">
        <v>0</v>
      </c>
      <c r="D123" s="143">
        <v>0</v>
      </c>
      <c r="E123" s="116">
        <f>IF(D32=0,C123*2,C123+D123)</f>
        <v>0</v>
      </c>
      <c r="F123" s="599"/>
      <c r="G123" s="599"/>
      <c r="H123" s="225">
        <f>IF(H121&gt;0,436,0)</f>
        <v>0</v>
      </c>
      <c r="I123" s="101">
        <f>ROUND(H123*E123,2)</f>
        <v>0</v>
      </c>
      <c r="N123" s="616" t="s">
        <v>58</v>
      </c>
      <c r="O123" s="616"/>
      <c r="P123" s="608">
        <f>IF(H$133=1,C123,0)</f>
        <v>0</v>
      </c>
      <c r="Q123" s="608"/>
      <c r="R123" s="609"/>
      <c r="S123" s="609"/>
      <c r="T123" s="64">
        <f>H123</f>
        <v>0</v>
      </c>
      <c r="U123" s="103">
        <f>ROUND(T123*P123,0)</f>
        <v>0</v>
      </c>
    </row>
    <row r="124" spans="1:21" ht="16.5" hidden="1" thickBot="1" x14ac:dyDescent="0.3">
      <c r="A124" s="563" t="s">
        <v>8</v>
      </c>
      <c r="B124" s="563"/>
      <c r="C124" s="65"/>
      <c r="D124" s="65"/>
      <c r="E124" s="65"/>
      <c r="F124" s="65"/>
      <c r="G124" s="65"/>
      <c r="H124" s="65"/>
      <c r="I124" s="97">
        <f>SUM(I121:I123)</f>
        <v>0</v>
      </c>
      <c r="N124" s="627" t="s">
        <v>8</v>
      </c>
      <c r="O124" s="627"/>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4" t="s">
        <v>432</v>
      </c>
      <c r="B126" s="578"/>
      <c r="C126" s="578"/>
      <c r="D126" s="69"/>
      <c r="E126" s="68" t="s">
        <v>34</v>
      </c>
      <c r="F126" s="597"/>
      <c r="G126" s="597"/>
      <c r="H126" s="597"/>
      <c r="I126" s="154">
        <v>0</v>
      </c>
      <c r="N126" s="600" t="s">
        <v>432</v>
      </c>
      <c r="O126" s="601"/>
      <c r="P126" s="601"/>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90" t="s">
        <v>8</v>
      </c>
      <c r="B128" s="590"/>
      <c r="C128" s="590"/>
      <c r="D128" s="590"/>
      <c r="E128" s="590"/>
      <c r="F128" s="590"/>
      <c r="G128" s="590"/>
      <c r="H128" s="590"/>
      <c r="I128" s="94">
        <f>SUM(I46,I66,I85,I88,I90,I92,I94,I96,I107,I113,I114,I124,I126)</f>
        <v>7890648.7200000007</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434</v>
      </c>
      <c r="B130" s="26"/>
      <c r="C130" s="26"/>
      <c r="D130" s="26"/>
      <c r="E130" s="26"/>
      <c r="F130" s="26"/>
      <c r="G130" s="26"/>
      <c r="H130" s="26"/>
      <c r="I130" s="101">
        <f>I128-I53</f>
        <v>7566483.6400000006</v>
      </c>
      <c r="N130" s="601" t="s">
        <v>434</v>
      </c>
      <c r="O130" s="601"/>
      <c r="P130" s="601"/>
      <c r="Q130" s="601"/>
      <c r="R130" s="601"/>
      <c r="S130" s="601"/>
      <c r="T130" s="601"/>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4" t="s">
        <v>502</v>
      </c>
      <c r="B132" s="578"/>
      <c r="C132" s="578"/>
      <c r="D132" s="578"/>
      <c r="E132" s="578"/>
      <c r="F132" s="578"/>
      <c r="G132" s="578"/>
      <c r="H132" s="81" t="s">
        <v>333</v>
      </c>
      <c r="I132" s="134"/>
      <c r="N132" s="600" t="s">
        <v>502</v>
      </c>
      <c r="O132" s="601"/>
      <c r="P132" s="601"/>
      <c r="Q132" s="601"/>
      <c r="R132" s="601"/>
      <c r="S132" s="601"/>
      <c r="T132" s="601"/>
      <c r="U132" s="138"/>
    </row>
    <row r="133" spans="1:21" x14ac:dyDescent="0.25">
      <c r="A133" s="578" t="s">
        <v>70</v>
      </c>
      <c r="B133" s="578"/>
      <c r="C133" s="578"/>
      <c r="D133" s="578"/>
      <c r="E133" s="578"/>
      <c r="F133" s="578"/>
      <c r="G133" s="578"/>
      <c r="H133" s="70" t="str">
        <f>IF(E30=0,"",IF((E15+E17+SUM(E19:E25))/E30&gt;0.75,1,""))</f>
        <v/>
      </c>
      <c r="I133" s="116">
        <f>U130</f>
        <v>0</v>
      </c>
      <c r="N133" s="601" t="s">
        <v>70</v>
      </c>
      <c r="O133" s="601"/>
      <c r="P133" s="601"/>
      <c r="Q133" s="601"/>
      <c r="R133" s="601"/>
      <c r="S133" s="601"/>
      <c r="T133" s="601"/>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378" t="s">
        <v>240</v>
      </c>
      <c r="H135" s="139">
        <f>IF(H133=1,I133,I130)</f>
        <v>7566483.6400000006</v>
      </c>
      <c r="I135" s="94">
        <f>ROUND(IF(E30=0,0,IF(E30&gt;250,-(((250/E30)*H135)*IF(G135="H",0.02,0.05)),IF(G135="H",-0.02*H135,-0.05*H135))),2)</f>
        <v>-37865.74</v>
      </c>
      <c r="N135" s="626"/>
      <c r="O135" s="626"/>
      <c r="P135" s="626"/>
      <c r="Q135" s="626"/>
      <c r="R135" s="626"/>
      <c r="S135" s="626"/>
      <c r="T135" s="626"/>
      <c r="U135" s="626"/>
    </row>
    <row r="136" spans="1:21" x14ac:dyDescent="0.25">
      <c r="B136" s="69"/>
      <c r="C136" s="69"/>
      <c r="D136" s="69"/>
      <c r="E136" s="69"/>
      <c r="F136" s="69"/>
      <c r="G136" s="69"/>
      <c r="H136" s="65"/>
      <c r="I136" s="101"/>
      <c r="N136" s="624" t="s">
        <v>7</v>
      </c>
      <c r="O136" s="624"/>
      <c r="P136" s="624"/>
      <c r="Q136" s="624"/>
      <c r="R136" s="624"/>
      <c r="S136" s="624"/>
      <c r="T136" s="624"/>
      <c r="U136" s="624"/>
    </row>
    <row r="137" spans="1:21" x14ac:dyDescent="0.25">
      <c r="A137" s="309" t="s">
        <v>74</v>
      </c>
      <c r="B137" s="310"/>
      <c r="C137" s="310"/>
      <c r="D137" s="310"/>
      <c r="E137" s="310"/>
      <c r="F137" s="310"/>
      <c r="G137" s="310"/>
      <c r="H137" s="311"/>
      <c r="I137" s="312">
        <f>I128+I135</f>
        <v>7852782.9800000004</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Payments'!Q98</f>
        <v>0</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7852782.9800000004</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654398.57999999996</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113463.93</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372</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373</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374</v>
      </c>
      <c r="B155" s="252"/>
      <c r="C155" s="252"/>
      <c r="D155" s="252"/>
      <c r="E155" s="252"/>
      <c r="F155" s="252"/>
      <c r="G155" s="252"/>
      <c r="H155" s="252"/>
      <c r="I155" s="252"/>
      <c r="N155" s="625"/>
      <c r="O155" s="625"/>
      <c r="P155" s="625"/>
      <c r="Q155" s="625"/>
      <c r="R155" s="625"/>
      <c r="S155" s="625"/>
      <c r="T155" s="625"/>
      <c r="U155" s="625"/>
    </row>
    <row r="156" spans="1:21" s="76" customFormat="1" x14ac:dyDescent="0.2">
      <c r="A156" s="320" t="s">
        <v>375</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376</v>
      </c>
      <c r="B157" s="252"/>
      <c r="C157" s="252"/>
      <c r="D157" s="252"/>
      <c r="E157" s="252"/>
      <c r="F157" s="252"/>
      <c r="G157" s="252"/>
      <c r="H157" s="252"/>
      <c r="I157" s="252"/>
      <c r="N157" s="78"/>
      <c r="O157" s="79"/>
      <c r="P157" s="79"/>
      <c r="Q157" s="79"/>
      <c r="R157" s="79"/>
      <c r="S157" s="79"/>
      <c r="T157" s="79"/>
      <c r="U157" s="79"/>
    </row>
    <row r="158" spans="1:21" s="76" customFormat="1" x14ac:dyDescent="0.2">
      <c r="A158" s="320" t="s">
        <v>377</v>
      </c>
      <c r="B158" s="252"/>
      <c r="C158" s="252"/>
      <c r="D158" s="252"/>
      <c r="E158" s="252"/>
      <c r="F158" s="252"/>
      <c r="G158" s="252"/>
      <c r="H158" s="252"/>
      <c r="I158" s="252"/>
      <c r="N158" s="78"/>
    </row>
    <row r="159" spans="1:21" s="76" customFormat="1" x14ac:dyDescent="0.2">
      <c r="A159" s="320" t="s">
        <v>379</v>
      </c>
      <c r="B159" s="252"/>
      <c r="C159" s="252"/>
      <c r="D159" s="252"/>
      <c r="E159" s="252"/>
      <c r="F159" s="252"/>
      <c r="G159" s="252"/>
      <c r="H159" s="252"/>
      <c r="I159" s="252"/>
      <c r="N159" s="78"/>
    </row>
    <row r="160" spans="1:21" s="76" customFormat="1" x14ac:dyDescent="0.2">
      <c r="A160" s="385" t="s">
        <v>378</v>
      </c>
      <c r="B160" s="252"/>
      <c r="C160" s="252"/>
      <c r="D160" s="252"/>
      <c r="E160" s="252"/>
      <c r="F160" s="252"/>
      <c r="G160" s="252"/>
      <c r="H160" s="252"/>
      <c r="I160" s="252"/>
      <c r="N160" s="78"/>
    </row>
    <row r="161" spans="1:14" s="76" customFormat="1" x14ac:dyDescent="0.2">
      <c r="A161" s="320" t="s">
        <v>380</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383</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385</v>
      </c>
      <c r="B165" s="293"/>
      <c r="C165" s="293"/>
      <c r="D165" s="293"/>
      <c r="E165" s="293"/>
      <c r="F165" s="293"/>
      <c r="G165" s="293"/>
      <c r="H165" s="293"/>
      <c r="I165" s="293"/>
      <c r="N165" s="78"/>
    </row>
    <row r="166" spans="1:14" s="76" customFormat="1" ht="15.75" customHeight="1" x14ac:dyDescent="0.2">
      <c r="A166" s="351" t="s">
        <v>384</v>
      </c>
      <c r="B166" s="293"/>
      <c r="C166" s="293"/>
      <c r="D166" s="293"/>
      <c r="E166" s="293"/>
      <c r="F166" s="293"/>
      <c r="G166" s="293"/>
      <c r="H166" s="293"/>
      <c r="I166" s="293"/>
      <c r="N166" s="78"/>
    </row>
    <row r="167" spans="1:14" s="76" customFormat="1" ht="15.75" customHeight="1" x14ac:dyDescent="0.2">
      <c r="A167" s="320" t="s">
        <v>386</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388</v>
      </c>
      <c r="B169" s="343"/>
      <c r="C169" s="343"/>
      <c r="D169" s="343"/>
      <c r="E169" s="343"/>
      <c r="F169" s="343"/>
      <c r="G169" s="343"/>
      <c r="H169" s="343"/>
      <c r="I169" s="343"/>
      <c r="N169" s="78"/>
    </row>
    <row r="170" spans="1:14" s="76" customFormat="1" ht="15.75" customHeight="1" x14ac:dyDescent="0.2">
      <c r="A170" s="351" t="s">
        <v>387</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389</v>
      </c>
      <c r="B175" s="293"/>
      <c r="C175" s="293"/>
      <c r="D175" s="293"/>
      <c r="E175" s="293"/>
      <c r="F175" s="293"/>
      <c r="G175" s="293"/>
      <c r="H175" s="293"/>
      <c r="I175" s="293"/>
      <c r="J175" s="3"/>
      <c r="K175" s="3"/>
      <c r="L175" s="3"/>
      <c r="M175" s="3"/>
      <c r="N175" s="78"/>
    </row>
    <row r="176" spans="1:14" s="76" customFormat="1" ht="15.75" customHeight="1" x14ac:dyDescent="0.2">
      <c r="A176" s="361" t="s">
        <v>390</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3:T133"/>
    <mergeCell ref="N132:T132"/>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4">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6" t="s">
        <v>15</v>
      </c>
      <c r="C1" s="567"/>
      <c r="D1" s="567"/>
      <c r="E1" s="567"/>
      <c r="F1" s="567"/>
      <c r="G1" s="567"/>
      <c r="H1" s="567"/>
      <c r="I1" s="567"/>
      <c r="J1" s="135"/>
      <c r="K1" s="135"/>
      <c r="L1" s="135"/>
      <c r="N1" s="82">
        <f>A1</f>
        <v>0</v>
      </c>
      <c r="O1" s="658" t="s">
        <v>15</v>
      </c>
      <c r="P1" s="659"/>
      <c r="Q1" s="659"/>
      <c r="R1" s="659"/>
      <c r="S1" s="659"/>
      <c r="T1" s="659"/>
      <c r="U1" s="659"/>
    </row>
    <row r="2" spans="1:21" ht="21" x14ac:dyDescent="0.35">
      <c r="A2" s="1" t="s">
        <v>330</v>
      </c>
      <c r="B2" s="2"/>
      <c r="C2" s="2"/>
      <c r="D2" s="2"/>
      <c r="E2" s="2"/>
      <c r="F2" s="2"/>
      <c r="G2" s="2"/>
      <c r="H2" s="2"/>
      <c r="I2" s="2"/>
      <c r="N2" s="660" t="s">
        <v>18</v>
      </c>
      <c r="O2" s="660"/>
      <c r="P2" s="660"/>
      <c r="Q2" s="660"/>
      <c r="R2" s="660"/>
      <c r="S2" s="660"/>
      <c r="T2" s="660"/>
      <c r="U2" s="660"/>
    </row>
    <row r="3" spans="1:21" x14ac:dyDescent="0.25">
      <c r="A3" s="81" t="str">
        <f>'1461'!A3</f>
        <v>Based on the FLDOE 2024-25 Conference Calculation</v>
      </c>
      <c r="N3" s="627" t="str">
        <f>A3</f>
        <v>Based on the FLDOE 2024-25 Conference Calculation</v>
      </c>
      <c r="O3" s="627"/>
      <c r="P3" s="627"/>
      <c r="Q3" s="627"/>
      <c r="R3" s="627"/>
      <c r="S3" s="627"/>
      <c r="T3" s="627"/>
      <c r="U3" s="627"/>
    </row>
    <row r="4" spans="1:21" x14ac:dyDescent="0.25">
      <c r="A4" s="568" t="s">
        <v>0</v>
      </c>
      <c r="B4" s="568"/>
      <c r="C4" s="569" t="s">
        <v>9</v>
      </c>
      <c r="D4" s="569"/>
      <c r="E4" s="569"/>
      <c r="F4" s="4" t="str">
        <f>'1461'!F4</f>
        <v>July 2024</v>
      </c>
      <c r="G4" s="4"/>
      <c r="H4" s="4"/>
      <c r="I4" s="4"/>
      <c r="N4" s="661" t="s">
        <v>0</v>
      </c>
      <c r="O4" s="661"/>
      <c r="P4" s="662" t="str">
        <f>C4</f>
        <v>Palm Beach</v>
      </c>
      <c r="Q4" s="662"/>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70" t="s">
        <v>433</v>
      </c>
      <c r="B7" s="664"/>
      <c r="C7" s="664"/>
      <c r="D7" s="664"/>
      <c r="E7" s="664"/>
      <c r="F7" s="664"/>
      <c r="G7" s="664"/>
      <c r="H7" s="664"/>
      <c r="I7" s="664"/>
      <c r="N7" s="661" t="str">
        <f>A7</f>
        <v>1A.   2023-24 FEFP State and Local Funding</v>
      </c>
      <c r="O7" s="661"/>
      <c r="P7" s="661"/>
      <c r="Q7" s="661"/>
      <c r="R7" s="661"/>
      <c r="S7" s="661"/>
      <c r="T7" s="661"/>
      <c r="U7" s="661"/>
    </row>
    <row r="8" spans="1:21" x14ac:dyDescent="0.25">
      <c r="A8" s="84"/>
      <c r="B8" s="85" t="s">
        <v>92</v>
      </c>
      <c r="C8" s="299">
        <f>'1461'!C8</f>
        <v>5330.98</v>
      </c>
      <c r="D8" s="86"/>
      <c r="E8" s="87"/>
      <c r="F8" s="84"/>
      <c r="G8" s="85" t="s">
        <v>393</v>
      </c>
      <c r="H8" s="287">
        <f>'1461'!H8</f>
        <v>1.0407999999999999</v>
      </c>
      <c r="I8" s="75"/>
      <c r="N8" s="665" t="s">
        <v>10</v>
      </c>
      <c r="O8" s="665"/>
      <c r="P8" s="666">
        <f>C8</f>
        <v>5330.98</v>
      </c>
      <c r="Q8" s="666"/>
      <c r="R8" s="648" t="s">
        <v>394</v>
      </c>
      <c r="S8" s="649"/>
      <c r="T8" s="650">
        <f>H8</f>
        <v>1.0407999999999999</v>
      </c>
      <c r="U8" s="650"/>
    </row>
    <row r="9" spans="1:21" x14ac:dyDescent="0.25">
      <c r="A9" s="84"/>
      <c r="B9" s="85"/>
      <c r="C9" s="222"/>
      <c r="D9" s="86"/>
      <c r="E9" s="87"/>
      <c r="F9" s="84"/>
      <c r="G9" s="85" t="s">
        <v>391</v>
      </c>
      <c r="H9" s="287">
        <f>'1461'!H9</f>
        <v>1</v>
      </c>
      <c r="I9" s="75"/>
      <c r="N9" s="12"/>
      <c r="O9" s="12"/>
      <c r="P9" s="13"/>
      <c r="Q9" s="13"/>
      <c r="R9" s="387" t="s">
        <v>392</v>
      </c>
      <c r="S9" s="384"/>
      <c r="T9" s="650">
        <f>H9</f>
        <v>1</v>
      </c>
      <c r="U9" s="650"/>
    </row>
    <row r="10" spans="1:21" x14ac:dyDescent="0.25">
      <c r="A10" s="7"/>
      <c r="B10" s="42" t="s">
        <v>310</v>
      </c>
      <c r="C10" s="456" t="str">
        <f>'1461'!C10</f>
        <v xml:space="preserve"> </v>
      </c>
      <c r="D10" s="88" t="str">
        <f>'1461'!D10</f>
        <v xml:space="preserve"> </v>
      </c>
      <c r="E10" s="8"/>
      <c r="F10" s="9"/>
      <c r="G10" s="9"/>
      <c r="H10" s="10"/>
      <c r="I10" s="305" t="str">
        <f>'1461'!I10</f>
        <v>2024-25</v>
      </c>
      <c r="N10" s="12"/>
      <c r="O10" s="12"/>
      <c r="P10" s="13"/>
      <c r="Q10" s="13"/>
      <c r="R10" s="14"/>
      <c r="S10" s="14"/>
      <c r="T10" s="15"/>
      <c r="U10" s="366" t="str">
        <f>I10</f>
        <v>2024-25</v>
      </c>
    </row>
    <row r="11" spans="1:21" x14ac:dyDescent="0.25">
      <c r="A11" s="7"/>
      <c r="B11" s="7"/>
      <c r="C11" s="88" t="str">
        <f>'1461'!C11</f>
        <v>Oct 2023</v>
      </c>
      <c r="D11" s="333" t="str">
        <f>'1461'!D11</f>
        <v>Feb 2024</v>
      </c>
      <c r="E11" s="89" t="s">
        <v>8</v>
      </c>
      <c r="F11" s="571" t="s">
        <v>1</v>
      </c>
      <c r="G11" s="571"/>
      <c r="H11" s="10" t="s">
        <v>60</v>
      </c>
      <c r="I11" s="11" t="s">
        <v>27</v>
      </c>
      <c r="N11" s="12"/>
      <c r="O11" s="12"/>
      <c r="P11" s="13"/>
      <c r="Q11" s="13"/>
      <c r="R11" s="651" t="s">
        <v>1</v>
      </c>
      <c r="S11" s="651"/>
      <c r="T11" s="15" t="s">
        <v>60</v>
      </c>
      <c r="U11" s="16" t="s">
        <v>27</v>
      </c>
    </row>
    <row r="12" spans="1:21" ht="15.75" customHeight="1" x14ac:dyDescent="0.25">
      <c r="A12" s="572" t="s">
        <v>1</v>
      </c>
      <c r="B12" s="572"/>
      <c r="C12" s="324" t="str">
        <f>'1461'!C12</f>
        <v>FTE</v>
      </c>
      <c r="D12" s="324" t="str">
        <f>'1461'!D12</f>
        <v>FTE</v>
      </c>
      <c r="E12" s="324" t="s">
        <v>2</v>
      </c>
      <c r="F12" s="573" t="s">
        <v>63</v>
      </c>
      <c r="G12" s="573"/>
      <c r="H12" s="17" t="s">
        <v>59</v>
      </c>
      <c r="I12" s="388" t="s">
        <v>395</v>
      </c>
      <c r="N12" s="639" t="s">
        <v>1</v>
      </c>
      <c r="O12" s="639"/>
      <c r="P12" s="652" t="s">
        <v>19</v>
      </c>
      <c r="Q12" s="652"/>
      <c r="R12" s="653" t="s">
        <v>63</v>
      </c>
      <c r="S12" s="653"/>
      <c r="T12" s="18" t="s">
        <v>59</v>
      </c>
      <c r="U12" s="19" t="str">
        <f>I12</f>
        <v>(WFTE x BSA x CWF x SDF)</v>
      </c>
    </row>
    <row r="13" spans="1:21" x14ac:dyDescent="0.25">
      <c r="A13" s="574" t="s">
        <v>36</v>
      </c>
      <c r="B13" s="574"/>
      <c r="C13" s="91"/>
      <c r="D13" s="91"/>
      <c r="E13" s="92" t="s">
        <v>37</v>
      </c>
      <c r="F13" s="575" t="s">
        <v>38</v>
      </c>
      <c r="G13" s="575"/>
      <c r="H13" s="20" t="s">
        <v>39</v>
      </c>
      <c r="I13" s="21" t="s">
        <v>40</v>
      </c>
      <c r="N13" s="654" t="s">
        <v>36</v>
      </c>
      <c r="O13" s="654"/>
      <c r="P13" s="655" t="s">
        <v>37</v>
      </c>
      <c r="Q13" s="655"/>
      <c r="R13" s="656" t="s">
        <v>38</v>
      </c>
      <c r="S13" s="656"/>
      <c r="T13" s="22" t="s">
        <v>39</v>
      </c>
      <c r="U13" s="23" t="s">
        <v>40</v>
      </c>
    </row>
    <row r="14" spans="1:21" x14ac:dyDescent="0.25">
      <c r="A14" s="576" t="s">
        <v>20</v>
      </c>
      <c r="B14" s="576"/>
      <c r="C14" s="143">
        <v>219.48</v>
      </c>
      <c r="D14" s="141">
        <v>210.25</v>
      </c>
      <c r="E14" s="187">
        <f>IF(D$30=0,C14*2,C14+D14)</f>
        <v>429.73</v>
      </c>
      <c r="F14" s="667">
        <f>'1461'!F14:G14</f>
        <v>1.1180000000000001</v>
      </c>
      <c r="G14" s="667"/>
      <c r="H14" s="145">
        <f>ROUND(E14*F14,4)</f>
        <v>480.43810000000002</v>
      </c>
      <c r="I14" s="111">
        <f>ROUND(ROUND(ROUND(H14*$C$8,4)*($H$8),2)*(MAX($H$9,1)),2)</f>
        <v>2665703.1</v>
      </c>
      <c r="N14" s="641" t="s">
        <v>20</v>
      </c>
      <c r="O14" s="641"/>
      <c r="P14" s="642">
        <f t="shared" ref="P14:P29" si="0">IF($H$133=1,E14,0)</f>
        <v>0</v>
      </c>
      <c r="Q14" s="642"/>
      <c r="R14" s="657">
        <v>1</v>
      </c>
      <c r="S14" s="657"/>
      <c r="T14" s="95">
        <f>ROUND(P14*R14,4)</f>
        <v>0</v>
      </c>
      <c r="U14" s="473">
        <f>ROUND(ROUND(ROUND(T14*$C$8,4)*($H$8),2)*(MAX($H$9,1)),2)</f>
        <v>0</v>
      </c>
    </row>
    <row r="15" spans="1:21" x14ac:dyDescent="0.25">
      <c r="A15" s="578" t="s">
        <v>21</v>
      </c>
      <c r="B15" s="578"/>
      <c r="C15" s="143">
        <v>24.5</v>
      </c>
      <c r="D15" s="143">
        <v>29.23</v>
      </c>
      <c r="E15" s="116">
        <f t="shared" ref="E15:E29" si="1">IF(D$30=0,C15*2,C15+D15)</f>
        <v>53.730000000000004</v>
      </c>
      <c r="F15" s="663">
        <f>'1461'!F15:G15</f>
        <v>1.1180000000000001</v>
      </c>
      <c r="G15" s="663"/>
      <c r="H15" s="80">
        <f t="shared" ref="H15:H29" si="2">ROUND(E15*F15,4)</f>
        <v>60.070099999999996</v>
      </c>
      <c r="I15" s="101">
        <f t="shared" ref="I15:I29" si="3">ROUND(ROUND(ROUND(H15*$C$8,4)*($H$8),2)*(MAX($H$9,1)),2)</f>
        <v>333297.99</v>
      </c>
      <c r="J15" s="65" t="str">
        <f>IF(ROUND(E15,2)=ROUND(SUM(E57:E59),2)," ","CHECK PK-3 LINES BELOW")</f>
        <v xml:space="preserve"> </v>
      </c>
      <c r="N15" s="601" t="s">
        <v>21</v>
      </c>
      <c r="O15" s="601"/>
      <c r="P15" s="642">
        <f t="shared" si="0"/>
        <v>0</v>
      </c>
      <c r="Q15" s="642"/>
      <c r="R15" s="647">
        <v>1</v>
      </c>
      <c r="S15" s="647"/>
      <c r="T15" s="95">
        <f t="shared" ref="T15:T29" si="4">ROUND(P15*R15,4)</f>
        <v>0</v>
      </c>
      <c r="U15" s="473">
        <f t="shared" ref="U15:U29" si="5">ROUND(ROUND(ROUND(T15*$C$8,4)*($H$8),2)*(MAX($H$9,1)),2)</f>
        <v>0</v>
      </c>
    </row>
    <row r="16" spans="1:21" x14ac:dyDescent="0.25">
      <c r="A16" s="578" t="s">
        <v>22</v>
      </c>
      <c r="B16" s="578"/>
      <c r="C16" s="143">
        <v>282.2</v>
      </c>
      <c r="D16" s="143">
        <v>284.01</v>
      </c>
      <c r="E16" s="116">
        <f t="shared" si="1"/>
        <v>566.21</v>
      </c>
      <c r="F16" s="663">
        <f>'1461'!F16:G16</f>
        <v>1</v>
      </c>
      <c r="G16" s="663"/>
      <c r="H16" s="80">
        <f t="shared" si="2"/>
        <v>566.21</v>
      </c>
      <c r="I16" s="101">
        <f t="shared" si="3"/>
        <v>3141607.12</v>
      </c>
      <c r="N16" s="601" t="s">
        <v>22</v>
      </c>
      <c r="O16" s="601"/>
      <c r="P16" s="642">
        <f t="shared" si="0"/>
        <v>0</v>
      </c>
      <c r="Q16" s="642"/>
      <c r="R16" s="647">
        <v>1</v>
      </c>
      <c r="S16" s="647"/>
      <c r="T16" s="95">
        <f t="shared" si="4"/>
        <v>0</v>
      </c>
      <c r="U16" s="473">
        <f t="shared" si="5"/>
        <v>0</v>
      </c>
    </row>
    <row r="17" spans="1:21" x14ac:dyDescent="0.25">
      <c r="A17" s="578" t="s">
        <v>23</v>
      </c>
      <c r="B17" s="578"/>
      <c r="C17" s="143">
        <v>37.5</v>
      </c>
      <c r="D17" s="143">
        <v>38.6</v>
      </c>
      <c r="E17" s="116">
        <f t="shared" si="1"/>
        <v>76.099999999999994</v>
      </c>
      <c r="F17" s="663">
        <f>'1461'!F17:G17</f>
        <v>1</v>
      </c>
      <c r="G17" s="663"/>
      <c r="H17" s="80">
        <f t="shared" si="2"/>
        <v>76.099999999999994</v>
      </c>
      <c r="I17" s="101">
        <f t="shared" si="3"/>
        <v>422239.63</v>
      </c>
      <c r="J17" s="65" t="str">
        <f>IF(ROUND(E17,2)=ROUND(SUM(E60:E62),2)," ","CHECK 4-8 LINES BELOW")</f>
        <v xml:space="preserve"> </v>
      </c>
      <c r="N17" s="601" t="s">
        <v>23</v>
      </c>
      <c r="O17" s="601"/>
      <c r="P17" s="642">
        <f t="shared" si="0"/>
        <v>0</v>
      </c>
      <c r="Q17" s="642"/>
      <c r="R17" s="647">
        <v>1</v>
      </c>
      <c r="S17" s="647"/>
      <c r="T17" s="95">
        <f t="shared" si="4"/>
        <v>0</v>
      </c>
      <c r="U17" s="473">
        <f t="shared" si="5"/>
        <v>0</v>
      </c>
    </row>
    <row r="18" spans="1:21" x14ac:dyDescent="0.25">
      <c r="A18" s="578" t="s">
        <v>24</v>
      </c>
      <c r="B18" s="578"/>
      <c r="C18" s="143">
        <v>0</v>
      </c>
      <c r="D18" s="143">
        <v>0</v>
      </c>
      <c r="E18" s="116">
        <f t="shared" si="1"/>
        <v>0</v>
      </c>
      <c r="F18" s="663">
        <f>'1461'!F18:G18</f>
        <v>0.97799999999999998</v>
      </c>
      <c r="G18" s="663"/>
      <c r="H18" s="80">
        <f t="shared" si="2"/>
        <v>0</v>
      </c>
      <c r="I18" s="101">
        <f t="shared" si="3"/>
        <v>0</v>
      </c>
      <c r="N18" s="601" t="s">
        <v>24</v>
      </c>
      <c r="O18" s="601"/>
      <c r="P18" s="642">
        <f t="shared" si="0"/>
        <v>0</v>
      </c>
      <c r="Q18" s="642"/>
      <c r="R18" s="647">
        <v>1</v>
      </c>
      <c r="S18" s="647"/>
      <c r="T18" s="95">
        <f t="shared" si="4"/>
        <v>0</v>
      </c>
      <c r="U18" s="473">
        <f t="shared" si="5"/>
        <v>0</v>
      </c>
    </row>
    <row r="19" spans="1:21" x14ac:dyDescent="0.25">
      <c r="A19" s="578" t="s">
        <v>25</v>
      </c>
      <c r="B19" s="578"/>
      <c r="C19" s="143">
        <v>0</v>
      </c>
      <c r="D19" s="143">
        <v>0</v>
      </c>
      <c r="E19" s="116">
        <f t="shared" si="1"/>
        <v>0</v>
      </c>
      <c r="F19" s="663">
        <f>'1461'!F19:G19</f>
        <v>0.97799999999999998</v>
      </c>
      <c r="G19" s="663"/>
      <c r="H19" s="80">
        <f t="shared" si="2"/>
        <v>0</v>
      </c>
      <c r="I19" s="101">
        <f t="shared" si="3"/>
        <v>0</v>
      </c>
      <c r="J19" s="65" t="str">
        <f>IF(ROUND(E19,2)=ROUND(SUM(E63:E65),2)," ","CHECK 4-8 LINES BELOW")</f>
        <v xml:space="preserve"> </v>
      </c>
      <c r="N19" s="601" t="s">
        <v>25</v>
      </c>
      <c r="O19" s="601"/>
      <c r="P19" s="642">
        <f t="shared" si="0"/>
        <v>0</v>
      </c>
      <c r="Q19" s="642"/>
      <c r="R19" s="647">
        <v>1</v>
      </c>
      <c r="S19" s="647"/>
      <c r="T19" s="95">
        <f t="shared" si="4"/>
        <v>0</v>
      </c>
      <c r="U19" s="472">
        <f t="shared" si="5"/>
        <v>0</v>
      </c>
    </row>
    <row r="20" spans="1:21" x14ac:dyDescent="0.25">
      <c r="A20" s="578" t="s">
        <v>79</v>
      </c>
      <c r="B20" s="578"/>
      <c r="C20" s="143">
        <v>0</v>
      </c>
      <c r="D20" s="143">
        <v>0</v>
      </c>
      <c r="E20" s="116">
        <f t="shared" si="1"/>
        <v>0</v>
      </c>
      <c r="F20" s="663">
        <f>'1461'!F20:G20</f>
        <v>3.6970000000000001</v>
      </c>
      <c r="G20" s="663"/>
      <c r="H20" s="80">
        <f t="shared" si="2"/>
        <v>0</v>
      </c>
      <c r="I20" s="101">
        <f t="shared" si="3"/>
        <v>0</v>
      </c>
      <c r="N20" s="601" t="s">
        <v>79</v>
      </c>
      <c r="O20" s="601"/>
      <c r="P20" s="642">
        <f t="shared" si="0"/>
        <v>0</v>
      </c>
      <c r="Q20" s="642"/>
      <c r="R20" s="647">
        <v>1</v>
      </c>
      <c r="S20" s="647"/>
      <c r="T20" s="95">
        <f t="shared" si="4"/>
        <v>0</v>
      </c>
      <c r="U20" s="473">
        <f t="shared" si="5"/>
        <v>0</v>
      </c>
    </row>
    <row r="21" spans="1:21" x14ac:dyDescent="0.25">
      <c r="A21" s="578" t="s">
        <v>80</v>
      </c>
      <c r="B21" s="578"/>
      <c r="C21" s="143">
        <v>0</v>
      </c>
      <c r="D21" s="143">
        <v>0</v>
      </c>
      <c r="E21" s="116">
        <f t="shared" si="1"/>
        <v>0</v>
      </c>
      <c r="F21" s="663">
        <f>'1461'!F21:G21</f>
        <v>3.6970000000000001</v>
      </c>
      <c r="G21" s="663"/>
      <c r="H21" s="80">
        <f t="shared" si="2"/>
        <v>0</v>
      </c>
      <c r="I21" s="101">
        <f t="shared" si="3"/>
        <v>0</v>
      </c>
      <c r="N21" s="601" t="s">
        <v>80</v>
      </c>
      <c r="O21" s="601"/>
      <c r="P21" s="642">
        <f t="shared" si="0"/>
        <v>0</v>
      </c>
      <c r="Q21" s="642"/>
      <c r="R21" s="647">
        <v>1</v>
      </c>
      <c r="S21" s="647"/>
      <c r="T21" s="95">
        <f t="shared" si="4"/>
        <v>0</v>
      </c>
      <c r="U21" s="473">
        <f t="shared" si="5"/>
        <v>0</v>
      </c>
    </row>
    <row r="22" spans="1:21" x14ac:dyDescent="0.25">
      <c r="A22" s="578" t="s">
        <v>81</v>
      </c>
      <c r="B22" s="578"/>
      <c r="C22" s="143">
        <v>0</v>
      </c>
      <c r="D22" s="143">
        <v>0</v>
      </c>
      <c r="E22" s="116">
        <f t="shared" si="1"/>
        <v>0</v>
      </c>
      <c r="F22" s="663">
        <f>'1461'!F22:G22</f>
        <v>3.6970000000000001</v>
      </c>
      <c r="G22" s="663"/>
      <c r="H22" s="80">
        <f t="shared" si="2"/>
        <v>0</v>
      </c>
      <c r="I22" s="101">
        <f t="shared" si="3"/>
        <v>0</v>
      </c>
      <c r="N22" s="601" t="s">
        <v>81</v>
      </c>
      <c r="O22" s="601"/>
      <c r="P22" s="642">
        <f t="shared" si="0"/>
        <v>0</v>
      </c>
      <c r="Q22" s="642"/>
      <c r="R22" s="647">
        <v>1</v>
      </c>
      <c r="S22" s="647"/>
      <c r="T22" s="95">
        <f t="shared" si="4"/>
        <v>0</v>
      </c>
      <c r="U22" s="473">
        <f t="shared" si="5"/>
        <v>0</v>
      </c>
    </row>
    <row r="23" spans="1:21" x14ac:dyDescent="0.25">
      <c r="A23" s="578" t="s">
        <v>82</v>
      </c>
      <c r="B23" s="578"/>
      <c r="C23" s="143">
        <v>0</v>
      </c>
      <c r="D23" s="143">
        <v>0</v>
      </c>
      <c r="E23" s="116">
        <f t="shared" si="1"/>
        <v>0</v>
      </c>
      <c r="F23" s="663">
        <f>'1461'!F23:G23</f>
        <v>5.992</v>
      </c>
      <c r="G23" s="663"/>
      <c r="H23" s="80">
        <f t="shared" si="2"/>
        <v>0</v>
      </c>
      <c r="I23" s="101">
        <f t="shared" si="3"/>
        <v>0</v>
      </c>
      <c r="N23" s="601" t="s">
        <v>82</v>
      </c>
      <c r="O23" s="601"/>
      <c r="P23" s="642">
        <f t="shared" si="0"/>
        <v>0</v>
      </c>
      <c r="Q23" s="642"/>
      <c r="R23" s="647">
        <v>1</v>
      </c>
      <c r="S23" s="647"/>
      <c r="T23" s="95">
        <f t="shared" si="4"/>
        <v>0</v>
      </c>
      <c r="U23" s="473">
        <f t="shared" si="5"/>
        <v>0</v>
      </c>
    </row>
    <row r="24" spans="1:21" x14ac:dyDescent="0.25">
      <c r="A24" s="578" t="s">
        <v>83</v>
      </c>
      <c r="B24" s="578"/>
      <c r="C24" s="143">
        <v>0</v>
      </c>
      <c r="D24" s="143">
        <v>0</v>
      </c>
      <c r="E24" s="116">
        <f t="shared" si="1"/>
        <v>0</v>
      </c>
      <c r="F24" s="663">
        <f>'1461'!F24:G24</f>
        <v>5.992</v>
      </c>
      <c r="G24" s="663"/>
      <c r="H24" s="80">
        <f t="shared" si="2"/>
        <v>0</v>
      </c>
      <c r="I24" s="101">
        <f t="shared" si="3"/>
        <v>0</v>
      </c>
      <c r="N24" s="601" t="s">
        <v>83</v>
      </c>
      <c r="O24" s="601"/>
      <c r="P24" s="642">
        <f t="shared" si="0"/>
        <v>0</v>
      </c>
      <c r="Q24" s="642"/>
      <c r="R24" s="647">
        <v>1</v>
      </c>
      <c r="S24" s="647"/>
      <c r="T24" s="95">
        <f t="shared" si="4"/>
        <v>0</v>
      </c>
      <c r="U24" s="473">
        <f t="shared" si="5"/>
        <v>0</v>
      </c>
    </row>
    <row r="25" spans="1:21" x14ac:dyDescent="0.25">
      <c r="A25" s="578" t="s">
        <v>84</v>
      </c>
      <c r="B25" s="578"/>
      <c r="C25" s="143">
        <v>0</v>
      </c>
      <c r="D25" s="143">
        <v>0</v>
      </c>
      <c r="E25" s="116">
        <f t="shared" si="1"/>
        <v>0</v>
      </c>
      <c r="F25" s="663">
        <f>'1461'!F25:G25</f>
        <v>5.992</v>
      </c>
      <c r="G25" s="663"/>
      <c r="H25" s="80">
        <f t="shared" si="2"/>
        <v>0</v>
      </c>
      <c r="I25" s="101">
        <f t="shared" si="3"/>
        <v>0</v>
      </c>
      <c r="N25" s="601" t="s">
        <v>84</v>
      </c>
      <c r="O25" s="601"/>
      <c r="P25" s="642">
        <f t="shared" si="0"/>
        <v>0</v>
      </c>
      <c r="Q25" s="642"/>
      <c r="R25" s="647">
        <v>1</v>
      </c>
      <c r="S25" s="647"/>
      <c r="T25" s="95">
        <f t="shared" si="4"/>
        <v>0</v>
      </c>
      <c r="U25" s="473">
        <f t="shared" si="5"/>
        <v>0</v>
      </c>
    </row>
    <row r="26" spans="1:21" x14ac:dyDescent="0.25">
      <c r="A26" s="578" t="s">
        <v>85</v>
      </c>
      <c r="B26" s="578"/>
      <c r="C26" s="143">
        <v>21.78</v>
      </c>
      <c r="D26" s="143">
        <v>21.84</v>
      </c>
      <c r="E26" s="116">
        <f t="shared" si="1"/>
        <v>43.620000000000005</v>
      </c>
      <c r="F26" s="663">
        <f>'1461'!F26:G26</f>
        <v>1.1919999999999999</v>
      </c>
      <c r="G26" s="663"/>
      <c r="H26" s="80">
        <f t="shared" si="2"/>
        <v>51.994999999999997</v>
      </c>
      <c r="I26" s="101">
        <f t="shared" si="3"/>
        <v>288493.42</v>
      </c>
      <c r="N26" s="601" t="s">
        <v>85</v>
      </c>
      <c r="O26" s="601"/>
      <c r="P26" s="642">
        <f t="shared" si="0"/>
        <v>0</v>
      </c>
      <c r="Q26" s="642"/>
      <c r="R26" s="647">
        <v>1</v>
      </c>
      <c r="S26" s="647"/>
      <c r="T26" s="95">
        <f t="shared" si="4"/>
        <v>0</v>
      </c>
      <c r="U26" s="473">
        <f t="shared" si="5"/>
        <v>0</v>
      </c>
    </row>
    <row r="27" spans="1:21" x14ac:dyDescent="0.25">
      <c r="A27" s="578" t="s">
        <v>86</v>
      </c>
      <c r="B27" s="578"/>
      <c r="C27" s="143">
        <v>10.31</v>
      </c>
      <c r="D27" s="143">
        <v>10.9</v>
      </c>
      <c r="E27" s="116">
        <f t="shared" si="1"/>
        <v>21.21</v>
      </c>
      <c r="F27" s="663">
        <f>'1461'!F27:G27</f>
        <v>1.1919999999999999</v>
      </c>
      <c r="G27" s="663"/>
      <c r="H27" s="80">
        <f t="shared" si="2"/>
        <v>25.282299999999999</v>
      </c>
      <c r="I27" s="101">
        <f t="shared" si="3"/>
        <v>140278.44</v>
      </c>
      <c r="N27" s="601" t="s">
        <v>86</v>
      </c>
      <c r="O27" s="601"/>
      <c r="P27" s="642">
        <f t="shared" si="0"/>
        <v>0</v>
      </c>
      <c r="Q27" s="642"/>
      <c r="R27" s="647">
        <v>1</v>
      </c>
      <c r="S27" s="647"/>
      <c r="T27" s="95">
        <f t="shared" si="4"/>
        <v>0</v>
      </c>
      <c r="U27" s="473">
        <f t="shared" si="5"/>
        <v>0</v>
      </c>
    </row>
    <row r="28" spans="1:21" x14ac:dyDescent="0.25">
      <c r="A28" s="578" t="s">
        <v>87</v>
      </c>
      <c r="B28" s="578"/>
      <c r="C28" s="143">
        <v>0</v>
      </c>
      <c r="D28" s="143">
        <v>0</v>
      </c>
      <c r="E28" s="116">
        <f t="shared" si="1"/>
        <v>0</v>
      </c>
      <c r="F28" s="663">
        <f>'1461'!F28:G28</f>
        <v>1.1919999999999999</v>
      </c>
      <c r="G28" s="663"/>
      <c r="H28" s="80">
        <f t="shared" si="2"/>
        <v>0</v>
      </c>
      <c r="I28" s="101">
        <f t="shared" si="3"/>
        <v>0</v>
      </c>
      <c r="N28" s="601" t="s">
        <v>87</v>
      </c>
      <c r="O28" s="601"/>
      <c r="P28" s="642">
        <f t="shared" si="0"/>
        <v>0</v>
      </c>
      <c r="Q28" s="642"/>
      <c r="R28" s="647">
        <v>1</v>
      </c>
      <c r="S28" s="647"/>
      <c r="T28" s="95">
        <f t="shared" si="4"/>
        <v>0</v>
      </c>
      <c r="U28" s="473">
        <f t="shared" si="5"/>
        <v>0</v>
      </c>
    </row>
    <row r="29" spans="1:21" x14ac:dyDescent="0.25">
      <c r="A29" s="578" t="s">
        <v>88</v>
      </c>
      <c r="B29" s="578"/>
      <c r="C29" s="110">
        <v>0</v>
      </c>
      <c r="D29" s="110">
        <v>0</v>
      </c>
      <c r="E29" s="154">
        <f t="shared" si="1"/>
        <v>0</v>
      </c>
      <c r="F29" s="663">
        <f>'1461'!F29:G29</f>
        <v>1.079</v>
      </c>
      <c r="G29" s="663"/>
      <c r="H29" s="93">
        <f t="shared" si="2"/>
        <v>0</v>
      </c>
      <c r="I29" s="94">
        <f t="shared" si="3"/>
        <v>0</v>
      </c>
      <c r="N29" s="616" t="s">
        <v>88</v>
      </c>
      <c r="O29" s="616"/>
      <c r="P29" s="642">
        <f t="shared" si="0"/>
        <v>0</v>
      </c>
      <c r="Q29" s="642"/>
      <c r="R29" s="643">
        <v>1</v>
      </c>
      <c r="S29" s="643"/>
      <c r="T29" s="95">
        <f t="shared" si="4"/>
        <v>0</v>
      </c>
      <c r="U29" s="473">
        <f t="shared" si="5"/>
        <v>0</v>
      </c>
    </row>
    <row r="30" spans="1:21" x14ac:dyDescent="0.25">
      <c r="A30" s="590" t="s">
        <v>5</v>
      </c>
      <c r="B30" s="590"/>
      <c r="C30" s="94">
        <f>SUM(C14:C29)</f>
        <v>595.76999999999987</v>
      </c>
      <c r="D30" s="94">
        <f>SUM(D14:D29)</f>
        <v>594.83000000000004</v>
      </c>
      <c r="E30" s="94">
        <f>SUM(E14:E29)</f>
        <v>1190.5999999999999</v>
      </c>
      <c r="F30" s="582"/>
      <c r="G30" s="582"/>
      <c r="H30" s="99">
        <f>SUM(H14:H29)</f>
        <v>1260.0954999999999</v>
      </c>
      <c r="I30" s="94">
        <f>SUM(I14:I29)</f>
        <v>6991619.7000000002</v>
      </c>
      <c r="N30" s="644" t="s">
        <v>5</v>
      </c>
      <c r="O30" s="644"/>
      <c r="P30" s="645">
        <f>SUM(P14:P29)</f>
        <v>0</v>
      </c>
      <c r="Q30" s="645"/>
      <c r="R30" s="617"/>
      <c r="S30" s="617"/>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0" t="s">
        <v>233</v>
      </c>
      <c r="G34" s="670"/>
      <c r="H34" s="670"/>
      <c r="I34" s="101"/>
      <c r="N34" s="28"/>
      <c r="O34" s="28"/>
      <c r="P34" s="29"/>
      <c r="Q34" s="29"/>
      <c r="R34" s="30"/>
      <c r="S34" s="30"/>
      <c r="T34" s="102"/>
      <c r="U34" s="103"/>
    </row>
    <row r="35" spans="1:21" hidden="1" x14ac:dyDescent="0.25">
      <c r="A35" s="3"/>
      <c r="B35" s="69"/>
      <c r="C35" s="69"/>
      <c r="D35" s="69"/>
      <c r="E35" s="69"/>
      <c r="F35" s="670"/>
      <c r="G35" s="670"/>
      <c r="H35" s="670"/>
      <c r="I35" s="24" t="s">
        <v>61</v>
      </c>
      <c r="N35" s="627" t="s">
        <v>26</v>
      </c>
      <c r="O35" s="627"/>
      <c r="P35" s="627"/>
      <c r="Q35" s="627"/>
      <c r="R35" s="627"/>
      <c r="S35" s="627"/>
      <c r="T35" s="627"/>
      <c r="U35" s="25" t="str">
        <f>I35</f>
        <v>2015-16</v>
      </c>
    </row>
    <row r="36" spans="1:21" hidden="1" x14ac:dyDescent="0.25">
      <c r="A36" s="26"/>
      <c r="B36" s="26"/>
      <c r="C36" s="88" t="s">
        <v>93</v>
      </c>
      <c r="D36" s="88" t="s">
        <v>94</v>
      </c>
      <c r="E36" s="89" t="s">
        <v>8</v>
      </c>
      <c r="F36" s="670"/>
      <c r="G36" s="670"/>
      <c r="H36" s="670"/>
      <c r="I36" s="24" t="s">
        <v>27</v>
      </c>
      <c r="N36" s="28"/>
      <c r="O36" s="28"/>
      <c r="P36" s="29"/>
      <c r="Q36" s="29"/>
      <c r="R36" s="30"/>
      <c r="S36" s="30"/>
      <c r="T36" s="102"/>
      <c r="U36" s="25" t="s">
        <v>27</v>
      </c>
    </row>
    <row r="37" spans="1:21" ht="26.25" hidden="1" x14ac:dyDescent="0.25">
      <c r="A37" s="572" t="s">
        <v>50</v>
      </c>
      <c r="B37" s="572"/>
      <c r="C37" s="90" t="s">
        <v>2</v>
      </c>
      <c r="D37" s="90" t="s">
        <v>2</v>
      </c>
      <c r="E37" s="90" t="s">
        <v>2</v>
      </c>
      <c r="F37" s="671"/>
      <c r="G37" s="671"/>
      <c r="H37" s="671"/>
      <c r="I37" s="31" t="s">
        <v>395</v>
      </c>
      <c r="N37" s="639" t="s">
        <v>50</v>
      </c>
      <c r="O37" s="639"/>
      <c r="P37" s="640" t="s">
        <v>19</v>
      </c>
      <c r="Q37" s="640"/>
      <c r="R37" s="640"/>
      <c r="S37" s="640"/>
      <c r="T37" s="640"/>
      <c r="U37" s="19" t="str">
        <f>I37</f>
        <v>(WFTE x BSA x CWF x SDF)</v>
      </c>
    </row>
    <row r="38" spans="1:21" hidden="1" x14ac:dyDescent="0.25">
      <c r="A38" s="576" t="s">
        <v>45</v>
      </c>
      <c r="B38" s="576"/>
      <c r="C38" s="147">
        <v>0</v>
      </c>
      <c r="D38" s="147">
        <v>0</v>
      </c>
      <c r="E38" s="187">
        <f t="shared" ref="E38:E43" si="6">IF(D$44=0,C38*2,C38+D38)</f>
        <v>0</v>
      </c>
      <c r="F38" s="148"/>
      <c r="G38" s="148"/>
      <c r="H38" s="148"/>
      <c r="I38" s="111">
        <f>ROUND(ROUND(ROUND(E38*$C$8,4)*($H$8),2)*(MAX($H$9,1)),2)</f>
        <v>0</v>
      </c>
      <c r="N38" s="641" t="s">
        <v>45</v>
      </c>
      <c r="O38" s="641"/>
      <c r="P38" s="608">
        <f t="shared" ref="P38:P43" si="7">IF($H$133=1,E38,0)</f>
        <v>0</v>
      </c>
      <c r="Q38" s="608"/>
      <c r="R38" s="608"/>
      <c r="S38" s="608"/>
      <c r="T38" s="608"/>
      <c r="U38" s="98">
        <f>ROUND(ROUND(ROUND(P38*$C$8,4)*($H$8),2)*(MAX($H$9,1)),2)</f>
        <v>0</v>
      </c>
    </row>
    <row r="39" spans="1:21" hidden="1" x14ac:dyDescent="0.25">
      <c r="A39" s="578" t="s">
        <v>46</v>
      </c>
      <c r="B39" s="578"/>
      <c r="C39" s="150">
        <v>0</v>
      </c>
      <c r="D39" s="150">
        <v>0</v>
      </c>
      <c r="E39" s="116">
        <f t="shared" si="6"/>
        <v>0</v>
      </c>
      <c r="F39" s="151"/>
      <c r="G39" s="151"/>
      <c r="H39" s="151"/>
      <c r="I39" s="101">
        <f t="shared" ref="I39:I43" si="8">ROUND(ROUND(ROUND(E39*$C$8,4)*($H$8),2)*(MAX($H$9,1)),2)</f>
        <v>0</v>
      </c>
      <c r="N39" s="601" t="s">
        <v>46</v>
      </c>
      <c r="O39" s="601"/>
      <c r="P39" s="608">
        <f t="shared" si="7"/>
        <v>0</v>
      </c>
      <c r="Q39" s="608"/>
      <c r="R39" s="608"/>
      <c r="S39" s="608"/>
      <c r="T39" s="608"/>
      <c r="U39" s="98">
        <f t="shared" ref="U39:U43" si="9">ROUND(ROUND(ROUND(P39*$C$8,4)*($H$8),2)*(MAX($H$9,1)),2)</f>
        <v>0</v>
      </c>
    </row>
    <row r="40" spans="1:21" hidden="1" x14ac:dyDescent="0.25">
      <c r="A40" s="583" t="s">
        <v>47</v>
      </c>
      <c r="B40" s="583"/>
      <c r="C40" s="150">
        <v>0</v>
      </c>
      <c r="D40" s="150">
        <v>0</v>
      </c>
      <c r="E40" s="116">
        <f t="shared" si="6"/>
        <v>0</v>
      </c>
      <c r="F40" s="151"/>
      <c r="G40" s="151"/>
      <c r="H40" s="151"/>
      <c r="I40" s="101">
        <f t="shared" si="8"/>
        <v>0</v>
      </c>
      <c r="N40" s="646" t="s">
        <v>47</v>
      </c>
      <c r="O40" s="646"/>
      <c r="P40" s="608">
        <f t="shared" si="7"/>
        <v>0</v>
      </c>
      <c r="Q40" s="608"/>
      <c r="R40" s="608"/>
      <c r="S40" s="608"/>
      <c r="T40" s="608"/>
      <c r="U40" s="98">
        <f t="shared" si="9"/>
        <v>0</v>
      </c>
    </row>
    <row r="41" spans="1:21" hidden="1" x14ac:dyDescent="0.25">
      <c r="A41" s="578" t="s">
        <v>48</v>
      </c>
      <c r="B41" s="578"/>
      <c r="C41" s="150">
        <v>0</v>
      </c>
      <c r="D41" s="150">
        <v>0</v>
      </c>
      <c r="E41" s="116">
        <f t="shared" si="6"/>
        <v>0</v>
      </c>
      <c r="F41" s="151"/>
      <c r="G41" s="151"/>
      <c r="H41" s="151"/>
      <c r="I41" s="101">
        <f t="shared" si="8"/>
        <v>0</v>
      </c>
      <c r="N41" s="601" t="s">
        <v>48</v>
      </c>
      <c r="O41" s="601"/>
      <c r="P41" s="608">
        <f t="shared" si="7"/>
        <v>0</v>
      </c>
      <c r="Q41" s="608"/>
      <c r="R41" s="608"/>
      <c r="S41" s="608"/>
      <c r="T41" s="608"/>
      <c r="U41" s="98">
        <f t="shared" si="9"/>
        <v>0</v>
      </c>
    </row>
    <row r="42" spans="1:21" hidden="1" x14ac:dyDescent="0.25">
      <c r="A42" s="578" t="s">
        <v>49</v>
      </c>
      <c r="B42" s="578"/>
      <c r="C42" s="150">
        <v>0</v>
      </c>
      <c r="D42" s="150">
        <v>0</v>
      </c>
      <c r="E42" s="116">
        <f t="shared" si="6"/>
        <v>0</v>
      </c>
      <c r="F42" s="151"/>
      <c r="G42" s="151"/>
      <c r="H42" s="151"/>
      <c r="I42" s="101">
        <f t="shared" si="8"/>
        <v>0</v>
      </c>
      <c r="N42" s="601" t="s">
        <v>49</v>
      </c>
      <c r="O42" s="601"/>
      <c r="P42" s="608">
        <f t="shared" si="7"/>
        <v>0</v>
      </c>
      <c r="Q42" s="608"/>
      <c r="R42" s="608"/>
      <c r="S42" s="608"/>
      <c r="T42" s="608"/>
      <c r="U42" s="98">
        <f t="shared" si="9"/>
        <v>0</v>
      </c>
    </row>
    <row r="43" spans="1:21" hidden="1" x14ac:dyDescent="0.25">
      <c r="A43" s="578" t="s">
        <v>41</v>
      </c>
      <c r="B43" s="578"/>
      <c r="C43" s="149">
        <v>0</v>
      </c>
      <c r="D43" s="149">
        <v>0</v>
      </c>
      <c r="E43" s="154">
        <f t="shared" si="6"/>
        <v>0</v>
      </c>
      <c r="F43" s="151"/>
      <c r="G43" s="151"/>
      <c r="H43" s="151"/>
      <c r="I43" s="94">
        <f t="shared" si="8"/>
        <v>0</v>
      </c>
      <c r="N43" s="616" t="s">
        <v>41</v>
      </c>
      <c r="O43" s="616"/>
      <c r="P43" s="608">
        <f t="shared" si="7"/>
        <v>0</v>
      </c>
      <c r="Q43" s="608"/>
      <c r="R43" s="608"/>
      <c r="S43" s="608"/>
      <c r="T43" s="60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3" t="s">
        <v>43</v>
      </c>
      <c r="O44" s="603"/>
      <c r="P44" s="603"/>
      <c r="Q44" s="603"/>
      <c r="R44" s="33">
        <f>SUM(P38:R43)</f>
        <v>0</v>
      </c>
      <c r="S44" s="617" t="s">
        <v>51</v>
      </c>
      <c r="T44" s="617"/>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1260.0954999999999</v>
      </c>
      <c r="F46" s="34"/>
      <c r="G46" s="106"/>
      <c r="H46" s="107" t="s">
        <v>98</v>
      </c>
      <c r="I46" s="94">
        <f>SUM(I44,I30)</f>
        <v>6991619.7000000002</v>
      </c>
      <c r="N46" s="603" t="s">
        <v>44</v>
      </c>
      <c r="O46" s="603"/>
      <c r="P46" s="603"/>
      <c r="Q46" s="603"/>
      <c r="R46" s="35">
        <f>R44+T30</f>
        <v>0</v>
      </c>
      <c r="S46" s="617" t="s">
        <v>42</v>
      </c>
      <c r="T46" s="617"/>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396</v>
      </c>
      <c r="B48" s="26"/>
      <c r="C48" s="26"/>
      <c r="D48" s="26"/>
      <c r="E48" s="26"/>
      <c r="F48" s="34"/>
      <c r="G48" s="27"/>
      <c r="H48" s="27"/>
      <c r="I48" s="101"/>
      <c r="N48" s="383" t="s">
        <v>396</v>
      </c>
      <c r="O48" s="28"/>
      <c r="P48" s="28"/>
      <c r="Q48" s="28"/>
      <c r="R48" s="35"/>
      <c r="S48" s="30"/>
      <c r="T48" s="30"/>
      <c r="U48" s="402"/>
    </row>
    <row r="49" spans="1:22" s="391" customFormat="1" ht="9" customHeight="1" x14ac:dyDescent="0.2">
      <c r="A49" s="481" t="s">
        <v>397</v>
      </c>
      <c r="F49" s="392"/>
      <c r="G49" s="393"/>
      <c r="H49" s="393"/>
      <c r="I49" s="394"/>
      <c r="N49" s="403" t="s">
        <v>397</v>
      </c>
      <c r="O49" s="395"/>
      <c r="P49" s="395"/>
      <c r="Q49" s="395"/>
      <c r="R49" s="396"/>
      <c r="S49" s="397"/>
      <c r="T49" s="397"/>
      <c r="U49" s="404"/>
    </row>
    <row r="50" spans="1:22" s="391" customFormat="1" ht="11.25" customHeight="1" x14ac:dyDescent="0.2">
      <c r="A50" s="483" t="s">
        <v>398</v>
      </c>
      <c r="F50" s="392"/>
      <c r="G50" s="393"/>
      <c r="H50" s="393"/>
      <c r="I50" s="394"/>
      <c r="N50" s="405" t="s">
        <v>398</v>
      </c>
      <c r="O50" s="395"/>
      <c r="P50" s="395"/>
      <c r="Q50" s="395"/>
      <c r="R50" s="396"/>
      <c r="S50" s="397"/>
      <c r="T50" s="397"/>
      <c r="U50" s="404"/>
    </row>
    <row r="51" spans="1:22" x14ac:dyDescent="0.25">
      <c r="A51" s="389"/>
      <c r="B51" s="399" t="s">
        <v>399</v>
      </c>
      <c r="C51" s="26"/>
      <c r="D51" s="26"/>
      <c r="E51" s="43" t="s">
        <v>400</v>
      </c>
      <c r="F51" s="400">
        <f>I46</f>
        <v>6991619.7000000002</v>
      </c>
      <c r="G51" s="109" t="s">
        <v>6</v>
      </c>
      <c r="H51" s="401">
        <v>4.5199999999999997E-2</v>
      </c>
      <c r="I51" s="101">
        <f>ROUND(F51*H51,2)</f>
        <v>316021.21000000002</v>
      </c>
      <c r="N51" s="406"/>
      <c r="O51" s="407" t="s">
        <v>399</v>
      </c>
      <c r="P51" s="28"/>
      <c r="Q51" s="44" t="s">
        <v>400</v>
      </c>
      <c r="R51" s="408">
        <f>U30</f>
        <v>0</v>
      </c>
      <c r="S51" s="409" t="s">
        <v>6</v>
      </c>
      <c r="T51" s="410">
        <v>4.5199999999999997E-2</v>
      </c>
      <c r="U51" s="402">
        <f>ROUND(R51*T51,2)</f>
        <v>0</v>
      </c>
    </row>
    <row r="52" spans="1:22" x14ac:dyDescent="0.25">
      <c r="A52" s="26"/>
      <c r="B52" s="81" t="s">
        <v>401</v>
      </c>
      <c r="C52" s="26"/>
      <c r="D52" s="26"/>
      <c r="E52" s="43" t="s">
        <v>400</v>
      </c>
      <c r="F52" s="400">
        <f>I46</f>
        <v>6991619.7000000002</v>
      </c>
      <c r="G52" s="109" t="s">
        <v>6</v>
      </c>
      <c r="H52" s="401">
        <v>1.41E-2</v>
      </c>
      <c r="I52" s="101">
        <f>ROUND(F52*H52,2)</f>
        <v>98581.84</v>
      </c>
      <c r="N52" s="28"/>
      <c r="O52" s="383" t="s">
        <v>401</v>
      </c>
      <c r="P52" s="28"/>
      <c r="Q52" s="44" t="s">
        <v>400</v>
      </c>
      <c r="R52" s="408">
        <f>U30</f>
        <v>0</v>
      </c>
      <c r="S52" s="409" t="s">
        <v>6</v>
      </c>
      <c r="T52" s="410">
        <v>1.41E-2</v>
      </c>
      <c r="U52" s="411">
        <f>ROUND(R52*T52,2)</f>
        <v>0</v>
      </c>
    </row>
    <row r="53" spans="1:22" x14ac:dyDescent="0.25">
      <c r="A53" s="26"/>
      <c r="B53" s="81" t="s">
        <v>402</v>
      </c>
      <c r="C53" s="26"/>
      <c r="D53" s="26"/>
      <c r="E53" s="43"/>
      <c r="F53" s="400"/>
      <c r="G53" s="109"/>
      <c r="H53" s="401"/>
      <c r="I53" s="97">
        <f>SUM(I51:I52)</f>
        <v>414603.05000000005</v>
      </c>
      <c r="N53" s="28"/>
      <c r="O53" s="383" t="s">
        <v>402</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440</v>
      </c>
      <c r="G55" s="109" t="s">
        <v>441</v>
      </c>
      <c r="H55" s="454" t="s">
        <v>442</v>
      </c>
      <c r="I55" s="101"/>
      <c r="N55" s="448"/>
      <c r="O55" s="448"/>
      <c r="P55" s="464"/>
      <c r="Q55" s="465"/>
      <c r="R55" s="466"/>
      <c r="S55" s="468" t="s">
        <v>441</v>
      </c>
      <c r="T55" s="469" t="s">
        <v>442</v>
      </c>
      <c r="U55" s="467"/>
      <c r="V55" s="424"/>
    </row>
    <row r="56" spans="1:22" x14ac:dyDescent="0.25">
      <c r="A56" s="36" t="s">
        <v>443</v>
      </c>
      <c r="B56" s="36"/>
      <c r="C56" s="324" t="str">
        <f>'1461'!C56</f>
        <v>FTE</v>
      </c>
      <c r="D56" s="324" t="str">
        <f>'1461'!D56</f>
        <v>FTE</v>
      </c>
      <c r="E56" s="90" t="s">
        <v>2</v>
      </c>
      <c r="F56" s="439" t="s">
        <v>444</v>
      </c>
      <c r="G56" s="441" t="s">
        <v>444</v>
      </c>
      <c r="H56" s="455" t="s">
        <v>445</v>
      </c>
      <c r="I56" s="36"/>
      <c r="N56" s="459" t="s">
        <v>443</v>
      </c>
      <c r="O56" s="459"/>
      <c r="P56" s="620" t="s">
        <v>2</v>
      </c>
      <c r="Q56" s="620"/>
      <c r="R56" s="459" t="s">
        <v>449</v>
      </c>
      <c r="S56" s="450" t="s">
        <v>444</v>
      </c>
      <c r="T56" s="470" t="s">
        <v>445</v>
      </c>
      <c r="U56" s="459"/>
      <c r="V56" s="458"/>
    </row>
    <row r="57" spans="1:22" x14ac:dyDescent="0.25">
      <c r="A57" s="588" t="s">
        <v>447</v>
      </c>
      <c r="B57" s="588"/>
      <c r="C57" s="143">
        <v>21.5</v>
      </c>
      <c r="D57" s="143">
        <v>24.61</v>
      </c>
      <c r="E57" s="116">
        <f t="shared" ref="E57:E65" si="10">IF(D$66=0,C57*2,C57+D57)</f>
        <v>46.11</v>
      </c>
      <c r="F57" s="443" t="s">
        <v>439</v>
      </c>
      <c r="G57" s="443">
        <v>251</v>
      </c>
      <c r="H57" s="457">
        <f>'1461'!H57</f>
        <v>1047</v>
      </c>
      <c r="I57" s="101">
        <f>ROUND(E57*H57,2)</f>
        <v>48277.17</v>
      </c>
      <c r="N57" s="618" t="s">
        <v>447</v>
      </c>
      <c r="O57" s="618"/>
      <c r="P57" s="621"/>
      <c r="Q57" s="621"/>
      <c r="R57" s="449" t="s">
        <v>439</v>
      </c>
      <c r="S57" s="449">
        <v>251</v>
      </c>
      <c r="T57" s="460">
        <f>H57</f>
        <v>1047</v>
      </c>
      <c r="U57" s="474">
        <f>ROUND(P57*T57,2)</f>
        <v>0</v>
      </c>
      <c r="V57" s="424"/>
    </row>
    <row r="58" spans="1:22" x14ac:dyDescent="0.25">
      <c r="A58" s="589"/>
      <c r="B58" s="589"/>
      <c r="C58" s="143">
        <v>2.5</v>
      </c>
      <c r="D58" s="143">
        <v>4.12</v>
      </c>
      <c r="E58" s="116">
        <f t="shared" si="10"/>
        <v>6.62</v>
      </c>
      <c r="F58" s="443" t="s">
        <v>439</v>
      </c>
      <c r="G58" s="443">
        <v>252</v>
      </c>
      <c r="H58" s="457">
        <f>'1461'!H58</f>
        <v>3380</v>
      </c>
      <c r="I58" s="101">
        <f t="shared" ref="I58:I65" si="11">ROUND(E58*H58,2)</f>
        <v>22375.599999999999</v>
      </c>
      <c r="N58" s="619"/>
      <c r="O58" s="619"/>
      <c r="P58" s="622"/>
      <c r="Q58" s="622"/>
      <c r="R58" s="449" t="s">
        <v>439</v>
      </c>
      <c r="S58" s="449">
        <v>252</v>
      </c>
      <c r="T58" s="460">
        <f t="shared" ref="T58:T65" si="12">H58</f>
        <v>3380</v>
      </c>
      <c r="U58" s="474">
        <f t="shared" ref="U58:U65" si="13">ROUND(P58*T58,2)</f>
        <v>0</v>
      </c>
      <c r="V58" s="424"/>
    </row>
    <row r="59" spans="1:22" x14ac:dyDescent="0.25">
      <c r="A59" s="589"/>
      <c r="B59" s="589"/>
      <c r="C59" s="143">
        <v>0.5</v>
      </c>
      <c r="D59" s="143">
        <v>0.5</v>
      </c>
      <c r="E59" s="116">
        <f t="shared" si="10"/>
        <v>1</v>
      </c>
      <c r="F59" s="443" t="s">
        <v>439</v>
      </c>
      <c r="G59" s="443">
        <v>253</v>
      </c>
      <c r="H59" s="457">
        <f>'1461'!H59</f>
        <v>6896</v>
      </c>
      <c r="I59" s="101">
        <f t="shared" si="11"/>
        <v>6896</v>
      </c>
      <c r="N59" s="619"/>
      <c r="O59" s="619"/>
      <c r="P59" s="622"/>
      <c r="Q59" s="622"/>
      <c r="R59" s="449" t="s">
        <v>439</v>
      </c>
      <c r="S59" s="449">
        <v>253</v>
      </c>
      <c r="T59" s="460">
        <f t="shared" si="12"/>
        <v>6896</v>
      </c>
      <c r="U59" s="474">
        <f t="shared" si="13"/>
        <v>0</v>
      </c>
      <c r="V59" s="424"/>
    </row>
    <row r="60" spans="1:22" x14ac:dyDescent="0.25">
      <c r="A60" s="589"/>
      <c r="B60" s="589"/>
      <c r="C60" s="143">
        <v>33.5</v>
      </c>
      <c r="D60" s="143">
        <v>34.590000000000003</v>
      </c>
      <c r="E60" s="116">
        <f t="shared" si="10"/>
        <v>68.09</v>
      </c>
      <c r="F60" s="444" t="s">
        <v>13</v>
      </c>
      <c r="G60" s="443">
        <v>251</v>
      </c>
      <c r="H60" s="457">
        <f>'1461'!H60</f>
        <v>1173</v>
      </c>
      <c r="I60" s="101">
        <f t="shared" si="11"/>
        <v>79869.570000000007</v>
      </c>
      <c r="N60" s="619"/>
      <c r="O60" s="619"/>
      <c r="P60" s="622"/>
      <c r="Q60" s="622"/>
      <c r="R60" s="40" t="s">
        <v>13</v>
      </c>
      <c r="S60" s="449">
        <v>251</v>
      </c>
      <c r="T60" s="460">
        <f t="shared" si="12"/>
        <v>1173</v>
      </c>
      <c r="U60" s="474">
        <f t="shared" si="13"/>
        <v>0</v>
      </c>
      <c r="V60" s="424"/>
    </row>
    <row r="61" spans="1:22" x14ac:dyDescent="0.25">
      <c r="A61" s="589"/>
      <c r="B61" s="589"/>
      <c r="C61" s="143">
        <v>4</v>
      </c>
      <c r="D61" s="143">
        <v>4.01</v>
      </c>
      <c r="E61" s="116">
        <f t="shared" si="10"/>
        <v>8.01</v>
      </c>
      <c r="F61" s="444" t="s">
        <v>13</v>
      </c>
      <c r="G61" s="443">
        <v>252</v>
      </c>
      <c r="H61" s="457">
        <f>'1461'!H61</f>
        <v>3506</v>
      </c>
      <c r="I61" s="101">
        <f t="shared" si="11"/>
        <v>28083.06</v>
      </c>
      <c r="N61" s="619"/>
      <c r="O61" s="619"/>
      <c r="P61" s="622"/>
      <c r="Q61" s="622"/>
      <c r="R61" s="40" t="s">
        <v>13</v>
      </c>
      <c r="S61" s="449">
        <v>252</v>
      </c>
      <c r="T61" s="460">
        <f t="shared" si="12"/>
        <v>3506</v>
      </c>
      <c r="U61" s="474">
        <f t="shared" si="13"/>
        <v>0</v>
      </c>
      <c r="V61" s="424"/>
    </row>
    <row r="62" spans="1:22" x14ac:dyDescent="0.25">
      <c r="A62" s="589"/>
      <c r="B62" s="589"/>
      <c r="C62" s="143">
        <v>0</v>
      </c>
      <c r="D62" s="143">
        <v>0</v>
      </c>
      <c r="E62" s="116">
        <f t="shared" si="10"/>
        <v>0</v>
      </c>
      <c r="F62" s="444" t="s">
        <v>13</v>
      </c>
      <c r="G62" s="443">
        <v>253</v>
      </c>
      <c r="H62" s="457">
        <f>'1461'!H62</f>
        <v>7023</v>
      </c>
      <c r="I62" s="101">
        <f t="shared" si="11"/>
        <v>0</v>
      </c>
      <c r="N62" s="619"/>
      <c r="O62" s="619"/>
      <c r="P62" s="622"/>
      <c r="Q62" s="622"/>
      <c r="R62" s="40" t="s">
        <v>13</v>
      </c>
      <c r="S62" s="449">
        <v>253</v>
      </c>
      <c r="T62" s="460">
        <f t="shared" si="12"/>
        <v>7023</v>
      </c>
      <c r="U62" s="474">
        <f t="shared" si="13"/>
        <v>0</v>
      </c>
      <c r="V62" s="424"/>
    </row>
    <row r="63" spans="1:22" x14ac:dyDescent="0.25">
      <c r="A63" s="589"/>
      <c r="B63" s="589"/>
      <c r="C63" s="143">
        <v>0</v>
      </c>
      <c r="D63" s="143">
        <v>0</v>
      </c>
      <c r="E63" s="116">
        <f t="shared" si="10"/>
        <v>0</v>
      </c>
      <c r="F63" s="444" t="s">
        <v>14</v>
      </c>
      <c r="G63" s="443">
        <v>251</v>
      </c>
      <c r="H63" s="457">
        <f>'1461'!H63</f>
        <v>835</v>
      </c>
      <c r="I63" s="101">
        <f t="shared" si="11"/>
        <v>0</v>
      </c>
      <c r="N63" s="619"/>
      <c r="O63" s="619"/>
      <c r="P63" s="622"/>
      <c r="Q63" s="622"/>
      <c r="R63" s="40" t="s">
        <v>14</v>
      </c>
      <c r="S63" s="449">
        <v>251</v>
      </c>
      <c r="T63" s="460">
        <f t="shared" si="12"/>
        <v>835</v>
      </c>
      <c r="U63" s="474">
        <f t="shared" si="13"/>
        <v>0</v>
      </c>
      <c r="V63" s="424"/>
    </row>
    <row r="64" spans="1:22" x14ac:dyDescent="0.25">
      <c r="A64" s="589"/>
      <c r="B64" s="589"/>
      <c r="C64" s="143">
        <v>0</v>
      </c>
      <c r="D64" s="143">
        <v>0</v>
      </c>
      <c r="E64" s="116">
        <f t="shared" si="10"/>
        <v>0</v>
      </c>
      <c r="F64" s="444" t="s">
        <v>14</v>
      </c>
      <c r="G64" s="443">
        <v>252</v>
      </c>
      <c r="H64" s="457">
        <f>'1461'!H64</f>
        <v>3168</v>
      </c>
      <c r="I64" s="101">
        <f t="shared" si="11"/>
        <v>0</v>
      </c>
      <c r="N64" s="619"/>
      <c r="O64" s="619"/>
      <c r="P64" s="622"/>
      <c r="Q64" s="622"/>
      <c r="R64" s="40" t="s">
        <v>14</v>
      </c>
      <c r="S64" s="449">
        <v>252</v>
      </c>
      <c r="T64" s="460">
        <f t="shared" si="12"/>
        <v>3168</v>
      </c>
      <c r="U64" s="474">
        <f t="shared" si="13"/>
        <v>0</v>
      </c>
      <c r="V64" s="424"/>
    </row>
    <row r="65" spans="1:22" ht="16.5" thickBot="1" x14ac:dyDescent="0.3">
      <c r="A65" s="589"/>
      <c r="B65" s="589"/>
      <c r="C65" s="143">
        <v>0</v>
      </c>
      <c r="D65" s="143">
        <v>0</v>
      </c>
      <c r="E65" s="116">
        <f t="shared" si="10"/>
        <v>0</v>
      </c>
      <c r="F65" s="444" t="s">
        <v>14</v>
      </c>
      <c r="G65" s="443">
        <v>253</v>
      </c>
      <c r="H65" s="457">
        <f>'1461'!H65</f>
        <v>6685</v>
      </c>
      <c r="I65" s="101">
        <f t="shared" si="11"/>
        <v>0</v>
      </c>
      <c r="N65" s="619"/>
      <c r="O65" s="619"/>
      <c r="P65" s="623"/>
      <c r="Q65" s="623"/>
      <c r="R65" s="40" t="s">
        <v>14</v>
      </c>
      <c r="S65" s="449">
        <v>253</v>
      </c>
      <c r="T65" s="460">
        <f t="shared" si="12"/>
        <v>6685</v>
      </c>
      <c r="U65" s="475">
        <f t="shared" si="13"/>
        <v>0</v>
      </c>
      <c r="V65" s="424"/>
    </row>
    <row r="66" spans="1:22" ht="16.5" thickBot="1" x14ac:dyDescent="0.3">
      <c r="A66" s="440"/>
      <c r="C66" s="97">
        <f>SUM(C57:C65)</f>
        <v>62</v>
      </c>
      <c r="D66" s="97">
        <f>SUM(D57:D65)</f>
        <v>67.830000000000013</v>
      </c>
      <c r="E66" s="97">
        <f>SUM(E57:E65)</f>
        <v>129.82999999999998</v>
      </c>
      <c r="F66" s="590" t="s">
        <v>448</v>
      </c>
      <c r="G66" s="590"/>
      <c r="H66" s="590"/>
      <c r="I66" s="97">
        <f>SUM(I57:I65)</f>
        <v>185501.4</v>
      </c>
      <c r="N66" s="446"/>
      <c r="O66" s="51"/>
      <c r="P66" s="602">
        <f>SUM(P57:P65)</f>
        <v>0</v>
      </c>
      <c r="Q66" s="602"/>
      <c r="R66" s="603" t="s">
        <v>448</v>
      </c>
      <c r="S66" s="603"/>
      <c r="T66" s="603"/>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450</v>
      </c>
      <c r="N68" s="453" t="s">
        <v>458</v>
      </c>
      <c r="O68" s="51"/>
      <c r="P68" s="51"/>
      <c r="Q68" s="51"/>
      <c r="R68" s="51"/>
      <c r="S68" s="51"/>
      <c r="T68" s="51"/>
      <c r="U68" s="51"/>
    </row>
    <row r="69" spans="1:22" x14ac:dyDescent="0.25">
      <c r="A69" s="584" t="s">
        <v>403</v>
      </c>
      <c r="B69" s="578"/>
      <c r="C69" s="112">
        <f>E30</f>
        <v>1190.5999999999999</v>
      </c>
      <c r="D69" s="565" t="s">
        <v>414</v>
      </c>
      <c r="E69" s="565"/>
      <c r="F69" s="565"/>
      <c r="G69" s="565"/>
      <c r="H69" s="300">
        <f>'1461'!H69</f>
        <v>210228.91</v>
      </c>
      <c r="I69" s="113"/>
      <c r="N69" s="600" t="s">
        <v>407</v>
      </c>
      <c r="O69" s="601"/>
      <c r="P69" s="41">
        <f>P30</f>
        <v>0</v>
      </c>
      <c r="Q69" s="606" t="s">
        <v>409</v>
      </c>
      <c r="R69" s="607"/>
      <c r="S69" s="607"/>
      <c r="T69" s="604">
        <f>H69</f>
        <v>210228.91</v>
      </c>
      <c r="U69" s="604"/>
    </row>
    <row r="70" spans="1:22" x14ac:dyDescent="0.25">
      <c r="B70" s="69"/>
      <c r="G70" s="42" t="s">
        <v>12</v>
      </c>
      <c r="H70" s="114">
        <f>ROUND(C69/H69,6)</f>
        <v>5.6629999999999996E-3</v>
      </c>
      <c r="I70" s="115"/>
      <c r="N70" s="601"/>
      <c r="O70" s="601"/>
      <c r="P70" s="601"/>
      <c r="Q70" s="601"/>
      <c r="R70" s="601"/>
      <c r="S70" s="601"/>
      <c r="T70" s="605">
        <f>ROUND(P69/T69,6)</f>
        <v>0</v>
      </c>
      <c r="U70" s="605"/>
    </row>
    <row r="71" spans="1:22" x14ac:dyDescent="0.25">
      <c r="A71" s="442" t="s">
        <v>451</v>
      </c>
      <c r="N71" s="453" t="s">
        <v>459</v>
      </c>
      <c r="O71" s="51"/>
      <c r="P71" s="51"/>
      <c r="Q71" s="51"/>
      <c r="R71" s="51"/>
      <c r="S71" s="51"/>
      <c r="T71" s="51"/>
      <c r="U71" s="51"/>
    </row>
    <row r="72" spans="1:22" x14ac:dyDescent="0.25">
      <c r="A72" s="584" t="s">
        <v>404</v>
      </c>
      <c r="B72" s="578"/>
      <c r="C72" s="112">
        <f>H30</f>
        <v>1260.0954999999999</v>
      </c>
      <c r="D72" s="565" t="s">
        <v>415</v>
      </c>
      <c r="E72" s="565"/>
      <c r="F72" s="565"/>
      <c r="G72" s="565"/>
      <c r="H72" s="301">
        <f>'1461'!H72</f>
        <v>234891.44</v>
      </c>
      <c r="I72" s="116"/>
      <c r="N72" s="600" t="s">
        <v>408</v>
      </c>
      <c r="O72" s="601"/>
      <c r="P72" s="41">
        <f>T30</f>
        <v>0</v>
      </c>
      <c r="Q72" s="606" t="s">
        <v>410</v>
      </c>
      <c r="R72" s="607"/>
      <c r="S72" s="607"/>
      <c r="T72" s="604">
        <f>H72</f>
        <v>234891.44</v>
      </c>
      <c r="U72" s="604"/>
    </row>
    <row r="73" spans="1:22" x14ac:dyDescent="0.25">
      <c r="G73" s="42" t="s">
        <v>12</v>
      </c>
      <c r="H73" s="114">
        <f>ROUND(C72/H72,6)</f>
        <v>5.365E-3</v>
      </c>
      <c r="I73" s="114"/>
      <c r="N73" s="601"/>
      <c r="O73" s="601"/>
      <c r="P73" s="601"/>
      <c r="Q73" s="601"/>
      <c r="R73" s="601"/>
      <c r="S73" s="601"/>
      <c r="T73" s="605">
        <f>ROUND(P72/T72,6)</f>
        <v>0</v>
      </c>
      <c r="U73" s="605"/>
    </row>
    <row r="74" spans="1:22" x14ac:dyDescent="0.25">
      <c r="A74" s="417" t="s">
        <v>452</v>
      </c>
      <c r="B74" s="414"/>
      <c r="C74" s="414"/>
      <c r="D74" s="414"/>
      <c r="E74" s="414"/>
      <c r="F74" s="414"/>
      <c r="G74" s="414"/>
      <c r="H74" s="414"/>
      <c r="I74" s="414"/>
      <c r="N74" s="416" t="s">
        <v>460</v>
      </c>
      <c r="O74" s="415"/>
      <c r="P74" s="415"/>
      <c r="Q74" s="415"/>
      <c r="R74" s="415"/>
      <c r="S74" s="415"/>
      <c r="T74" s="415"/>
      <c r="U74" s="415"/>
      <c r="V74" s="414"/>
    </row>
    <row r="75" spans="1:22" x14ac:dyDescent="0.25">
      <c r="A75" s="584" t="s">
        <v>405</v>
      </c>
      <c r="B75" s="578"/>
      <c r="C75" s="112">
        <f>E30</f>
        <v>1190.5999999999999</v>
      </c>
      <c r="D75" s="557" t="s">
        <v>416</v>
      </c>
      <c r="E75" s="557"/>
      <c r="F75" s="557"/>
      <c r="G75" s="557"/>
      <c r="H75" s="300">
        <f>'1461'!H75</f>
        <v>187665.41</v>
      </c>
      <c r="I75" s="113"/>
      <c r="N75" s="600" t="s">
        <v>406</v>
      </c>
      <c r="O75" s="601"/>
      <c r="P75" s="41">
        <f>P30</f>
        <v>0</v>
      </c>
      <c r="Q75" s="636" t="s">
        <v>411</v>
      </c>
      <c r="R75" s="637"/>
      <c r="S75" s="637"/>
      <c r="T75" s="604">
        <f>H75</f>
        <v>187665.41</v>
      </c>
      <c r="U75" s="604"/>
    </row>
    <row r="76" spans="1:22" x14ac:dyDescent="0.25">
      <c r="B76" s="69"/>
      <c r="G76" s="42" t="s">
        <v>12</v>
      </c>
      <c r="H76" s="114">
        <f>ROUND(C75/H75,6)</f>
        <v>6.3439999999999998E-3</v>
      </c>
      <c r="I76" s="115"/>
      <c r="N76" s="601"/>
      <c r="O76" s="601"/>
      <c r="P76" s="601"/>
      <c r="Q76" s="601"/>
      <c r="R76" s="601"/>
      <c r="S76" s="601"/>
      <c r="T76" s="605">
        <f>ROUND(P75/T75,6)</f>
        <v>0</v>
      </c>
      <c r="U76" s="605"/>
    </row>
    <row r="77" spans="1:22" x14ac:dyDescent="0.25">
      <c r="A77" s="417" t="s">
        <v>453</v>
      </c>
      <c r="B77" s="414"/>
      <c r="C77" s="414"/>
      <c r="D77" s="414"/>
      <c r="E77" s="414"/>
      <c r="F77" s="414"/>
      <c r="G77" s="414"/>
      <c r="H77" s="414"/>
      <c r="I77" s="414"/>
      <c r="N77" s="416" t="s">
        <v>461</v>
      </c>
      <c r="O77" s="415"/>
      <c r="P77" s="415"/>
      <c r="Q77" s="415"/>
      <c r="R77" s="415"/>
      <c r="S77" s="415"/>
      <c r="T77" s="415"/>
      <c r="U77" s="415"/>
      <c r="V77" s="414"/>
    </row>
    <row r="78" spans="1:22" x14ac:dyDescent="0.25">
      <c r="A78" s="584" t="s">
        <v>405</v>
      </c>
      <c r="B78" s="578"/>
      <c r="C78" s="112">
        <f>E30</f>
        <v>1190.5999999999999</v>
      </c>
      <c r="D78" s="585" t="s">
        <v>417</v>
      </c>
      <c r="E78" s="585"/>
      <c r="F78" s="585"/>
      <c r="G78" s="585"/>
      <c r="H78" s="300">
        <f>'1461'!H78</f>
        <v>209892.26</v>
      </c>
      <c r="I78" s="113"/>
      <c r="N78" s="600" t="s">
        <v>406</v>
      </c>
      <c r="O78" s="601"/>
      <c r="P78" s="41">
        <f>P30</f>
        <v>0</v>
      </c>
      <c r="Q78" s="634" t="s">
        <v>412</v>
      </c>
      <c r="R78" s="635"/>
      <c r="S78" s="635"/>
      <c r="T78" s="604">
        <f>H78</f>
        <v>209892.26</v>
      </c>
      <c r="U78" s="604"/>
    </row>
    <row r="79" spans="1:22" x14ac:dyDescent="0.25">
      <c r="B79" s="69"/>
      <c r="G79" s="42" t="s">
        <v>12</v>
      </c>
      <c r="H79" s="114">
        <f>ROUND(C78/H78,6)</f>
        <v>5.672E-3</v>
      </c>
      <c r="I79" s="115"/>
      <c r="N79" s="601"/>
      <c r="O79" s="601"/>
      <c r="P79" s="601"/>
      <c r="Q79" s="601"/>
      <c r="R79" s="601"/>
      <c r="S79" s="601"/>
      <c r="T79" s="605">
        <f>ROUND(P78/T78,6)</f>
        <v>0</v>
      </c>
      <c r="U79" s="605"/>
    </row>
    <row r="80" spans="1:22" x14ac:dyDescent="0.25">
      <c r="A80" s="417" t="s">
        <v>454</v>
      </c>
      <c r="B80" s="414"/>
      <c r="C80" s="414"/>
      <c r="D80" s="414"/>
      <c r="E80" s="414"/>
      <c r="F80" s="414"/>
      <c r="G80" s="414"/>
      <c r="H80" s="414"/>
      <c r="I80" s="414"/>
      <c r="N80" s="416" t="s">
        <v>462</v>
      </c>
      <c r="O80" s="415"/>
      <c r="P80" s="415"/>
      <c r="Q80" s="415"/>
      <c r="R80" s="415"/>
      <c r="S80" s="415"/>
      <c r="T80" s="415"/>
      <c r="U80" s="415"/>
      <c r="V80" s="414"/>
    </row>
    <row r="81" spans="1:21" x14ac:dyDescent="0.25">
      <c r="A81" s="584" t="s">
        <v>413</v>
      </c>
      <c r="B81" s="578"/>
      <c r="C81" s="112">
        <f>E30</f>
        <v>1190.5999999999999</v>
      </c>
      <c r="D81" s="557" t="s">
        <v>418</v>
      </c>
      <c r="E81" s="557"/>
      <c r="F81" s="557"/>
      <c r="G81" s="557"/>
      <c r="H81" s="300">
        <f>'1461'!H81</f>
        <v>187328.76</v>
      </c>
      <c r="I81" s="113"/>
      <c r="N81" s="600" t="s">
        <v>419</v>
      </c>
      <c r="O81" s="601"/>
      <c r="P81" s="41">
        <f>P30</f>
        <v>0</v>
      </c>
      <c r="Q81" s="636" t="s">
        <v>420</v>
      </c>
      <c r="R81" s="637"/>
      <c r="S81" s="637"/>
      <c r="T81" s="604">
        <f>H81</f>
        <v>187328.76</v>
      </c>
      <c r="U81" s="604"/>
    </row>
    <row r="82" spans="1:21" x14ac:dyDescent="0.25">
      <c r="B82" s="69"/>
      <c r="G82" s="42" t="s">
        <v>12</v>
      </c>
      <c r="H82" s="114">
        <f>ROUND(C81/H81,6)</f>
        <v>6.3559999999999997E-3</v>
      </c>
      <c r="I82" s="115"/>
      <c r="N82" s="601"/>
      <c r="O82" s="601"/>
      <c r="P82" s="601"/>
      <c r="Q82" s="601"/>
      <c r="R82" s="601"/>
      <c r="S82" s="601"/>
      <c r="T82" s="605">
        <f>ROUND(P81/T81,6)</f>
        <v>0</v>
      </c>
      <c r="U82" s="605"/>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455</v>
      </c>
      <c r="D85" s="69"/>
      <c r="E85" s="43" t="s">
        <v>299</v>
      </c>
      <c r="F85" s="302">
        <f>'1461'!F85</f>
        <v>46163704</v>
      </c>
      <c r="G85" s="37" t="s">
        <v>6</v>
      </c>
      <c r="H85" s="422">
        <f>H79</f>
        <v>5.672E-3</v>
      </c>
      <c r="I85" s="101">
        <f>ROUND(F85*H85,2)</f>
        <v>261840.53</v>
      </c>
      <c r="N85" s="453" t="s">
        <v>455</v>
      </c>
      <c r="O85" s="51"/>
      <c r="P85" s="51"/>
      <c r="Q85" s="44"/>
      <c r="R85" s="419">
        <f>F85</f>
        <v>46163704</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87" t="s">
        <v>71</v>
      </c>
      <c r="B87" s="578"/>
      <c r="C87" s="578"/>
      <c r="D87" s="69"/>
      <c r="E87" s="43"/>
      <c r="F87" s="117"/>
      <c r="G87" s="37"/>
      <c r="H87" s="422"/>
      <c r="I87" s="101"/>
      <c r="N87" s="600" t="s">
        <v>463</v>
      </c>
      <c r="O87" s="601"/>
      <c r="P87" s="601"/>
      <c r="Q87" s="51"/>
      <c r="R87" s="420"/>
      <c r="S87" s="51"/>
      <c r="T87" s="38"/>
      <c r="U87" s="478"/>
    </row>
    <row r="88" spans="1:21" x14ac:dyDescent="0.25">
      <c r="A88" s="587" t="s">
        <v>99</v>
      </c>
      <c r="B88" s="578"/>
      <c r="C88" s="578"/>
      <c r="D88" s="69"/>
      <c r="E88" s="43" t="s">
        <v>3</v>
      </c>
      <c r="F88" s="302">
        <f>'1461'!F88</f>
        <v>0</v>
      </c>
      <c r="G88" s="37" t="s">
        <v>6</v>
      </c>
      <c r="H88" s="422">
        <f>H70</f>
        <v>5.6629999999999996E-3</v>
      </c>
      <c r="I88" s="101">
        <f>ROUND(F88*H88,2)</f>
        <v>0</v>
      </c>
      <c r="N88" s="638" t="s">
        <v>99</v>
      </c>
      <c r="O88" s="601"/>
      <c r="P88" s="601"/>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456</v>
      </c>
      <c r="D90" s="69"/>
      <c r="E90" s="43" t="s">
        <v>421</v>
      </c>
      <c r="F90" s="302">
        <f>'1461'!F90</f>
        <v>19042026</v>
      </c>
      <c r="G90" s="37" t="s">
        <v>6</v>
      </c>
      <c r="H90" s="422">
        <f>H82</f>
        <v>6.3559999999999997E-3</v>
      </c>
      <c r="I90" s="101">
        <f>ROUND(F90*H90,2)</f>
        <v>121031.12</v>
      </c>
      <c r="N90" s="453" t="s">
        <v>456</v>
      </c>
      <c r="O90" s="51"/>
      <c r="P90" s="51"/>
      <c r="Q90" s="44"/>
      <c r="R90" s="419">
        <f>F90</f>
        <v>19042026</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457</v>
      </c>
      <c r="D92" s="69"/>
      <c r="E92" s="43" t="s">
        <v>3</v>
      </c>
      <c r="F92" s="302">
        <f>'1461'!F92</f>
        <v>11441151</v>
      </c>
      <c r="G92" s="37" t="s">
        <v>6</v>
      </c>
      <c r="H92" s="422">
        <f>H76</f>
        <v>6.3439999999999998E-3</v>
      </c>
      <c r="I92" s="101">
        <f t="shared" ref="I92:I96" si="14">ROUND(F92*H92,2)</f>
        <v>72582.66</v>
      </c>
      <c r="N92" s="453" t="s">
        <v>457</v>
      </c>
      <c r="O92" s="51"/>
      <c r="P92" s="51"/>
      <c r="Q92" s="44"/>
      <c r="R92" s="419">
        <f t="shared" ref="R92:R96" si="15">F92</f>
        <v>11441151</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84" t="s">
        <v>422</v>
      </c>
      <c r="B94" s="578"/>
      <c r="C94" s="578"/>
      <c r="D94" s="69"/>
      <c r="E94" s="43" t="s">
        <v>4</v>
      </c>
      <c r="F94" s="302">
        <f>'1461'!F94</f>
        <v>247265670</v>
      </c>
      <c r="G94" s="37" t="s">
        <v>6</v>
      </c>
      <c r="H94" s="422">
        <f>H73</f>
        <v>5.365E-3</v>
      </c>
      <c r="I94" s="101">
        <f t="shared" si="14"/>
        <v>1326580.32</v>
      </c>
      <c r="N94" s="601" t="s">
        <v>422</v>
      </c>
      <c r="O94" s="601"/>
      <c r="P94" s="601"/>
      <c r="Q94" s="44"/>
      <c r="R94" s="419">
        <f t="shared" si="15"/>
        <v>247265670</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4" t="s">
        <v>423</v>
      </c>
      <c r="B96" s="578"/>
      <c r="C96" s="578"/>
      <c r="D96" s="69"/>
      <c r="E96" s="43" t="s">
        <v>4</v>
      </c>
      <c r="F96" s="302">
        <f>'1461'!F96</f>
        <v>0</v>
      </c>
      <c r="G96" s="37" t="s">
        <v>6</v>
      </c>
      <c r="H96" s="422">
        <f>H73</f>
        <v>5.365E-3</v>
      </c>
      <c r="I96" s="101">
        <f t="shared" si="14"/>
        <v>0</v>
      </c>
      <c r="N96" s="600" t="s">
        <v>423</v>
      </c>
      <c r="O96" s="601"/>
      <c r="P96" s="601"/>
      <c r="Q96" s="44"/>
      <c r="R96" s="419">
        <f t="shared" si="15"/>
        <v>0</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530" t="s">
        <v>497</v>
      </c>
      <c r="B98" s="529"/>
      <c r="C98" s="529"/>
      <c r="D98" s="529"/>
      <c r="E98" s="527" t="s">
        <v>3</v>
      </c>
      <c r="F98" s="290">
        <v>0</v>
      </c>
      <c r="G98" s="528" t="s">
        <v>6</v>
      </c>
      <c r="H98" s="422">
        <f>H70</f>
        <v>5.6629999999999996E-3</v>
      </c>
      <c r="I98" s="101">
        <f t="shared" ref="I98" si="16">ROUND(F98*H98,2)</f>
        <v>0</v>
      </c>
      <c r="N98" s="533" t="s">
        <v>497</v>
      </c>
      <c r="O98" s="533"/>
      <c r="P98" s="533"/>
      <c r="Q98" s="44"/>
      <c r="R98" s="536">
        <f>F98</f>
        <v>0</v>
      </c>
      <c r="S98" s="534" t="s">
        <v>6</v>
      </c>
      <c r="T98" s="421">
        <f>T70</f>
        <v>0</v>
      </c>
      <c r="U98" s="473">
        <f>ROUND(R98*T98,2)</f>
        <v>0</v>
      </c>
    </row>
    <row r="99" spans="1:21" x14ac:dyDescent="0.25">
      <c r="A99" s="530"/>
      <c r="B99" s="529"/>
      <c r="C99" s="529"/>
      <c r="D99" s="529"/>
      <c r="E99" s="527"/>
      <c r="F99" s="276"/>
      <c r="G99" s="528"/>
      <c r="H99" s="422"/>
      <c r="I99" s="101"/>
      <c r="N99" s="533"/>
      <c r="O99" s="533"/>
      <c r="P99" s="533"/>
      <c r="Q99" s="44"/>
      <c r="R99" s="535"/>
      <c r="S99" s="534"/>
      <c r="T99" s="421"/>
      <c r="U99" s="477"/>
    </row>
    <row r="100" spans="1:21" x14ac:dyDescent="0.25">
      <c r="A100" s="530"/>
      <c r="B100" s="529"/>
      <c r="C100" s="529"/>
      <c r="D100" s="529"/>
      <c r="E100" s="527"/>
      <c r="F100" s="276"/>
      <c r="G100" s="528"/>
      <c r="H100" s="422"/>
      <c r="I100" s="101"/>
      <c r="N100" s="533"/>
      <c r="O100" s="533"/>
      <c r="P100" s="533"/>
      <c r="Q100" s="44"/>
      <c r="R100" s="420"/>
      <c r="S100" s="534"/>
      <c r="T100" s="421"/>
      <c r="U100" s="103"/>
    </row>
    <row r="101" spans="1:21" x14ac:dyDescent="0.25">
      <c r="A101" s="399" t="s">
        <v>498</v>
      </c>
      <c r="N101" s="407" t="s">
        <v>498</v>
      </c>
      <c r="O101" s="51"/>
      <c r="P101" s="51"/>
      <c r="Q101" s="51"/>
      <c r="R101" s="51"/>
      <c r="S101" s="51"/>
      <c r="T101" s="51"/>
      <c r="U101" s="51"/>
    </row>
    <row r="102" spans="1:21" x14ac:dyDescent="0.25">
      <c r="B102" s="69"/>
      <c r="C102" s="563" t="s">
        <v>60</v>
      </c>
      <c r="D102" s="563"/>
      <c r="E102" s="69"/>
      <c r="F102" s="39" t="s">
        <v>28</v>
      </c>
      <c r="G102" s="69"/>
      <c r="H102" s="69"/>
      <c r="I102" s="69"/>
      <c r="N102" s="45"/>
      <c r="O102" s="45"/>
      <c r="P102" s="45"/>
      <c r="Q102" s="45"/>
      <c r="R102" s="45"/>
      <c r="S102" s="45"/>
      <c r="T102" s="45"/>
      <c r="U102" s="45"/>
    </row>
    <row r="103" spans="1:21" x14ac:dyDescent="0.25">
      <c r="A103" s="3"/>
      <c r="B103" s="118"/>
      <c r="C103" s="564" t="s">
        <v>101</v>
      </c>
      <c r="D103" s="564"/>
      <c r="E103" s="423" t="s">
        <v>426</v>
      </c>
      <c r="F103" s="120" t="s">
        <v>106</v>
      </c>
      <c r="G103" s="121"/>
      <c r="H103" s="121"/>
      <c r="I103" s="121"/>
      <c r="N103" s="631" t="s">
        <v>35</v>
      </c>
      <c r="O103" s="631"/>
      <c r="P103" s="672" t="s">
        <v>428</v>
      </c>
      <c r="Q103" s="633"/>
      <c r="R103" s="604" t="s">
        <v>31</v>
      </c>
      <c r="S103" s="604"/>
      <c r="T103" s="604"/>
      <c r="U103" s="604"/>
    </row>
    <row r="104" spans="1:21" x14ac:dyDescent="0.25">
      <c r="A104" s="26"/>
      <c r="B104" s="52" t="s">
        <v>105</v>
      </c>
      <c r="C104" s="596">
        <f>H14+H15+H20+H23+H26</f>
        <v>592.50319999999999</v>
      </c>
      <c r="D104" s="596"/>
      <c r="E104" s="46">
        <f>H8</f>
        <v>1.0407999999999999</v>
      </c>
      <c r="F104" s="303">
        <f>'1461'!F104</f>
        <v>950.92</v>
      </c>
      <c r="G104" s="39" t="s">
        <v>12</v>
      </c>
      <c r="H104" s="101">
        <f>ROUND(C104*E104*F104,2)</f>
        <v>586410.81000000006</v>
      </c>
      <c r="I104" s="104"/>
      <c r="N104" s="28" t="s">
        <v>17</v>
      </c>
      <c r="O104" s="47">
        <f>T14+T15+T20+T23+T26</f>
        <v>0</v>
      </c>
      <c r="P104" s="611">
        <f>T8</f>
        <v>1.0407999999999999</v>
      </c>
      <c r="Q104" s="611"/>
      <c r="R104" s="48">
        <f>F104</f>
        <v>950.92</v>
      </c>
      <c r="S104" s="40" t="s">
        <v>12</v>
      </c>
      <c r="T104" s="479">
        <f>ROUND(O104*P104*R104,2)</f>
        <v>0</v>
      </c>
      <c r="U104" s="102"/>
    </row>
    <row r="105" spans="1:21" x14ac:dyDescent="0.25">
      <c r="A105" s="49"/>
      <c r="B105" s="49" t="s">
        <v>104</v>
      </c>
      <c r="C105" s="596">
        <f>H16+H17+H21+H24+H27</f>
        <v>667.59230000000002</v>
      </c>
      <c r="D105" s="596"/>
      <c r="E105" s="46">
        <f>H8</f>
        <v>1.0407999999999999</v>
      </c>
      <c r="F105" s="303">
        <f>'1461'!F105</f>
        <v>907.92</v>
      </c>
      <c r="G105" s="39" t="s">
        <v>12</v>
      </c>
      <c r="H105" s="101">
        <f>ROUND(C105*E105*F105,2)</f>
        <v>630850.11</v>
      </c>
      <c r="N105" s="50" t="s">
        <v>13</v>
      </c>
      <c r="O105" s="47">
        <f>T16+T17+T21+T24+T27</f>
        <v>0</v>
      </c>
      <c r="P105" s="611">
        <f>T8</f>
        <v>1.0407999999999999</v>
      </c>
      <c r="Q105" s="611"/>
      <c r="R105" s="48">
        <f>F105</f>
        <v>907.92</v>
      </c>
      <c r="S105" s="40" t="s">
        <v>12</v>
      </c>
      <c r="T105" s="479">
        <f>ROUND(O105*P105*R105,2)</f>
        <v>0</v>
      </c>
      <c r="U105" s="51"/>
    </row>
    <row r="106" spans="1:21" ht="16.5" thickBot="1" x14ac:dyDescent="0.3">
      <c r="A106" s="52"/>
      <c r="B106" s="52" t="s">
        <v>103</v>
      </c>
      <c r="C106" s="596">
        <f>H18+H19+H22+H25+H28+H29</f>
        <v>0</v>
      </c>
      <c r="D106" s="596"/>
      <c r="E106" s="46">
        <f>H8</f>
        <v>1.0407999999999999</v>
      </c>
      <c r="F106" s="303">
        <f>'1461'!F106</f>
        <v>910.12</v>
      </c>
      <c r="G106" s="39" t="s">
        <v>12</v>
      </c>
      <c r="H106" s="94">
        <f>ROUND(C106*E106*F106,2)</f>
        <v>0</v>
      </c>
      <c r="N106" s="53" t="s">
        <v>14</v>
      </c>
      <c r="O106" s="54">
        <f>T18+T19+T22+T25+T28+T29</f>
        <v>0</v>
      </c>
      <c r="P106" s="611">
        <f>T8</f>
        <v>1.0407999999999999</v>
      </c>
      <c r="Q106" s="611"/>
      <c r="R106" s="48">
        <f>F106</f>
        <v>910.12</v>
      </c>
      <c r="S106" s="40" t="s">
        <v>12</v>
      </c>
      <c r="T106" s="479">
        <f>ROUND(O106*P106*R106,2)</f>
        <v>0</v>
      </c>
      <c r="U106" s="51"/>
    </row>
    <row r="107" spans="1:21" ht="16.5" thickBot="1" x14ac:dyDescent="0.3">
      <c r="A107" s="55"/>
      <c r="B107" s="122" t="s">
        <v>102</v>
      </c>
      <c r="C107" s="586">
        <f>SUM(C104:C106)</f>
        <v>1260.0954999999999</v>
      </c>
      <c r="D107" s="586"/>
      <c r="E107" s="123"/>
      <c r="F107" s="123"/>
      <c r="G107" s="123"/>
      <c r="H107" s="124" t="s">
        <v>100</v>
      </c>
      <c r="I107" s="101">
        <f>IF(A1=75,0,H106+H105+H104)</f>
        <v>1217260.92</v>
      </c>
      <c r="N107" s="56" t="s">
        <v>89</v>
      </c>
      <c r="O107" s="57">
        <f>SUM(O104:O106)</f>
        <v>0</v>
      </c>
      <c r="P107" s="612" t="s">
        <v>16</v>
      </c>
      <c r="Q107" s="613"/>
      <c r="R107" s="613"/>
      <c r="S107" s="613"/>
      <c r="T107" s="613"/>
      <c r="U107" s="473">
        <f>IF(N1=75,0,T106+T105+T104)</f>
        <v>0</v>
      </c>
    </row>
    <row r="108" spans="1:21" ht="16.5" thickTop="1" x14ac:dyDescent="0.25">
      <c r="A108" s="555" t="s">
        <v>65</v>
      </c>
      <c r="B108" s="555"/>
      <c r="C108" s="555"/>
      <c r="D108" s="555"/>
      <c r="E108" s="555"/>
      <c r="F108" s="555"/>
      <c r="G108" s="555"/>
      <c r="H108" s="555"/>
      <c r="I108" s="555"/>
      <c r="N108" s="614" t="s">
        <v>65</v>
      </c>
      <c r="O108" s="614"/>
      <c r="P108" s="614"/>
      <c r="Q108" s="614"/>
      <c r="R108" s="614"/>
      <c r="S108" s="614"/>
      <c r="T108" s="614"/>
      <c r="U108" s="614"/>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0" t="s">
        <v>499</v>
      </c>
      <c r="C110" s="43"/>
      <c r="D110" s="69"/>
      <c r="E110" s="43" t="s">
        <v>32</v>
      </c>
      <c r="F110" s="556"/>
      <c r="G110" s="556"/>
      <c r="H110" s="556"/>
      <c r="I110" s="556"/>
      <c r="N110" s="600" t="s">
        <v>499</v>
      </c>
      <c r="O110" s="601"/>
      <c r="P110" s="601"/>
      <c r="Q110" s="615"/>
      <c r="R110" s="615"/>
      <c r="S110" s="615"/>
      <c r="T110" s="615"/>
      <c r="U110" s="103"/>
    </row>
    <row r="111" spans="1:21" x14ac:dyDescent="0.25">
      <c r="B111" s="69"/>
      <c r="C111" s="88" t="s">
        <v>494</v>
      </c>
      <c r="D111" s="333" t="s">
        <v>495</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57" t="s">
        <v>381</v>
      </c>
      <c r="B113" s="558"/>
      <c r="C113" s="143">
        <v>186</v>
      </c>
      <c r="D113" s="143">
        <v>211</v>
      </c>
      <c r="E113" s="116">
        <f>(C113+D113)/2</f>
        <v>198.5</v>
      </c>
      <c r="F113" s="126" t="s">
        <v>30</v>
      </c>
      <c r="G113" s="304">
        <f>'1461'!G113</f>
        <v>576</v>
      </c>
      <c r="I113" s="101">
        <f>ROUND(G113*E113,2)</f>
        <v>114336</v>
      </c>
      <c r="N113" s="630" t="s">
        <v>52</v>
      </c>
      <c r="O113" s="630"/>
      <c r="P113" s="610">
        <f>IF(H133=1,E113,0)</f>
        <v>0</v>
      </c>
      <c r="Q113" s="610"/>
      <c r="R113" s="610"/>
      <c r="S113" s="83" t="s">
        <v>30</v>
      </c>
      <c r="T113" s="58">
        <f>G113</f>
        <v>576</v>
      </c>
      <c r="U113" s="473">
        <f>ROUND(T113*P113,2)</f>
        <v>0</v>
      </c>
    </row>
    <row r="114" spans="1:21" x14ac:dyDescent="0.25">
      <c r="A114" s="557" t="s">
        <v>382</v>
      </c>
      <c r="B114" s="558"/>
      <c r="C114" s="143">
        <v>0</v>
      </c>
      <c r="D114" s="143">
        <v>0</v>
      </c>
      <c r="E114" s="116">
        <f>(C114+D114)/2</f>
        <v>0</v>
      </c>
      <c r="F114" s="126" t="s">
        <v>30</v>
      </c>
      <c r="G114" s="304">
        <f>'1461'!G114</f>
        <v>1823</v>
      </c>
      <c r="I114" s="101">
        <f>ROUND(G114*E114,2)</f>
        <v>0</v>
      </c>
      <c r="N114" s="630" t="s">
        <v>64</v>
      </c>
      <c r="O114" s="630"/>
      <c r="P114" s="608"/>
      <c r="Q114" s="608"/>
      <c r="R114" s="608"/>
      <c r="S114" s="83" t="s">
        <v>30</v>
      </c>
      <c r="T114" s="58">
        <f>G114</f>
        <v>1823</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4" t="s">
        <v>430</v>
      </c>
      <c r="B117" s="578"/>
      <c r="C117" s="578"/>
      <c r="D117" s="69"/>
      <c r="E117" s="39" t="s">
        <v>300</v>
      </c>
      <c r="F117" s="563"/>
      <c r="G117" s="563"/>
      <c r="H117" s="563"/>
      <c r="I117" s="563"/>
      <c r="N117" s="600" t="s">
        <v>431</v>
      </c>
      <c r="O117" s="601"/>
      <c r="P117" s="601"/>
      <c r="Q117" s="601"/>
      <c r="R117" s="601"/>
      <c r="S117" s="601"/>
      <c r="T117" s="601"/>
      <c r="U117" s="601"/>
    </row>
    <row r="118" spans="1:21" hidden="1" x14ac:dyDescent="0.25">
      <c r="B118" s="69"/>
      <c r="C118" s="564" t="s">
        <v>66</v>
      </c>
      <c r="D118" s="564"/>
      <c r="E118" s="564"/>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5" t="s">
        <v>109</v>
      </c>
      <c r="G119" s="563"/>
      <c r="H119" s="37" t="s">
        <v>29</v>
      </c>
      <c r="I119" s="37"/>
      <c r="N119" s="45"/>
      <c r="O119" s="45"/>
      <c r="P119" s="45"/>
      <c r="Q119" s="45"/>
      <c r="R119" s="45"/>
      <c r="S119" s="45"/>
      <c r="T119" s="45"/>
      <c r="U119" s="45"/>
    </row>
    <row r="120" spans="1:21" hidden="1" x14ac:dyDescent="0.25">
      <c r="A120" s="564" t="s">
        <v>69</v>
      </c>
      <c r="B120" s="564"/>
      <c r="C120" s="90" t="s">
        <v>2</v>
      </c>
      <c r="D120" s="90" t="s">
        <v>2</v>
      </c>
      <c r="E120" s="59" t="s">
        <v>2</v>
      </c>
      <c r="F120" s="564" t="s">
        <v>28</v>
      </c>
      <c r="G120" s="564"/>
      <c r="H120" s="59" t="s">
        <v>28</v>
      </c>
      <c r="I120" s="59" t="s">
        <v>8</v>
      </c>
      <c r="N120" s="609" t="s">
        <v>53</v>
      </c>
      <c r="O120" s="609"/>
      <c r="P120" s="610" t="s">
        <v>66</v>
      </c>
      <c r="Q120" s="610"/>
      <c r="R120" s="609" t="s">
        <v>54</v>
      </c>
      <c r="S120" s="609"/>
      <c r="T120" s="60" t="s">
        <v>55</v>
      </c>
      <c r="U120" s="60" t="s">
        <v>8</v>
      </c>
    </row>
    <row r="121" spans="1:21" hidden="1" x14ac:dyDescent="0.25">
      <c r="A121" s="561" t="s">
        <v>56</v>
      </c>
      <c r="B121" s="561"/>
      <c r="C121" s="141">
        <v>0</v>
      </c>
      <c r="D121" s="141">
        <v>0</v>
      </c>
      <c r="E121" s="187">
        <f>IF(D30=0,C121*2,C121+D121)</f>
        <v>0</v>
      </c>
      <c r="F121" s="562">
        <v>0</v>
      </c>
      <c r="G121" s="562"/>
      <c r="H121" s="224">
        <f>IF(C121=0,0,125)</f>
        <v>0</v>
      </c>
      <c r="I121" s="101">
        <f>ROUND((H121+F121)*E121,2)</f>
        <v>0</v>
      </c>
      <c r="N121" s="601" t="s">
        <v>56</v>
      </c>
      <c r="O121" s="601"/>
      <c r="P121" s="608">
        <f>IF(H$133=1,C121,0)</f>
        <v>0</v>
      </c>
      <c r="Q121" s="608"/>
      <c r="R121" s="628">
        <f>F121</f>
        <v>0</v>
      </c>
      <c r="S121" s="628"/>
      <c r="T121" s="62">
        <f>H121</f>
        <v>0</v>
      </c>
      <c r="U121" s="96">
        <f>ROUND((T121+R121)*P121,0)</f>
        <v>0</v>
      </c>
    </row>
    <row r="122" spans="1:21" hidden="1" x14ac:dyDescent="0.25">
      <c r="A122" s="581" t="s">
        <v>57</v>
      </c>
      <c r="B122" s="581"/>
      <c r="C122" s="143">
        <v>0</v>
      </c>
      <c r="D122" s="143">
        <v>0</v>
      </c>
      <c r="E122" s="116">
        <f>IF(D31=0,C122*2,C122+D122)</f>
        <v>0</v>
      </c>
      <c r="F122" s="598">
        <f>ROUND(F121/2,2)</f>
        <v>0</v>
      </c>
      <c r="G122" s="598"/>
      <c r="H122" s="224">
        <f>IF(C122=0,0,62.5)</f>
        <v>0</v>
      </c>
      <c r="I122" s="101">
        <f>ROUND((H122+F122)*E122,2)</f>
        <v>0</v>
      </c>
      <c r="N122" s="601" t="s">
        <v>57</v>
      </c>
      <c r="O122" s="601"/>
      <c r="P122" s="608">
        <f>IF(H$133=1,C122,0)</f>
        <v>0</v>
      </c>
      <c r="Q122" s="608"/>
      <c r="R122" s="629">
        <f>ROUND(R121/2,2)</f>
        <v>0</v>
      </c>
      <c r="S122" s="629"/>
      <c r="T122" s="62">
        <f>H122</f>
        <v>0</v>
      </c>
      <c r="U122" s="96">
        <f>ROUND((T122+R122)*P122,0)</f>
        <v>0</v>
      </c>
    </row>
    <row r="123" spans="1:21" ht="16.5" hidden="1" thickBot="1" x14ac:dyDescent="0.3">
      <c r="A123" s="581" t="s">
        <v>58</v>
      </c>
      <c r="B123" s="581"/>
      <c r="C123" s="143">
        <v>0</v>
      </c>
      <c r="D123" s="143">
        <v>0</v>
      </c>
      <c r="E123" s="116">
        <f>IF(D32=0,C123*2,C123+D123)</f>
        <v>0</v>
      </c>
      <c r="F123" s="599"/>
      <c r="G123" s="599"/>
      <c r="H123" s="225">
        <f>IF(H121&gt;0,436,0)</f>
        <v>0</v>
      </c>
      <c r="I123" s="101">
        <f>ROUND(H123*E123,2)</f>
        <v>0</v>
      </c>
      <c r="N123" s="616" t="s">
        <v>58</v>
      </c>
      <c r="O123" s="616"/>
      <c r="P123" s="608">
        <f>IF(H$133=1,C123,0)</f>
        <v>0</v>
      </c>
      <c r="Q123" s="608"/>
      <c r="R123" s="609"/>
      <c r="S123" s="609"/>
      <c r="T123" s="64">
        <f>H123</f>
        <v>0</v>
      </c>
      <c r="U123" s="103">
        <f>ROUND(T123*P123,0)</f>
        <v>0</v>
      </c>
    </row>
    <row r="124" spans="1:21" ht="16.5" hidden="1" thickBot="1" x14ac:dyDescent="0.3">
      <c r="A124" s="563" t="s">
        <v>8</v>
      </c>
      <c r="B124" s="563"/>
      <c r="C124" s="65"/>
      <c r="D124" s="65"/>
      <c r="E124" s="65"/>
      <c r="F124" s="65"/>
      <c r="G124" s="65"/>
      <c r="H124" s="65"/>
      <c r="I124" s="97">
        <f>SUM(I121:I123)</f>
        <v>0</v>
      </c>
      <c r="N124" s="627" t="s">
        <v>8</v>
      </c>
      <c r="O124" s="627"/>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4" t="s">
        <v>432</v>
      </c>
      <c r="B126" s="578"/>
      <c r="C126" s="578"/>
      <c r="D126" s="69"/>
      <c r="E126" s="68" t="s">
        <v>34</v>
      </c>
      <c r="F126" s="597"/>
      <c r="G126" s="597"/>
      <c r="H126" s="597"/>
      <c r="I126" s="154">
        <v>0</v>
      </c>
      <c r="N126" s="600" t="s">
        <v>432</v>
      </c>
      <c r="O126" s="601"/>
      <c r="P126" s="601"/>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90" t="s">
        <v>8</v>
      </c>
      <c r="B128" s="590"/>
      <c r="C128" s="590"/>
      <c r="D128" s="590"/>
      <c r="E128" s="590"/>
      <c r="F128" s="590"/>
      <c r="G128" s="590"/>
      <c r="H128" s="590"/>
      <c r="I128" s="94">
        <f>SUM(I46,I66,I85,I88,I90,I92,I94,I96,I107,I113,I114,I124,I126)</f>
        <v>10290752.65</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434</v>
      </c>
      <c r="B130" s="26"/>
      <c r="C130" s="26"/>
      <c r="D130" s="26"/>
      <c r="E130" s="26"/>
      <c r="F130" s="26"/>
      <c r="G130" s="26"/>
      <c r="H130" s="26"/>
      <c r="I130" s="101">
        <f>I128-I53</f>
        <v>9876149.5999999996</v>
      </c>
      <c r="N130" s="601" t="s">
        <v>434</v>
      </c>
      <c r="O130" s="601"/>
      <c r="P130" s="601"/>
      <c r="Q130" s="601"/>
      <c r="R130" s="601"/>
      <c r="S130" s="601"/>
      <c r="T130" s="601"/>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4" t="s">
        <v>502</v>
      </c>
      <c r="B132" s="578"/>
      <c r="C132" s="578"/>
      <c r="D132" s="578"/>
      <c r="E132" s="578"/>
      <c r="F132" s="578"/>
      <c r="G132" s="578"/>
      <c r="H132" s="81" t="s">
        <v>333</v>
      </c>
      <c r="I132" s="134"/>
      <c r="N132" s="600" t="s">
        <v>502</v>
      </c>
      <c r="O132" s="601"/>
      <c r="P132" s="601"/>
      <c r="Q132" s="601"/>
      <c r="R132" s="601"/>
      <c r="S132" s="601"/>
      <c r="T132" s="601"/>
      <c r="U132" s="138"/>
    </row>
    <row r="133" spans="1:21" x14ac:dyDescent="0.25">
      <c r="A133" s="578" t="s">
        <v>70</v>
      </c>
      <c r="B133" s="578"/>
      <c r="C133" s="578"/>
      <c r="D133" s="578"/>
      <c r="E133" s="578"/>
      <c r="F133" s="578"/>
      <c r="G133" s="578"/>
      <c r="H133" s="70" t="str">
        <f>IF(E30=0,"",IF((E15+E17+SUM(E19:E25))/E30&gt;0.75,1,""))</f>
        <v/>
      </c>
      <c r="I133" s="116">
        <f>U130</f>
        <v>0</v>
      </c>
      <c r="N133" s="601" t="s">
        <v>70</v>
      </c>
      <c r="O133" s="601"/>
      <c r="P133" s="601"/>
      <c r="Q133" s="601"/>
      <c r="R133" s="601"/>
      <c r="S133" s="601"/>
      <c r="T133" s="601"/>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9876149.5999999996</v>
      </c>
      <c r="I135" s="94">
        <f>ROUND(IF(E30=0,0,IF(E30&gt;250,-(((250/E30)*H135)*IF(G135="H",0.02,0.05)),IF(G135="H",-0.02*H135,-0.05*H135))),2)</f>
        <v>-103688.79</v>
      </c>
      <c r="N135" s="626"/>
      <c r="O135" s="626"/>
      <c r="P135" s="626"/>
      <c r="Q135" s="626"/>
      <c r="R135" s="626"/>
      <c r="S135" s="626"/>
      <c r="T135" s="626"/>
      <c r="U135" s="626"/>
    </row>
    <row r="136" spans="1:21" x14ac:dyDescent="0.25">
      <c r="B136" s="69"/>
      <c r="C136" s="69"/>
      <c r="D136" s="69"/>
      <c r="E136" s="69"/>
      <c r="F136" s="69"/>
      <c r="G136" s="69"/>
      <c r="H136" s="65"/>
      <c r="I136" s="101"/>
      <c r="N136" s="624" t="s">
        <v>7</v>
      </c>
      <c r="O136" s="624"/>
      <c r="P136" s="624"/>
      <c r="Q136" s="624"/>
      <c r="R136" s="624"/>
      <c r="S136" s="624"/>
      <c r="T136" s="624"/>
      <c r="U136" s="624"/>
    </row>
    <row r="137" spans="1:21" x14ac:dyDescent="0.25">
      <c r="A137" s="309" t="s">
        <v>74</v>
      </c>
      <c r="B137" s="310"/>
      <c r="C137" s="310"/>
      <c r="D137" s="310"/>
      <c r="E137" s="310"/>
      <c r="F137" s="310"/>
      <c r="G137" s="310"/>
      <c r="H137" s="311"/>
      <c r="I137" s="312">
        <f>I128+I135</f>
        <v>10187063.860000001</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Payments'!Q99</f>
        <v>0</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10187063.860000001</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848921.99</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390118.69</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372</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373</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374</v>
      </c>
      <c r="B155" s="252"/>
      <c r="C155" s="252"/>
      <c r="D155" s="252"/>
      <c r="E155" s="252"/>
      <c r="F155" s="252"/>
      <c r="G155" s="252"/>
      <c r="H155" s="252"/>
      <c r="I155" s="252"/>
      <c r="N155" s="625"/>
      <c r="O155" s="625"/>
      <c r="P155" s="625"/>
      <c r="Q155" s="625"/>
      <c r="R155" s="625"/>
      <c r="S155" s="625"/>
      <c r="T155" s="625"/>
      <c r="U155" s="625"/>
    </row>
    <row r="156" spans="1:21" s="76" customFormat="1" x14ac:dyDescent="0.2">
      <c r="A156" s="320" t="s">
        <v>375</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376</v>
      </c>
      <c r="B157" s="252"/>
      <c r="C157" s="252"/>
      <c r="D157" s="252"/>
      <c r="E157" s="252"/>
      <c r="F157" s="252"/>
      <c r="G157" s="252"/>
      <c r="H157" s="252"/>
      <c r="I157" s="252"/>
      <c r="N157" s="78"/>
      <c r="O157" s="79"/>
      <c r="P157" s="79"/>
      <c r="Q157" s="79"/>
      <c r="R157" s="79"/>
      <c r="S157" s="79"/>
      <c r="T157" s="79"/>
      <c r="U157" s="79"/>
    </row>
    <row r="158" spans="1:21" s="76" customFormat="1" x14ac:dyDescent="0.2">
      <c r="A158" s="320" t="s">
        <v>377</v>
      </c>
      <c r="B158" s="252"/>
      <c r="C158" s="252"/>
      <c r="D158" s="252"/>
      <c r="E158" s="252"/>
      <c r="F158" s="252"/>
      <c r="G158" s="252"/>
      <c r="H158" s="252"/>
      <c r="I158" s="252"/>
      <c r="N158" s="78"/>
    </row>
    <row r="159" spans="1:21" s="76" customFormat="1" x14ac:dyDescent="0.2">
      <c r="A159" s="320" t="s">
        <v>379</v>
      </c>
      <c r="B159" s="252"/>
      <c r="C159" s="252"/>
      <c r="D159" s="252"/>
      <c r="E159" s="252"/>
      <c r="F159" s="252"/>
      <c r="G159" s="252"/>
      <c r="H159" s="252"/>
      <c r="I159" s="252"/>
      <c r="N159" s="78"/>
    </row>
    <row r="160" spans="1:21" s="76" customFormat="1" x14ac:dyDescent="0.2">
      <c r="A160" s="385" t="s">
        <v>378</v>
      </c>
      <c r="B160" s="252"/>
      <c r="C160" s="252"/>
      <c r="D160" s="252"/>
      <c r="E160" s="252"/>
      <c r="F160" s="252"/>
      <c r="G160" s="252"/>
      <c r="H160" s="252"/>
      <c r="I160" s="252"/>
      <c r="N160" s="78"/>
    </row>
    <row r="161" spans="1:14" s="76" customFormat="1" x14ac:dyDescent="0.2">
      <c r="A161" s="320" t="s">
        <v>380</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383</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385</v>
      </c>
      <c r="B165" s="293"/>
      <c r="C165" s="293"/>
      <c r="D165" s="293"/>
      <c r="E165" s="293"/>
      <c r="F165" s="293"/>
      <c r="G165" s="293"/>
      <c r="H165" s="293"/>
      <c r="I165" s="293"/>
      <c r="N165" s="78"/>
    </row>
    <row r="166" spans="1:14" s="76" customFormat="1" ht="15.75" customHeight="1" x14ac:dyDescent="0.2">
      <c r="A166" s="351" t="s">
        <v>384</v>
      </c>
      <c r="B166" s="293"/>
      <c r="C166" s="293"/>
      <c r="D166" s="293"/>
      <c r="E166" s="293"/>
      <c r="F166" s="293"/>
      <c r="G166" s="293"/>
      <c r="H166" s="293"/>
      <c r="I166" s="293"/>
      <c r="N166" s="78"/>
    </row>
    <row r="167" spans="1:14" s="76" customFormat="1" ht="15.75" customHeight="1" x14ac:dyDescent="0.2">
      <c r="A167" s="320" t="s">
        <v>386</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388</v>
      </c>
      <c r="B169" s="343"/>
      <c r="C169" s="343"/>
      <c r="D169" s="343"/>
      <c r="E169" s="343"/>
      <c r="F169" s="343"/>
      <c r="G169" s="343"/>
      <c r="H169" s="343"/>
      <c r="I169" s="343"/>
      <c r="N169" s="78"/>
    </row>
    <row r="170" spans="1:14" s="76" customFormat="1" ht="15.75" customHeight="1" x14ac:dyDescent="0.2">
      <c r="A170" s="351" t="s">
        <v>387</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389</v>
      </c>
      <c r="B175" s="293"/>
      <c r="C175" s="293"/>
      <c r="D175" s="293"/>
      <c r="E175" s="293"/>
      <c r="F175" s="293"/>
      <c r="G175" s="293"/>
      <c r="H175" s="293"/>
      <c r="I175" s="293"/>
      <c r="J175" s="3"/>
      <c r="K175" s="3"/>
      <c r="L175" s="3"/>
      <c r="M175" s="3"/>
      <c r="N175" s="78"/>
    </row>
    <row r="176" spans="1:14" s="76" customFormat="1" ht="15.75" customHeight="1" x14ac:dyDescent="0.2">
      <c r="A176" s="361" t="s">
        <v>390</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F26:G26"/>
    <mergeCell ref="N26:O26"/>
    <mergeCell ref="P26:Q26"/>
    <mergeCell ref="R26:S26"/>
    <mergeCell ref="A27:B27"/>
    <mergeCell ref="F27:G27"/>
    <mergeCell ref="N27:O27"/>
    <mergeCell ref="P27:Q27"/>
    <mergeCell ref="R27:S27"/>
    <mergeCell ref="A26:B26"/>
    <mergeCell ref="N24:O24"/>
    <mergeCell ref="P24:Q24"/>
    <mergeCell ref="R24:S24"/>
    <mergeCell ref="A25:B25"/>
    <mergeCell ref="F25:G25"/>
    <mergeCell ref="N25:O25"/>
    <mergeCell ref="P25:Q25"/>
    <mergeCell ref="R25:S25"/>
    <mergeCell ref="A24:B24"/>
    <mergeCell ref="F24:G24"/>
    <mergeCell ref="N22:O22"/>
    <mergeCell ref="P22:Q22"/>
    <mergeCell ref="R22:S22"/>
    <mergeCell ref="A23:B23"/>
    <mergeCell ref="F23:G23"/>
    <mergeCell ref="N23:O23"/>
    <mergeCell ref="P23:Q23"/>
    <mergeCell ref="R23:S23"/>
    <mergeCell ref="A22:B22"/>
    <mergeCell ref="F22:G22"/>
    <mergeCell ref="N20:O20"/>
    <mergeCell ref="P20:Q20"/>
    <mergeCell ref="R20:S20"/>
    <mergeCell ref="A21:B21"/>
    <mergeCell ref="F21:G21"/>
    <mergeCell ref="N21:O21"/>
    <mergeCell ref="P21:Q21"/>
    <mergeCell ref="R21:S21"/>
    <mergeCell ref="A20:B20"/>
    <mergeCell ref="F20:G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6">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1" width="14.5703125" style="3" bestFit="1" customWidth="1"/>
    <col min="12"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6" t="s">
        <v>15</v>
      </c>
      <c r="C1" s="567"/>
      <c r="D1" s="567"/>
      <c r="E1" s="567"/>
      <c r="F1" s="567"/>
      <c r="G1" s="567"/>
      <c r="H1" s="567"/>
      <c r="I1" s="567"/>
      <c r="J1" s="135"/>
      <c r="K1" s="135"/>
      <c r="L1" s="135"/>
      <c r="N1" s="82">
        <f>A1</f>
        <v>0</v>
      </c>
      <c r="O1" s="658" t="s">
        <v>15</v>
      </c>
      <c r="P1" s="659"/>
      <c r="Q1" s="659"/>
      <c r="R1" s="659"/>
      <c r="S1" s="659"/>
      <c r="T1" s="659"/>
      <c r="U1" s="659"/>
    </row>
    <row r="2" spans="1:21" ht="21" x14ac:dyDescent="0.35">
      <c r="A2" s="1" t="s">
        <v>314</v>
      </c>
      <c r="B2" s="2"/>
      <c r="C2" s="2"/>
      <c r="D2" s="2"/>
      <c r="E2" s="2"/>
      <c r="F2" s="2"/>
      <c r="G2" s="2"/>
      <c r="H2" s="2"/>
      <c r="I2" s="2"/>
      <c r="N2" s="660" t="s">
        <v>18</v>
      </c>
      <c r="O2" s="660"/>
      <c r="P2" s="660"/>
      <c r="Q2" s="660"/>
      <c r="R2" s="660"/>
      <c r="S2" s="660"/>
      <c r="T2" s="660"/>
      <c r="U2" s="660"/>
    </row>
    <row r="3" spans="1:21" x14ac:dyDescent="0.25">
      <c r="A3" s="81" t="str">
        <f>'1461'!A3</f>
        <v>Based on the FLDOE 2024-25 Conference Calculation</v>
      </c>
      <c r="N3" s="627" t="str">
        <f>A3</f>
        <v>Based on the FLDOE 2024-25 Conference Calculation</v>
      </c>
      <c r="O3" s="627"/>
      <c r="P3" s="627"/>
      <c r="Q3" s="627"/>
      <c r="R3" s="627"/>
      <c r="S3" s="627"/>
      <c r="T3" s="627"/>
      <c r="U3" s="627"/>
    </row>
    <row r="4" spans="1:21" x14ac:dyDescent="0.25">
      <c r="A4" s="568" t="s">
        <v>0</v>
      </c>
      <c r="B4" s="568"/>
      <c r="C4" s="569" t="s">
        <v>9</v>
      </c>
      <c r="D4" s="569"/>
      <c r="E4" s="569"/>
      <c r="F4" s="4" t="str">
        <f>'1461'!F4</f>
        <v>July 2024</v>
      </c>
      <c r="G4" s="4"/>
      <c r="H4" s="4"/>
      <c r="I4" s="4"/>
      <c r="N4" s="661" t="s">
        <v>0</v>
      </c>
      <c r="O4" s="661"/>
      <c r="P4" s="662" t="str">
        <f>C4</f>
        <v>Palm Beach</v>
      </c>
      <c r="Q4" s="662"/>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70" t="s">
        <v>433</v>
      </c>
      <c r="B7" s="664"/>
      <c r="C7" s="664"/>
      <c r="D7" s="664"/>
      <c r="E7" s="664"/>
      <c r="F7" s="664"/>
      <c r="G7" s="664"/>
      <c r="H7" s="664"/>
      <c r="I7" s="664"/>
      <c r="N7" s="661" t="str">
        <f>A7</f>
        <v>1A.   2023-24 FEFP State and Local Funding</v>
      </c>
      <c r="O7" s="661"/>
      <c r="P7" s="661"/>
      <c r="Q7" s="661"/>
      <c r="R7" s="661"/>
      <c r="S7" s="661"/>
      <c r="T7" s="661"/>
      <c r="U7" s="661"/>
    </row>
    <row r="8" spans="1:21" x14ac:dyDescent="0.25">
      <c r="A8" s="84"/>
      <c r="B8" s="85" t="s">
        <v>92</v>
      </c>
      <c r="C8" s="299">
        <f>'1461'!C8</f>
        <v>5330.98</v>
      </c>
      <c r="D8" s="86"/>
      <c r="E8" s="87"/>
      <c r="F8" s="84"/>
      <c r="G8" s="85" t="s">
        <v>393</v>
      </c>
      <c r="H8" s="287">
        <f>'1461'!H8</f>
        <v>1.0407999999999999</v>
      </c>
      <c r="I8" s="75"/>
      <c r="N8" s="665" t="s">
        <v>10</v>
      </c>
      <c r="O8" s="665"/>
      <c r="P8" s="666">
        <f>C8</f>
        <v>5330.98</v>
      </c>
      <c r="Q8" s="666"/>
      <c r="R8" s="648" t="s">
        <v>394</v>
      </c>
      <c r="S8" s="649"/>
      <c r="T8" s="650">
        <f>H8</f>
        <v>1.0407999999999999</v>
      </c>
      <c r="U8" s="650"/>
    </row>
    <row r="9" spans="1:21" x14ac:dyDescent="0.25">
      <c r="A9" s="84"/>
      <c r="B9" s="85"/>
      <c r="C9" s="222"/>
      <c r="D9" s="86"/>
      <c r="E9" s="87"/>
      <c r="F9" s="84"/>
      <c r="G9" s="85" t="s">
        <v>391</v>
      </c>
      <c r="H9" s="287">
        <f>'1461'!H9</f>
        <v>1</v>
      </c>
      <c r="I9" s="75"/>
      <c r="N9" s="12"/>
      <c r="O9" s="12"/>
      <c r="P9" s="13"/>
      <c r="Q9" s="13"/>
      <c r="R9" s="387" t="s">
        <v>392</v>
      </c>
      <c r="S9" s="384"/>
      <c r="T9" s="650">
        <f>H9</f>
        <v>1</v>
      </c>
      <c r="U9" s="650"/>
    </row>
    <row r="10" spans="1:21" x14ac:dyDescent="0.25">
      <c r="A10" s="7"/>
      <c r="B10" s="42" t="s">
        <v>310</v>
      </c>
      <c r="C10" s="456" t="str">
        <f>'1461'!C10</f>
        <v xml:space="preserve"> </v>
      </c>
      <c r="D10" s="88" t="str">
        <f>'1461'!D10</f>
        <v xml:space="preserve"> </v>
      </c>
      <c r="E10" s="8"/>
      <c r="F10" s="9"/>
      <c r="G10" s="9"/>
      <c r="H10" s="10"/>
      <c r="I10" s="305" t="str">
        <f>'1461'!I10</f>
        <v>2024-25</v>
      </c>
      <c r="J10" s="254"/>
      <c r="K10" s="65"/>
      <c r="L10" s="65"/>
      <c r="N10" s="12"/>
      <c r="O10" s="12"/>
      <c r="P10" s="13"/>
      <c r="Q10" s="13"/>
      <c r="R10" s="14"/>
      <c r="S10" s="14"/>
      <c r="T10" s="15"/>
      <c r="U10" s="366" t="str">
        <f>I10</f>
        <v>2024-25</v>
      </c>
    </row>
    <row r="11" spans="1:21" x14ac:dyDescent="0.25">
      <c r="A11" s="7"/>
      <c r="B11" s="7"/>
      <c r="C11" s="88" t="str">
        <f>'1461'!C11</f>
        <v>Oct 2023</v>
      </c>
      <c r="D11" s="333" t="str">
        <f>'1461'!D11</f>
        <v>Feb 2024</v>
      </c>
      <c r="E11" s="89" t="s">
        <v>8</v>
      </c>
      <c r="F11" s="571" t="s">
        <v>1</v>
      </c>
      <c r="G11" s="571"/>
      <c r="H11" s="10" t="s">
        <v>60</v>
      </c>
      <c r="I11" s="11" t="s">
        <v>27</v>
      </c>
      <c r="J11" s="256"/>
      <c r="K11" s="255"/>
      <c r="L11" s="255"/>
      <c r="N11" s="12"/>
      <c r="O11" s="12"/>
      <c r="P11" s="13"/>
      <c r="Q11" s="13"/>
      <c r="R11" s="651" t="s">
        <v>1</v>
      </c>
      <c r="S11" s="651"/>
      <c r="T11" s="15" t="s">
        <v>60</v>
      </c>
      <c r="U11" s="16" t="s">
        <v>27</v>
      </c>
    </row>
    <row r="12" spans="1:21" ht="15.75" customHeight="1" x14ac:dyDescent="0.25">
      <c r="A12" s="572" t="s">
        <v>1</v>
      </c>
      <c r="B12" s="572"/>
      <c r="C12" s="326" t="str">
        <f>'1461'!C12</f>
        <v>FTE</v>
      </c>
      <c r="D12" s="324" t="str">
        <f>'1461'!D12</f>
        <v>FTE</v>
      </c>
      <c r="E12" s="324" t="s">
        <v>2</v>
      </c>
      <c r="F12" s="573" t="s">
        <v>63</v>
      </c>
      <c r="G12" s="573"/>
      <c r="H12" s="17" t="s">
        <v>59</v>
      </c>
      <c r="I12" s="388" t="s">
        <v>395</v>
      </c>
      <c r="J12" s="254"/>
      <c r="K12" s="255"/>
      <c r="L12" s="255"/>
      <c r="N12" s="639" t="s">
        <v>1</v>
      </c>
      <c r="O12" s="639"/>
      <c r="P12" s="652" t="s">
        <v>19</v>
      </c>
      <c r="Q12" s="652"/>
      <c r="R12" s="653" t="s">
        <v>63</v>
      </c>
      <c r="S12" s="653"/>
      <c r="T12" s="18" t="s">
        <v>59</v>
      </c>
      <c r="U12" s="19" t="str">
        <f>I12</f>
        <v>(WFTE x BSA x CWF x SDF)</v>
      </c>
    </row>
    <row r="13" spans="1:21" x14ac:dyDescent="0.25">
      <c r="A13" s="574" t="s">
        <v>36</v>
      </c>
      <c r="B13" s="574"/>
      <c r="C13" s="91"/>
      <c r="D13" s="91"/>
      <c r="E13" s="92" t="s">
        <v>37</v>
      </c>
      <c r="F13" s="575" t="s">
        <v>38</v>
      </c>
      <c r="G13" s="575"/>
      <c r="H13" s="20" t="s">
        <v>39</v>
      </c>
      <c r="I13" s="21" t="s">
        <v>40</v>
      </c>
      <c r="K13" s="255"/>
      <c r="L13" s="255"/>
      <c r="N13" s="654" t="s">
        <v>36</v>
      </c>
      <c r="O13" s="654"/>
      <c r="P13" s="655" t="s">
        <v>37</v>
      </c>
      <c r="Q13" s="655"/>
      <c r="R13" s="656" t="s">
        <v>38</v>
      </c>
      <c r="S13" s="656"/>
      <c r="T13" s="22" t="s">
        <v>39</v>
      </c>
      <c r="U13" s="23" t="s">
        <v>40</v>
      </c>
    </row>
    <row r="14" spans="1:21" x14ac:dyDescent="0.25">
      <c r="A14" s="576" t="s">
        <v>20</v>
      </c>
      <c r="B14" s="576"/>
      <c r="C14" s="143">
        <v>41.82</v>
      </c>
      <c r="D14" s="141">
        <v>42.32</v>
      </c>
      <c r="E14" s="187">
        <f>IF(D$30=0,C14*2,C14+D14)</f>
        <v>84.14</v>
      </c>
      <c r="F14" s="667">
        <f>'1461'!F14:G14</f>
        <v>1.1180000000000001</v>
      </c>
      <c r="G14" s="667"/>
      <c r="H14" s="145">
        <f>ROUND(E14*F14,4)</f>
        <v>94.0685</v>
      </c>
      <c r="I14" s="111">
        <f>ROUND(ROUND(ROUND(H14*$C$8,4)*($H$8),2)*(MAX($H$9,1)),2)</f>
        <v>521937.57</v>
      </c>
      <c r="N14" s="641" t="s">
        <v>20</v>
      </c>
      <c r="O14" s="641"/>
      <c r="P14" s="642">
        <f t="shared" ref="P14:P29" si="0">IF($H$133=1,E14,0)</f>
        <v>0</v>
      </c>
      <c r="Q14" s="642"/>
      <c r="R14" s="657">
        <v>1</v>
      </c>
      <c r="S14" s="657"/>
      <c r="T14" s="95">
        <f>ROUND(P14*R14,4)</f>
        <v>0</v>
      </c>
      <c r="U14" s="473">
        <f>ROUND(ROUND(ROUND(T14*$C$8,4)*($H$8),2)*(MAX($H$9,1)),2)</f>
        <v>0</v>
      </c>
    </row>
    <row r="15" spans="1:21" x14ac:dyDescent="0.25">
      <c r="A15" s="578" t="s">
        <v>21</v>
      </c>
      <c r="B15" s="578"/>
      <c r="C15" s="143">
        <v>1.5</v>
      </c>
      <c r="D15" s="143">
        <v>2.46</v>
      </c>
      <c r="E15" s="116">
        <f t="shared" ref="E15:E29" si="1">IF(D$30=0,C15*2,C15+D15)</f>
        <v>3.96</v>
      </c>
      <c r="F15" s="663">
        <f>'1461'!F15:G15</f>
        <v>1.1180000000000001</v>
      </c>
      <c r="G15" s="663"/>
      <c r="H15" s="80">
        <f t="shared" ref="H15:H29" si="2">ROUND(E15*F15,4)</f>
        <v>4.4272999999999998</v>
      </c>
      <c r="I15" s="101">
        <f t="shared" ref="I15:I29" si="3">ROUND(ROUND(ROUND(H15*$C$8,4)*($H$8),2)*(MAX($H$9,1)),2)</f>
        <v>24564.799999999999</v>
      </c>
      <c r="J15" s="65" t="str">
        <f>IF(ROUND(E15,2)=ROUND(SUM(E57:E59),2)," ","CHECK PK-3 LINES BELOW")</f>
        <v xml:space="preserve"> </v>
      </c>
      <c r="N15" s="601" t="s">
        <v>21</v>
      </c>
      <c r="O15" s="601"/>
      <c r="P15" s="642">
        <f t="shared" si="0"/>
        <v>0</v>
      </c>
      <c r="Q15" s="642"/>
      <c r="R15" s="647">
        <v>1</v>
      </c>
      <c r="S15" s="647"/>
      <c r="T15" s="95">
        <f t="shared" ref="T15:T29" si="4">ROUND(P15*R15,4)</f>
        <v>0</v>
      </c>
      <c r="U15" s="473">
        <f t="shared" ref="U15:U29" si="5">ROUND(ROUND(ROUND(T15*$C$8,4)*($H$8),2)*(MAX($H$9,1)),2)</f>
        <v>0</v>
      </c>
    </row>
    <row r="16" spans="1:21" x14ac:dyDescent="0.25">
      <c r="A16" s="578" t="s">
        <v>22</v>
      </c>
      <c r="B16" s="578"/>
      <c r="C16" s="143">
        <v>24.93</v>
      </c>
      <c r="D16" s="143">
        <v>27.76</v>
      </c>
      <c r="E16" s="116">
        <f t="shared" si="1"/>
        <v>52.69</v>
      </c>
      <c r="F16" s="663">
        <f>'1461'!F16:G16</f>
        <v>1</v>
      </c>
      <c r="G16" s="663"/>
      <c r="H16" s="80">
        <f t="shared" si="2"/>
        <v>52.69</v>
      </c>
      <c r="I16" s="101">
        <f t="shared" si="3"/>
        <v>292349.62</v>
      </c>
      <c r="N16" s="601" t="s">
        <v>22</v>
      </c>
      <c r="O16" s="601"/>
      <c r="P16" s="642">
        <f t="shared" si="0"/>
        <v>0</v>
      </c>
      <c r="Q16" s="642"/>
      <c r="R16" s="647">
        <v>1</v>
      </c>
      <c r="S16" s="647"/>
      <c r="T16" s="95">
        <f t="shared" si="4"/>
        <v>0</v>
      </c>
      <c r="U16" s="473">
        <f t="shared" si="5"/>
        <v>0</v>
      </c>
    </row>
    <row r="17" spans="1:21" x14ac:dyDescent="0.25">
      <c r="A17" s="578" t="s">
        <v>23</v>
      </c>
      <c r="B17" s="578"/>
      <c r="C17" s="143">
        <v>2.5</v>
      </c>
      <c r="D17" s="143">
        <v>2.85</v>
      </c>
      <c r="E17" s="116">
        <f t="shared" si="1"/>
        <v>5.35</v>
      </c>
      <c r="F17" s="663">
        <f>'1461'!F17:G17</f>
        <v>1</v>
      </c>
      <c r="G17" s="663"/>
      <c r="H17" s="80">
        <f t="shared" si="2"/>
        <v>5.35</v>
      </c>
      <c r="I17" s="101">
        <f t="shared" si="3"/>
        <v>29684.39</v>
      </c>
      <c r="J17" s="65" t="str">
        <f>IF(ROUND(E17,2)=ROUND(SUM(E60:E62),2)," ","CHECK 4-8 LINES BELOW")</f>
        <v xml:space="preserve"> </v>
      </c>
      <c r="N17" s="601" t="s">
        <v>23</v>
      </c>
      <c r="O17" s="601"/>
      <c r="P17" s="642">
        <f t="shared" si="0"/>
        <v>0</v>
      </c>
      <c r="Q17" s="642"/>
      <c r="R17" s="647">
        <v>1</v>
      </c>
      <c r="S17" s="647"/>
      <c r="T17" s="95">
        <f t="shared" si="4"/>
        <v>0</v>
      </c>
      <c r="U17" s="473">
        <f t="shared" si="5"/>
        <v>0</v>
      </c>
    </row>
    <row r="18" spans="1:21" x14ac:dyDescent="0.25">
      <c r="A18" s="578" t="s">
        <v>24</v>
      </c>
      <c r="B18" s="578"/>
      <c r="C18" s="143">
        <v>0</v>
      </c>
      <c r="D18" s="143">
        <v>0</v>
      </c>
      <c r="E18" s="116">
        <f t="shared" si="1"/>
        <v>0</v>
      </c>
      <c r="F18" s="663">
        <f>'1461'!F18:G18</f>
        <v>0.97799999999999998</v>
      </c>
      <c r="G18" s="663"/>
      <c r="H18" s="80">
        <f t="shared" si="2"/>
        <v>0</v>
      </c>
      <c r="I18" s="101">
        <f t="shared" si="3"/>
        <v>0</v>
      </c>
      <c r="N18" s="601" t="s">
        <v>24</v>
      </c>
      <c r="O18" s="601"/>
      <c r="P18" s="642">
        <f t="shared" si="0"/>
        <v>0</v>
      </c>
      <c r="Q18" s="642"/>
      <c r="R18" s="647">
        <v>1</v>
      </c>
      <c r="S18" s="647"/>
      <c r="T18" s="95">
        <f t="shared" si="4"/>
        <v>0</v>
      </c>
      <c r="U18" s="473">
        <f t="shared" si="5"/>
        <v>0</v>
      </c>
    </row>
    <row r="19" spans="1:21" x14ac:dyDescent="0.25">
      <c r="A19" s="578" t="s">
        <v>25</v>
      </c>
      <c r="B19" s="578"/>
      <c r="C19" s="143">
        <v>0</v>
      </c>
      <c r="D19" s="143">
        <v>0</v>
      </c>
      <c r="E19" s="116">
        <f t="shared" si="1"/>
        <v>0</v>
      </c>
      <c r="F19" s="663">
        <f>'1461'!F19:G19</f>
        <v>0.97799999999999998</v>
      </c>
      <c r="G19" s="663"/>
      <c r="H19" s="80">
        <f t="shared" si="2"/>
        <v>0</v>
      </c>
      <c r="I19" s="101">
        <f t="shared" si="3"/>
        <v>0</v>
      </c>
      <c r="J19" s="65" t="str">
        <f>IF(ROUND(E19,2)=ROUND(SUM(E63:E65),2)," ","CHECK 4-8 LINES BELOW")</f>
        <v xml:space="preserve"> </v>
      </c>
      <c r="N19" s="601" t="s">
        <v>25</v>
      </c>
      <c r="O19" s="601"/>
      <c r="P19" s="642">
        <f t="shared" si="0"/>
        <v>0</v>
      </c>
      <c r="Q19" s="642"/>
      <c r="R19" s="647">
        <v>1</v>
      </c>
      <c r="S19" s="647"/>
      <c r="T19" s="95">
        <f t="shared" si="4"/>
        <v>0</v>
      </c>
      <c r="U19" s="472">
        <f t="shared" si="5"/>
        <v>0</v>
      </c>
    </row>
    <row r="20" spans="1:21" x14ac:dyDescent="0.25">
      <c r="A20" s="578" t="s">
        <v>79</v>
      </c>
      <c r="B20" s="578"/>
      <c r="C20" s="143">
        <v>0</v>
      </c>
      <c r="D20" s="143">
        <v>0</v>
      </c>
      <c r="E20" s="116">
        <f t="shared" si="1"/>
        <v>0</v>
      </c>
      <c r="F20" s="663">
        <f>'1461'!F20:G20</f>
        <v>3.6970000000000001</v>
      </c>
      <c r="G20" s="663"/>
      <c r="H20" s="80">
        <f t="shared" si="2"/>
        <v>0</v>
      </c>
      <c r="I20" s="101">
        <f t="shared" si="3"/>
        <v>0</v>
      </c>
      <c r="N20" s="601" t="s">
        <v>79</v>
      </c>
      <c r="O20" s="601"/>
      <c r="P20" s="642">
        <f t="shared" si="0"/>
        <v>0</v>
      </c>
      <c r="Q20" s="642"/>
      <c r="R20" s="647">
        <v>1</v>
      </c>
      <c r="S20" s="647"/>
      <c r="T20" s="95">
        <f t="shared" si="4"/>
        <v>0</v>
      </c>
      <c r="U20" s="473">
        <f t="shared" si="5"/>
        <v>0</v>
      </c>
    </row>
    <row r="21" spans="1:21" x14ac:dyDescent="0.25">
      <c r="A21" s="578" t="s">
        <v>80</v>
      </c>
      <c r="B21" s="578"/>
      <c r="C21" s="143">
        <v>0</v>
      </c>
      <c r="D21" s="143">
        <v>0</v>
      </c>
      <c r="E21" s="116">
        <f t="shared" si="1"/>
        <v>0</v>
      </c>
      <c r="F21" s="663">
        <f>'1461'!F21:G21</f>
        <v>3.6970000000000001</v>
      </c>
      <c r="G21" s="663"/>
      <c r="H21" s="80">
        <f t="shared" si="2"/>
        <v>0</v>
      </c>
      <c r="I21" s="101">
        <f t="shared" si="3"/>
        <v>0</v>
      </c>
      <c r="N21" s="601" t="s">
        <v>80</v>
      </c>
      <c r="O21" s="601"/>
      <c r="P21" s="642">
        <f t="shared" si="0"/>
        <v>0</v>
      </c>
      <c r="Q21" s="642"/>
      <c r="R21" s="647">
        <v>1</v>
      </c>
      <c r="S21" s="647"/>
      <c r="T21" s="95">
        <f t="shared" si="4"/>
        <v>0</v>
      </c>
      <c r="U21" s="473">
        <f t="shared" si="5"/>
        <v>0</v>
      </c>
    </row>
    <row r="22" spans="1:21" x14ac:dyDescent="0.25">
      <c r="A22" s="578" t="s">
        <v>81</v>
      </c>
      <c r="B22" s="578"/>
      <c r="C22" s="143">
        <v>0</v>
      </c>
      <c r="D22" s="143">
        <v>0</v>
      </c>
      <c r="E22" s="116">
        <f t="shared" si="1"/>
        <v>0</v>
      </c>
      <c r="F22" s="663">
        <f>'1461'!F22:G22</f>
        <v>3.6970000000000001</v>
      </c>
      <c r="G22" s="663"/>
      <c r="H22" s="80">
        <f t="shared" si="2"/>
        <v>0</v>
      </c>
      <c r="I22" s="101">
        <f t="shared" si="3"/>
        <v>0</v>
      </c>
      <c r="N22" s="601" t="s">
        <v>81</v>
      </c>
      <c r="O22" s="601"/>
      <c r="P22" s="642">
        <f t="shared" si="0"/>
        <v>0</v>
      </c>
      <c r="Q22" s="642"/>
      <c r="R22" s="647">
        <v>1</v>
      </c>
      <c r="S22" s="647"/>
      <c r="T22" s="95">
        <f t="shared" si="4"/>
        <v>0</v>
      </c>
      <c r="U22" s="473">
        <f t="shared" si="5"/>
        <v>0</v>
      </c>
    </row>
    <row r="23" spans="1:21" x14ac:dyDescent="0.25">
      <c r="A23" s="578" t="s">
        <v>82</v>
      </c>
      <c r="B23" s="578"/>
      <c r="C23" s="143">
        <v>0</v>
      </c>
      <c r="D23" s="143">
        <v>0</v>
      </c>
      <c r="E23" s="116">
        <f t="shared" si="1"/>
        <v>0</v>
      </c>
      <c r="F23" s="663">
        <f>'1461'!F23:G23</f>
        <v>5.992</v>
      </c>
      <c r="G23" s="663"/>
      <c r="H23" s="80">
        <f t="shared" si="2"/>
        <v>0</v>
      </c>
      <c r="I23" s="101">
        <f t="shared" si="3"/>
        <v>0</v>
      </c>
      <c r="N23" s="601" t="s">
        <v>82</v>
      </c>
      <c r="O23" s="601"/>
      <c r="P23" s="642">
        <f t="shared" si="0"/>
        <v>0</v>
      </c>
      <c r="Q23" s="642"/>
      <c r="R23" s="647">
        <v>1</v>
      </c>
      <c r="S23" s="647"/>
      <c r="T23" s="95">
        <f t="shared" si="4"/>
        <v>0</v>
      </c>
      <c r="U23" s="473">
        <f t="shared" si="5"/>
        <v>0</v>
      </c>
    </row>
    <row r="24" spans="1:21" x14ac:dyDescent="0.25">
      <c r="A24" s="578" t="s">
        <v>83</v>
      </c>
      <c r="B24" s="578"/>
      <c r="C24" s="143">
        <v>0</v>
      </c>
      <c r="D24" s="143">
        <v>0</v>
      </c>
      <c r="E24" s="116">
        <f t="shared" si="1"/>
        <v>0</v>
      </c>
      <c r="F24" s="663">
        <f>'1461'!F24:G24</f>
        <v>5.992</v>
      </c>
      <c r="G24" s="663"/>
      <c r="H24" s="80">
        <f t="shared" si="2"/>
        <v>0</v>
      </c>
      <c r="I24" s="101">
        <f t="shared" si="3"/>
        <v>0</v>
      </c>
      <c r="N24" s="601" t="s">
        <v>83</v>
      </c>
      <c r="O24" s="601"/>
      <c r="P24" s="642">
        <f t="shared" si="0"/>
        <v>0</v>
      </c>
      <c r="Q24" s="642"/>
      <c r="R24" s="647">
        <v>1</v>
      </c>
      <c r="S24" s="647"/>
      <c r="T24" s="95">
        <f t="shared" si="4"/>
        <v>0</v>
      </c>
      <c r="U24" s="473">
        <f t="shared" si="5"/>
        <v>0</v>
      </c>
    </row>
    <row r="25" spans="1:21" x14ac:dyDescent="0.25">
      <c r="A25" s="578" t="s">
        <v>84</v>
      </c>
      <c r="B25" s="578"/>
      <c r="C25" s="143">
        <v>0</v>
      </c>
      <c r="D25" s="143">
        <v>0</v>
      </c>
      <c r="E25" s="116">
        <f t="shared" si="1"/>
        <v>0</v>
      </c>
      <c r="F25" s="663">
        <f>'1461'!F25:G25</f>
        <v>5.992</v>
      </c>
      <c r="G25" s="663"/>
      <c r="H25" s="80">
        <f t="shared" si="2"/>
        <v>0</v>
      </c>
      <c r="I25" s="101">
        <f t="shared" si="3"/>
        <v>0</v>
      </c>
      <c r="N25" s="601" t="s">
        <v>84</v>
      </c>
      <c r="O25" s="601"/>
      <c r="P25" s="642">
        <f t="shared" si="0"/>
        <v>0</v>
      </c>
      <c r="Q25" s="642"/>
      <c r="R25" s="647">
        <v>1</v>
      </c>
      <c r="S25" s="647"/>
      <c r="T25" s="95">
        <f t="shared" si="4"/>
        <v>0</v>
      </c>
      <c r="U25" s="473">
        <f t="shared" si="5"/>
        <v>0</v>
      </c>
    </row>
    <row r="26" spans="1:21" x14ac:dyDescent="0.25">
      <c r="A26" s="578" t="s">
        <v>85</v>
      </c>
      <c r="B26" s="578"/>
      <c r="C26" s="143">
        <v>56.18</v>
      </c>
      <c r="D26" s="143">
        <v>61.11</v>
      </c>
      <c r="E26" s="116">
        <f t="shared" si="1"/>
        <v>117.28999999999999</v>
      </c>
      <c r="F26" s="663">
        <f>'1461'!F26:G26</f>
        <v>1.1919999999999999</v>
      </c>
      <c r="G26" s="663"/>
      <c r="H26" s="80">
        <f t="shared" si="2"/>
        <v>139.80969999999999</v>
      </c>
      <c r="I26" s="101">
        <f t="shared" si="3"/>
        <v>775731.88</v>
      </c>
      <c r="N26" s="601" t="s">
        <v>85</v>
      </c>
      <c r="O26" s="601"/>
      <c r="P26" s="642">
        <f t="shared" si="0"/>
        <v>0</v>
      </c>
      <c r="Q26" s="642"/>
      <c r="R26" s="647">
        <v>1</v>
      </c>
      <c r="S26" s="647"/>
      <c r="T26" s="95">
        <f t="shared" si="4"/>
        <v>0</v>
      </c>
      <c r="U26" s="473">
        <f t="shared" si="5"/>
        <v>0</v>
      </c>
    </row>
    <row r="27" spans="1:21" x14ac:dyDescent="0.25">
      <c r="A27" s="578" t="s">
        <v>86</v>
      </c>
      <c r="B27" s="578"/>
      <c r="C27" s="143">
        <v>26.69</v>
      </c>
      <c r="D27" s="143">
        <v>24.84</v>
      </c>
      <c r="E27" s="116">
        <f t="shared" si="1"/>
        <v>51.53</v>
      </c>
      <c r="F27" s="663">
        <f>'1461'!F27:G27</f>
        <v>1.1919999999999999</v>
      </c>
      <c r="G27" s="663"/>
      <c r="H27" s="80">
        <f t="shared" si="2"/>
        <v>61.4238</v>
      </c>
      <c r="I27" s="101">
        <f t="shared" si="3"/>
        <v>340808.97</v>
      </c>
      <c r="N27" s="601" t="s">
        <v>86</v>
      </c>
      <c r="O27" s="601"/>
      <c r="P27" s="642">
        <f t="shared" si="0"/>
        <v>0</v>
      </c>
      <c r="Q27" s="642"/>
      <c r="R27" s="647">
        <v>1</v>
      </c>
      <c r="S27" s="647"/>
      <c r="T27" s="95">
        <f t="shared" si="4"/>
        <v>0</v>
      </c>
      <c r="U27" s="473">
        <f t="shared" si="5"/>
        <v>0</v>
      </c>
    </row>
    <row r="28" spans="1:21" x14ac:dyDescent="0.25">
      <c r="A28" s="578" t="s">
        <v>87</v>
      </c>
      <c r="B28" s="578"/>
      <c r="C28" s="143">
        <v>0</v>
      </c>
      <c r="D28" s="143">
        <v>0</v>
      </c>
      <c r="E28" s="116">
        <f t="shared" si="1"/>
        <v>0</v>
      </c>
      <c r="F28" s="663">
        <f>'1461'!F28:G28</f>
        <v>1.1919999999999999</v>
      </c>
      <c r="G28" s="663"/>
      <c r="H28" s="80">
        <f t="shared" si="2"/>
        <v>0</v>
      </c>
      <c r="I28" s="101">
        <f t="shared" si="3"/>
        <v>0</v>
      </c>
      <c r="N28" s="601" t="s">
        <v>87</v>
      </c>
      <c r="O28" s="601"/>
      <c r="P28" s="642">
        <f t="shared" si="0"/>
        <v>0</v>
      </c>
      <c r="Q28" s="642"/>
      <c r="R28" s="647">
        <v>1</v>
      </c>
      <c r="S28" s="647"/>
      <c r="T28" s="95">
        <f t="shared" si="4"/>
        <v>0</v>
      </c>
      <c r="U28" s="473">
        <f t="shared" si="5"/>
        <v>0</v>
      </c>
    </row>
    <row r="29" spans="1:21" x14ac:dyDescent="0.25">
      <c r="A29" s="578" t="s">
        <v>88</v>
      </c>
      <c r="B29" s="578"/>
      <c r="C29" s="110">
        <v>0</v>
      </c>
      <c r="D29" s="110">
        <v>0</v>
      </c>
      <c r="E29" s="154">
        <f t="shared" si="1"/>
        <v>0</v>
      </c>
      <c r="F29" s="663">
        <f>'1461'!F29:G29</f>
        <v>1.079</v>
      </c>
      <c r="G29" s="663"/>
      <c r="H29" s="93">
        <f t="shared" si="2"/>
        <v>0</v>
      </c>
      <c r="I29" s="94">
        <f t="shared" si="3"/>
        <v>0</v>
      </c>
      <c r="N29" s="616" t="s">
        <v>88</v>
      </c>
      <c r="O29" s="616"/>
      <c r="P29" s="642">
        <f t="shared" si="0"/>
        <v>0</v>
      </c>
      <c r="Q29" s="642"/>
      <c r="R29" s="643">
        <v>1</v>
      </c>
      <c r="S29" s="643"/>
      <c r="T29" s="95">
        <f t="shared" si="4"/>
        <v>0</v>
      </c>
      <c r="U29" s="473">
        <f t="shared" si="5"/>
        <v>0</v>
      </c>
    </row>
    <row r="30" spans="1:21" x14ac:dyDescent="0.25">
      <c r="A30" s="590" t="s">
        <v>5</v>
      </c>
      <c r="B30" s="590"/>
      <c r="C30" s="94">
        <f>SUM(C14:C29)</f>
        <v>153.62</v>
      </c>
      <c r="D30" s="94">
        <f>SUM(D14:D29)+0</f>
        <v>161.34</v>
      </c>
      <c r="E30" s="94">
        <f>SUM(E14:E29)</f>
        <v>314.95999999999992</v>
      </c>
      <c r="F30" s="582"/>
      <c r="G30" s="582"/>
      <c r="H30" s="99">
        <f>SUM(H14:H29)</f>
        <v>357.76930000000004</v>
      </c>
      <c r="I30" s="94">
        <f>SUM(I14:I29)</f>
        <v>1985077.23</v>
      </c>
      <c r="K30" s="237">
        <f>I30-J30</f>
        <v>1985077.23</v>
      </c>
      <c r="N30" s="644" t="s">
        <v>5</v>
      </c>
      <c r="O30" s="644"/>
      <c r="P30" s="645">
        <f>SUM(P14:P29)</f>
        <v>0</v>
      </c>
      <c r="Q30" s="645"/>
      <c r="R30" s="617"/>
      <c r="S30" s="617"/>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0" t="s">
        <v>233</v>
      </c>
      <c r="G34" s="670"/>
      <c r="H34" s="670"/>
      <c r="I34" s="101"/>
      <c r="N34" s="28"/>
      <c r="O34" s="28"/>
      <c r="P34" s="29"/>
      <c r="Q34" s="29"/>
      <c r="R34" s="30"/>
      <c r="S34" s="30"/>
      <c r="T34" s="102"/>
      <c r="U34" s="103"/>
    </row>
    <row r="35" spans="1:21" hidden="1" x14ac:dyDescent="0.25">
      <c r="A35" s="3"/>
      <c r="B35" s="69"/>
      <c r="C35" s="69"/>
      <c r="D35" s="69"/>
      <c r="E35" s="69"/>
      <c r="F35" s="670"/>
      <c r="G35" s="670"/>
      <c r="H35" s="670"/>
      <c r="I35" s="24" t="s">
        <v>61</v>
      </c>
      <c r="N35" s="627" t="s">
        <v>26</v>
      </c>
      <c r="O35" s="627"/>
      <c r="P35" s="627"/>
      <c r="Q35" s="627"/>
      <c r="R35" s="627"/>
      <c r="S35" s="627"/>
      <c r="T35" s="627"/>
      <c r="U35" s="25" t="str">
        <f>I35</f>
        <v>2015-16</v>
      </c>
    </row>
    <row r="36" spans="1:21" hidden="1" x14ac:dyDescent="0.25">
      <c r="A36" s="26"/>
      <c r="B36" s="26"/>
      <c r="C36" s="88" t="s">
        <v>93</v>
      </c>
      <c r="D36" s="88" t="s">
        <v>94</v>
      </c>
      <c r="E36" s="89" t="s">
        <v>8</v>
      </c>
      <c r="F36" s="670"/>
      <c r="G36" s="670"/>
      <c r="H36" s="670"/>
      <c r="I36" s="24" t="s">
        <v>27</v>
      </c>
      <c r="N36" s="28"/>
      <c r="O36" s="28"/>
      <c r="P36" s="29"/>
      <c r="Q36" s="29"/>
      <c r="R36" s="30"/>
      <c r="S36" s="30"/>
      <c r="T36" s="102"/>
      <c r="U36" s="25" t="s">
        <v>27</v>
      </c>
    </row>
    <row r="37" spans="1:21" ht="26.25" hidden="1" x14ac:dyDescent="0.25">
      <c r="A37" s="572" t="s">
        <v>50</v>
      </c>
      <c r="B37" s="572"/>
      <c r="C37" s="90" t="s">
        <v>2</v>
      </c>
      <c r="D37" s="90" t="s">
        <v>2</v>
      </c>
      <c r="E37" s="90" t="s">
        <v>2</v>
      </c>
      <c r="F37" s="671"/>
      <c r="G37" s="671"/>
      <c r="H37" s="671"/>
      <c r="I37" s="31" t="s">
        <v>395</v>
      </c>
      <c r="N37" s="639" t="s">
        <v>50</v>
      </c>
      <c r="O37" s="639"/>
      <c r="P37" s="640" t="s">
        <v>19</v>
      </c>
      <c r="Q37" s="640"/>
      <c r="R37" s="640"/>
      <c r="S37" s="640"/>
      <c r="T37" s="640"/>
      <c r="U37" s="19" t="str">
        <f>I37</f>
        <v>(WFTE x BSA x CWF x SDF)</v>
      </c>
    </row>
    <row r="38" spans="1:21" hidden="1" x14ac:dyDescent="0.25">
      <c r="A38" s="576" t="s">
        <v>45</v>
      </c>
      <c r="B38" s="576"/>
      <c r="C38" s="147">
        <v>0</v>
      </c>
      <c r="D38" s="147">
        <v>0</v>
      </c>
      <c r="E38" s="187">
        <f t="shared" ref="E38:E43" si="6">IF(D$44=0,C38*2,C38+D38)</f>
        <v>0</v>
      </c>
      <c r="F38" s="148"/>
      <c r="G38" s="148"/>
      <c r="H38" s="148"/>
      <c r="I38" s="111">
        <f>ROUND(ROUND(ROUND(E38*$C$8,4)*($H$8),2)*(MAX($H$9,1)),2)</f>
        <v>0</v>
      </c>
      <c r="N38" s="641" t="s">
        <v>45</v>
      </c>
      <c r="O38" s="641"/>
      <c r="P38" s="608">
        <f t="shared" ref="P38:P43" si="7">IF($H$133=1,E38,0)</f>
        <v>0</v>
      </c>
      <c r="Q38" s="608"/>
      <c r="R38" s="608"/>
      <c r="S38" s="608"/>
      <c r="T38" s="608"/>
      <c r="U38" s="98">
        <f>ROUND(ROUND(ROUND(P38*$C$8,4)*($H$8),2)*(MAX($H$9,1)),2)</f>
        <v>0</v>
      </c>
    </row>
    <row r="39" spans="1:21" hidden="1" x14ac:dyDescent="0.25">
      <c r="A39" s="578" t="s">
        <v>46</v>
      </c>
      <c r="B39" s="578"/>
      <c r="C39" s="150">
        <v>0</v>
      </c>
      <c r="D39" s="150">
        <v>0</v>
      </c>
      <c r="E39" s="116">
        <f t="shared" si="6"/>
        <v>0</v>
      </c>
      <c r="F39" s="151"/>
      <c r="G39" s="151"/>
      <c r="H39" s="151"/>
      <c r="I39" s="101">
        <f t="shared" ref="I39:I43" si="8">ROUND(ROUND(ROUND(E39*$C$8,4)*($H$8),2)*(MAX($H$9,1)),2)</f>
        <v>0</v>
      </c>
      <c r="N39" s="601" t="s">
        <v>46</v>
      </c>
      <c r="O39" s="601"/>
      <c r="P39" s="608">
        <f t="shared" si="7"/>
        <v>0</v>
      </c>
      <c r="Q39" s="608"/>
      <c r="R39" s="608"/>
      <c r="S39" s="608"/>
      <c r="T39" s="608"/>
      <c r="U39" s="98">
        <f t="shared" ref="U39:U43" si="9">ROUND(ROUND(ROUND(P39*$C$8,4)*($H$8),2)*(MAX($H$9,1)),2)</f>
        <v>0</v>
      </c>
    </row>
    <row r="40" spans="1:21" hidden="1" x14ac:dyDescent="0.25">
      <c r="A40" s="583" t="s">
        <v>47</v>
      </c>
      <c r="B40" s="583"/>
      <c r="C40" s="150">
        <v>0</v>
      </c>
      <c r="D40" s="150">
        <v>0</v>
      </c>
      <c r="E40" s="116">
        <f t="shared" si="6"/>
        <v>0</v>
      </c>
      <c r="F40" s="151"/>
      <c r="G40" s="151"/>
      <c r="H40" s="151"/>
      <c r="I40" s="101">
        <f t="shared" si="8"/>
        <v>0</v>
      </c>
      <c r="N40" s="646" t="s">
        <v>47</v>
      </c>
      <c r="O40" s="646"/>
      <c r="P40" s="608">
        <f t="shared" si="7"/>
        <v>0</v>
      </c>
      <c r="Q40" s="608"/>
      <c r="R40" s="608"/>
      <c r="S40" s="608"/>
      <c r="T40" s="608"/>
      <c r="U40" s="98">
        <f t="shared" si="9"/>
        <v>0</v>
      </c>
    </row>
    <row r="41" spans="1:21" hidden="1" x14ac:dyDescent="0.25">
      <c r="A41" s="578" t="s">
        <v>48</v>
      </c>
      <c r="B41" s="578"/>
      <c r="C41" s="150">
        <v>0</v>
      </c>
      <c r="D41" s="150">
        <v>0</v>
      </c>
      <c r="E41" s="116">
        <f t="shared" si="6"/>
        <v>0</v>
      </c>
      <c r="F41" s="151"/>
      <c r="G41" s="151"/>
      <c r="H41" s="151"/>
      <c r="I41" s="101">
        <f t="shared" si="8"/>
        <v>0</v>
      </c>
      <c r="N41" s="601" t="s">
        <v>48</v>
      </c>
      <c r="O41" s="601"/>
      <c r="P41" s="608">
        <f t="shared" si="7"/>
        <v>0</v>
      </c>
      <c r="Q41" s="608"/>
      <c r="R41" s="608"/>
      <c r="S41" s="608"/>
      <c r="T41" s="608"/>
      <c r="U41" s="98">
        <f t="shared" si="9"/>
        <v>0</v>
      </c>
    </row>
    <row r="42" spans="1:21" hidden="1" x14ac:dyDescent="0.25">
      <c r="A42" s="578" t="s">
        <v>49</v>
      </c>
      <c r="B42" s="578"/>
      <c r="C42" s="150">
        <v>0</v>
      </c>
      <c r="D42" s="150">
        <v>0</v>
      </c>
      <c r="E42" s="116">
        <f t="shared" si="6"/>
        <v>0</v>
      </c>
      <c r="F42" s="151"/>
      <c r="G42" s="151"/>
      <c r="H42" s="151"/>
      <c r="I42" s="101">
        <f t="shared" si="8"/>
        <v>0</v>
      </c>
      <c r="N42" s="601" t="s">
        <v>49</v>
      </c>
      <c r="O42" s="601"/>
      <c r="P42" s="608">
        <f t="shared" si="7"/>
        <v>0</v>
      </c>
      <c r="Q42" s="608"/>
      <c r="R42" s="608"/>
      <c r="S42" s="608"/>
      <c r="T42" s="608"/>
      <c r="U42" s="98">
        <f t="shared" si="9"/>
        <v>0</v>
      </c>
    </row>
    <row r="43" spans="1:21" hidden="1" x14ac:dyDescent="0.25">
      <c r="A43" s="578" t="s">
        <v>41</v>
      </c>
      <c r="B43" s="578"/>
      <c r="C43" s="149">
        <v>0</v>
      </c>
      <c r="D43" s="149">
        <v>0</v>
      </c>
      <c r="E43" s="154">
        <f t="shared" si="6"/>
        <v>0</v>
      </c>
      <c r="F43" s="151"/>
      <c r="G43" s="151"/>
      <c r="H43" s="151"/>
      <c r="I43" s="94">
        <f t="shared" si="8"/>
        <v>0</v>
      </c>
      <c r="N43" s="616" t="s">
        <v>41</v>
      </c>
      <c r="O43" s="616"/>
      <c r="P43" s="608">
        <f t="shared" si="7"/>
        <v>0</v>
      </c>
      <c r="Q43" s="608"/>
      <c r="R43" s="608"/>
      <c r="S43" s="608"/>
      <c r="T43" s="60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3" t="s">
        <v>43</v>
      </c>
      <c r="O44" s="603"/>
      <c r="P44" s="603"/>
      <c r="Q44" s="603"/>
      <c r="R44" s="33">
        <f>SUM(P38:R43)</f>
        <v>0</v>
      </c>
      <c r="S44" s="617" t="s">
        <v>51</v>
      </c>
      <c r="T44" s="617"/>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357.76930000000004</v>
      </c>
      <c r="F46" s="34"/>
      <c r="G46" s="106"/>
      <c r="H46" s="107" t="s">
        <v>98</v>
      </c>
      <c r="I46" s="94">
        <f>SUM(I44,I30)</f>
        <v>1985077.23</v>
      </c>
      <c r="N46" s="603" t="s">
        <v>44</v>
      </c>
      <c r="O46" s="603"/>
      <c r="P46" s="603"/>
      <c r="Q46" s="603"/>
      <c r="R46" s="35">
        <f>R44+T30</f>
        <v>0</v>
      </c>
      <c r="S46" s="617" t="s">
        <v>42</v>
      </c>
      <c r="T46" s="617"/>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396</v>
      </c>
      <c r="B48" s="26"/>
      <c r="C48" s="26"/>
      <c r="D48" s="26"/>
      <c r="E48" s="26"/>
      <c r="F48" s="34"/>
      <c r="G48" s="27"/>
      <c r="H48" s="27"/>
      <c r="I48" s="101"/>
      <c r="N48" s="383" t="s">
        <v>396</v>
      </c>
      <c r="O48" s="28"/>
      <c r="P48" s="28"/>
      <c r="Q48" s="28"/>
      <c r="R48" s="35"/>
      <c r="S48" s="30"/>
      <c r="T48" s="30"/>
      <c r="U48" s="402"/>
    </row>
    <row r="49" spans="1:22" s="391" customFormat="1" ht="9" customHeight="1" x14ac:dyDescent="0.2">
      <c r="A49" s="481" t="s">
        <v>397</v>
      </c>
      <c r="F49" s="392"/>
      <c r="G49" s="393"/>
      <c r="H49" s="393"/>
      <c r="I49" s="394"/>
      <c r="N49" s="403" t="s">
        <v>397</v>
      </c>
      <c r="O49" s="395"/>
      <c r="P49" s="395"/>
      <c r="Q49" s="395"/>
      <c r="R49" s="396"/>
      <c r="S49" s="397"/>
      <c r="T49" s="397"/>
      <c r="U49" s="404"/>
    </row>
    <row r="50" spans="1:22" s="391" customFormat="1" ht="11.25" customHeight="1" x14ac:dyDescent="0.2">
      <c r="A50" s="483" t="s">
        <v>398</v>
      </c>
      <c r="F50" s="392"/>
      <c r="G50" s="393"/>
      <c r="H50" s="393"/>
      <c r="I50" s="394"/>
      <c r="N50" s="405" t="s">
        <v>398</v>
      </c>
      <c r="O50" s="395"/>
      <c r="P50" s="395"/>
      <c r="Q50" s="395"/>
      <c r="R50" s="396"/>
      <c r="S50" s="397"/>
      <c r="T50" s="397"/>
      <c r="U50" s="404"/>
    </row>
    <row r="51" spans="1:22" x14ac:dyDescent="0.25">
      <c r="A51" s="389"/>
      <c r="B51" s="399" t="s">
        <v>399</v>
      </c>
      <c r="C51" s="26"/>
      <c r="D51" s="26"/>
      <c r="E51" s="43" t="s">
        <v>400</v>
      </c>
      <c r="F51" s="400">
        <f>I46</f>
        <v>1985077.23</v>
      </c>
      <c r="G51" s="109" t="s">
        <v>6</v>
      </c>
      <c r="H51" s="401">
        <v>4.5199999999999997E-2</v>
      </c>
      <c r="I51" s="101">
        <f>ROUND(F51*H51,2)</f>
        <v>89725.49</v>
      </c>
      <c r="N51" s="406"/>
      <c r="O51" s="407" t="s">
        <v>399</v>
      </c>
      <c r="P51" s="28"/>
      <c r="Q51" s="44" t="s">
        <v>400</v>
      </c>
      <c r="R51" s="408">
        <f>U30</f>
        <v>0</v>
      </c>
      <c r="S51" s="409" t="s">
        <v>6</v>
      </c>
      <c r="T51" s="410">
        <v>4.5199999999999997E-2</v>
      </c>
      <c r="U51" s="402">
        <f>ROUND(R51*T51,2)</f>
        <v>0</v>
      </c>
    </row>
    <row r="52" spans="1:22" x14ac:dyDescent="0.25">
      <c r="A52" s="26"/>
      <c r="B52" s="81" t="s">
        <v>401</v>
      </c>
      <c r="C52" s="26"/>
      <c r="D52" s="26"/>
      <c r="E52" s="43" t="s">
        <v>400</v>
      </c>
      <c r="F52" s="400">
        <f>I46</f>
        <v>1985077.23</v>
      </c>
      <c r="G52" s="109" t="s">
        <v>6</v>
      </c>
      <c r="H52" s="401">
        <v>1.41E-2</v>
      </c>
      <c r="I52" s="101">
        <f>ROUND(F52*H52,2)</f>
        <v>27989.59</v>
      </c>
      <c r="N52" s="28"/>
      <c r="O52" s="383" t="s">
        <v>401</v>
      </c>
      <c r="P52" s="28"/>
      <c r="Q52" s="44" t="s">
        <v>400</v>
      </c>
      <c r="R52" s="408">
        <f>U30</f>
        <v>0</v>
      </c>
      <c r="S52" s="409" t="s">
        <v>6</v>
      </c>
      <c r="T52" s="410">
        <v>1.41E-2</v>
      </c>
      <c r="U52" s="411">
        <f>ROUND(R52*T52,2)</f>
        <v>0</v>
      </c>
    </row>
    <row r="53" spans="1:22" x14ac:dyDescent="0.25">
      <c r="A53" s="26"/>
      <c r="B53" s="81" t="s">
        <v>402</v>
      </c>
      <c r="C53" s="26"/>
      <c r="D53" s="26"/>
      <c r="E53" s="43"/>
      <c r="F53" s="400"/>
      <c r="G53" s="109"/>
      <c r="H53" s="401"/>
      <c r="I53" s="97">
        <f>SUM(I51:I52)</f>
        <v>117715.08</v>
      </c>
      <c r="N53" s="28"/>
      <c r="O53" s="383" t="s">
        <v>402</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440</v>
      </c>
      <c r="G55" s="109" t="s">
        <v>441</v>
      </c>
      <c r="H55" s="454" t="s">
        <v>442</v>
      </c>
      <c r="I55" s="101"/>
      <c r="N55" s="448"/>
      <c r="O55" s="448"/>
      <c r="P55" s="464"/>
      <c r="Q55" s="465"/>
      <c r="R55" s="466"/>
      <c r="S55" s="468" t="s">
        <v>441</v>
      </c>
      <c r="T55" s="469" t="s">
        <v>442</v>
      </c>
      <c r="U55" s="467"/>
      <c r="V55" s="424"/>
    </row>
    <row r="56" spans="1:22" x14ac:dyDescent="0.25">
      <c r="A56" s="36" t="s">
        <v>443</v>
      </c>
      <c r="B56" s="36"/>
      <c r="C56" s="324" t="str">
        <f>'1461'!C56</f>
        <v>FTE</v>
      </c>
      <c r="D56" s="324" t="str">
        <f>'1461'!D56</f>
        <v>FTE</v>
      </c>
      <c r="E56" s="90" t="s">
        <v>2</v>
      </c>
      <c r="F56" s="439" t="s">
        <v>444</v>
      </c>
      <c r="G56" s="441" t="s">
        <v>444</v>
      </c>
      <c r="H56" s="455" t="s">
        <v>445</v>
      </c>
      <c r="I56" s="36"/>
      <c r="N56" s="459" t="s">
        <v>443</v>
      </c>
      <c r="O56" s="459"/>
      <c r="P56" s="620" t="s">
        <v>2</v>
      </c>
      <c r="Q56" s="620"/>
      <c r="R56" s="459" t="s">
        <v>449</v>
      </c>
      <c r="S56" s="450" t="s">
        <v>444</v>
      </c>
      <c r="T56" s="470" t="s">
        <v>445</v>
      </c>
      <c r="U56" s="459"/>
      <c r="V56" s="458"/>
    </row>
    <row r="57" spans="1:22" x14ac:dyDescent="0.25">
      <c r="A57" s="588" t="s">
        <v>447</v>
      </c>
      <c r="B57" s="588"/>
      <c r="C57" s="143">
        <v>1.5</v>
      </c>
      <c r="D57" s="143">
        <v>2.46</v>
      </c>
      <c r="E57" s="116">
        <f>IF(D$66=0,C57*2,C57+D57)</f>
        <v>3.96</v>
      </c>
      <c r="F57" s="443" t="s">
        <v>439</v>
      </c>
      <c r="G57" s="443">
        <v>251</v>
      </c>
      <c r="H57" s="457">
        <f>'1461'!H57</f>
        <v>1047</v>
      </c>
      <c r="I57" s="101">
        <f>ROUND(E57*H57,2)</f>
        <v>4146.12</v>
      </c>
      <c r="N57" s="618" t="s">
        <v>447</v>
      </c>
      <c r="O57" s="618"/>
      <c r="P57" s="621"/>
      <c r="Q57" s="621"/>
      <c r="R57" s="449" t="s">
        <v>439</v>
      </c>
      <c r="S57" s="449">
        <v>251</v>
      </c>
      <c r="T57" s="460">
        <f>H57</f>
        <v>1047</v>
      </c>
      <c r="U57" s="474">
        <f>ROUND(P57*T57,2)</f>
        <v>0</v>
      </c>
      <c r="V57" s="424"/>
    </row>
    <row r="58" spans="1:22" x14ac:dyDescent="0.25">
      <c r="A58" s="589"/>
      <c r="B58" s="589"/>
      <c r="C58" s="143">
        <v>0</v>
      </c>
      <c r="D58" s="143">
        <v>0</v>
      </c>
      <c r="E58" s="116">
        <f t="shared" ref="E58:E65" si="10">IF(D$66=0,C58*2,C58+D58)</f>
        <v>0</v>
      </c>
      <c r="F58" s="443" t="s">
        <v>439</v>
      </c>
      <c r="G58" s="443">
        <v>252</v>
      </c>
      <c r="H58" s="457">
        <f>'1461'!H58</f>
        <v>3380</v>
      </c>
      <c r="I58" s="101">
        <f t="shared" ref="I58:I65" si="11">ROUND(E58*H58,2)</f>
        <v>0</v>
      </c>
      <c r="N58" s="619"/>
      <c r="O58" s="619"/>
      <c r="P58" s="622"/>
      <c r="Q58" s="622"/>
      <c r="R58" s="449" t="s">
        <v>439</v>
      </c>
      <c r="S58" s="449">
        <v>252</v>
      </c>
      <c r="T58" s="460">
        <f t="shared" ref="T58:T65" si="12">H58</f>
        <v>3380</v>
      </c>
      <c r="U58" s="474">
        <f t="shared" ref="U58:U65" si="13">ROUND(P58*T58,2)</f>
        <v>0</v>
      </c>
      <c r="V58" s="424"/>
    </row>
    <row r="59" spans="1:22" x14ac:dyDescent="0.25">
      <c r="A59" s="589"/>
      <c r="B59" s="589"/>
      <c r="C59" s="143">
        <v>0</v>
      </c>
      <c r="D59" s="143">
        <v>0</v>
      </c>
      <c r="E59" s="116">
        <f t="shared" si="10"/>
        <v>0</v>
      </c>
      <c r="F59" s="443" t="s">
        <v>439</v>
      </c>
      <c r="G59" s="443">
        <v>253</v>
      </c>
      <c r="H59" s="457">
        <f>'1461'!H59</f>
        <v>6896</v>
      </c>
      <c r="I59" s="101">
        <f t="shared" si="11"/>
        <v>0</v>
      </c>
      <c r="N59" s="619"/>
      <c r="O59" s="619"/>
      <c r="P59" s="622"/>
      <c r="Q59" s="622"/>
      <c r="R59" s="449" t="s">
        <v>439</v>
      </c>
      <c r="S59" s="449">
        <v>253</v>
      </c>
      <c r="T59" s="460">
        <f t="shared" si="12"/>
        <v>6896</v>
      </c>
      <c r="U59" s="474">
        <f t="shared" si="13"/>
        <v>0</v>
      </c>
      <c r="V59" s="424"/>
    </row>
    <row r="60" spans="1:22" x14ac:dyDescent="0.25">
      <c r="A60" s="589"/>
      <c r="B60" s="589"/>
      <c r="C60" s="143">
        <v>2.5</v>
      </c>
      <c r="D60" s="143">
        <v>2.85</v>
      </c>
      <c r="E60" s="116">
        <f t="shared" si="10"/>
        <v>5.35</v>
      </c>
      <c r="F60" s="444" t="s">
        <v>13</v>
      </c>
      <c r="G60" s="443">
        <v>251</v>
      </c>
      <c r="H60" s="457">
        <f>'1461'!H60</f>
        <v>1173</v>
      </c>
      <c r="I60" s="101">
        <f t="shared" si="11"/>
        <v>6275.55</v>
      </c>
      <c r="N60" s="619"/>
      <c r="O60" s="619"/>
      <c r="P60" s="622"/>
      <c r="Q60" s="622"/>
      <c r="R60" s="40" t="s">
        <v>13</v>
      </c>
      <c r="S60" s="449">
        <v>251</v>
      </c>
      <c r="T60" s="460">
        <f t="shared" si="12"/>
        <v>1173</v>
      </c>
      <c r="U60" s="474">
        <f t="shared" si="13"/>
        <v>0</v>
      </c>
      <c r="V60" s="424"/>
    </row>
    <row r="61" spans="1:22" x14ac:dyDescent="0.25">
      <c r="A61" s="589"/>
      <c r="B61" s="589"/>
      <c r="C61" s="143">
        <v>0</v>
      </c>
      <c r="D61" s="143">
        <v>0</v>
      </c>
      <c r="E61" s="116">
        <f t="shared" si="10"/>
        <v>0</v>
      </c>
      <c r="F61" s="444" t="s">
        <v>13</v>
      </c>
      <c r="G61" s="443">
        <v>252</v>
      </c>
      <c r="H61" s="457">
        <f>'1461'!H61</f>
        <v>3506</v>
      </c>
      <c r="I61" s="101">
        <f t="shared" si="11"/>
        <v>0</v>
      </c>
      <c r="N61" s="619"/>
      <c r="O61" s="619"/>
      <c r="P61" s="622"/>
      <c r="Q61" s="622"/>
      <c r="R61" s="40" t="s">
        <v>13</v>
      </c>
      <c r="S61" s="449">
        <v>252</v>
      </c>
      <c r="T61" s="460">
        <f t="shared" si="12"/>
        <v>3506</v>
      </c>
      <c r="U61" s="474">
        <f t="shared" si="13"/>
        <v>0</v>
      </c>
      <c r="V61" s="424"/>
    </row>
    <row r="62" spans="1:22" x14ac:dyDescent="0.25">
      <c r="A62" s="589"/>
      <c r="B62" s="589"/>
      <c r="C62" s="143">
        <v>0</v>
      </c>
      <c r="D62" s="143">
        <v>0</v>
      </c>
      <c r="E62" s="116">
        <f t="shared" si="10"/>
        <v>0</v>
      </c>
      <c r="F62" s="444" t="s">
        <v>13</v>
      </c>
      <c r="G62" s="443">
        <v>253</v>
      </c>
      <c r="H62" s="457">
        <f>'1461'!H62</f>
        <v>7023</v>
      </c>
      <c r="I62" s="101">
        <f t="shared" si="11"/>
        <v>0</v>
      </c>
      <c r="N62" s="619"/>
      <c r="O62" s="619"/>
      <c r="P62" s="622"/>
      <c r="Q62" s="622"/>
      <c r="R62" s="40" t="s">
        <v>13</v>
      </c>
      <c r="S62" s="449">
        <v>253</v>
      </c>
      <c r="T62" s="460">
        <f t="shared" si="12"/>
        <v>7023</v>
      </c>
      <c r="U62" s="474">
        <f t="shared" si="13"/>
        <v>0</v>
      </c>
      <c r="V62" s="424"/>
    </row>
    <row r="63" spans="1:22" x14ac:dyDescent="0.25">
      <c r="A63" s="589"/>
      <c r="B63" s="589"/>
      <c r="C63" s="143">
        <v>0</v>
      </c>
      <c r="D63" s="143">
        <v>0</v>
      </c>
      <c r="E63" s="116">
        <f t="shared" si="10"/>
        <v>0</v>
      </c>
      <c r="F63" s="444" t="s">
        <v>14</v>
      </c>
      <c r="G63" s="443">
        <v>251</v>
      </c>
      <c r="H63" s="457">
        <f>'1461'!H63</f>
        <v>835</v>
      </c>
      <c r="I63" s="101">
        <f t="shared" si="11"/>
        <v>0</v>
      </c>
      <c r="N63" s="619"/>
      <c r="O63" s="619"/>
      <c r="P63" s="622"/>
      <c r="Q63" s="622"/>
      <c r="R63" s="40" t="s">
        <v>14</v>
      </c>
      <c r="S63" s="449">
        <v>251</v>
      </c>
      <c r="T63" s="460">
        <f t="shared" si="12"/>
        <v>835</v>
      </c>
      <c r="U63" s="474">
        <f t="shared" si="13"/>
        <v>0</v>
      </c>
      <c r="V63" s="424"/>
    </row>
    <row r="64" spans="1:22" x14ac:dyDescent="0.25">
      <c r="A64" s="589"/>
      <c r="B64" s="589"/>
      <c r="C64" s="143">
        <v>0</v>
      </c>
      <c r="D64" s="143">
        <v>0</v>
      </c>
      <c r="E64" s="116">
        <f t="shared" si="10"/>
        <v>0</v>
      </c>
      <c r="F64" s="444" t="s">
        <v>14</v>
      </c>
      <c r="G64" s="443">
        <v>252</v>
      </c>
      <c r="H64" s="457">
        <f>'1461'!H64</f>
        <v>3168</v>
      </c>
      <c r="I64" s="101">
        <f t="shared" si="11"/>
        <v>0</v>
      </c>
      <c r="N64" s="619"/>
      <c r="O64" s="619"/>
      <c r="P64" s="622"/>
      <c r="Q64" s="622"/>
      <c r="R64" s="40" t="s">
        <v>14</v>
      </c>
      <c r="S64" s="449">
        <v>252</v>
      </c>
      <c r="T64" s="460">
        <f t="shared" si="12"/>
        <v>3168</v>
      </c>
      <c r="U64" s="474">
        <f t="shared" si="13"/>
        <v>0</v>
      </c>
      <c r="V64" s="424"/>
    </row>
    <row r="65" spans="1:22" ht="16.5" thickBot="1" x14ac:dyDescent="0.3">
      <c r="A65" s="589"/>
      <c r="B65" s="589"/>
      <c r="C65" s="143">
        <v>0</v>
      </c>
      <c r="D65" s="143">
        <v>0</v>
      </c>
      <c r="E65" s="116">
        <f t="shared" si="10"/>
        <v>0</v>
      </c>
      <c r="F65" s="444" t="s">
        <v>14</v>
      </c>
      <c r="G65" s="443">
        <v>253</v>
      </c>
      <c r="H65" s="457">
        <f>'1461'!H65</f>
        <v>6685</v>
      </c>
      <c r="I65" s="101">
        <f t="shared" si="11"/>
        <v>0</v>
      </c>
      <c r="N65" s="619"/>
      <c r="O65" s="619"/>
      <c r="P65" s="623"/>
      <c r="Q65" s="623"/>
      <c r="R65" s="40" t="s">
        <v>14</v>
      </c>
      <c r="S65" s="449">
        <v>253</v>
      </c>
      <c r="T65" s="460">
        <f t="shared" si="12"/>
        <v>6685</v>
      </c>
      <c r="U65" s="475">
        <f t="shared" si="13"/>
        <v>0</v>
      </c>
      <c r="V65" s="424"/>
    </row>
    <row r="66" spans="1:22" ht="16.5" thickBot="1" x14ac:dyDescent="0.3">
      <c r="A66" s="440"/>
      <c r="C66" s="97">
        <f>SUM(C57:C65)</f>
        <v>4</v>
      </c>
      <c r="D66" s="97">
        <f>SUM(D57:D65)</f>
        <v>5.3100000000000005</v>
      </c>
      <c r="E66" s="97">
        <f>SUM(E57:E65)</f>
        <v>9.3099999999999987</v>
      </c>
      <c r="F66" s="590" t="s">
        <v>448</v>
      </c>
      <c r="G66" s="590"/>
      <c r="H66" s="590"/>
      <c r="I66" s="97">
        <f>SUM(I57:I65)</f>
        <v>10421.67</v>
      </c>
      <c r="N66" s="446"/>
      <c r="O66" s="51"/>
      <c r="P66" s="602">
        <f>SUM(P57:P65)</f>
        <v>0</v>
      </c>
      <c r="Q66" s="602"/>
      <c r="R66" s="603" t="s">
        <v>448</v>
      </c>
      <c r="S66" s="603"/>
      <c r="T66" s="603"/>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450</v>
      </c>
      <c r="N68" s="453" t="s">
        <v>458</v>
      </c>
      <c r="O68" s="51"/>
      <c r="P68" s="51"/>
      <c r="Q68" s="51"/>
      <c r="R68" s="51"/>
      <c r="S68" s="51"/>
      <c r="T68" s="51"/>
      <c r="U68" s="51"/>
    </row>
    <row r="69" spans="1:22" x14ac:dyDescent="0.25">
      <c r="A69" s="584" t="s">
        <v>403</v>
      </c>
      <c r="B69" s="578"/>
      <c r="C69" s="112">
        <f>E30</f>
        <v>314.95999999999992</v>
      </c>
      <c r="D69" s="565" t="s">
        <v>414</v>
      </c>
      <c r="E69" s="565"/>
      <c r="F69" s="565"/>
      <c r="G69" s="565"/>
      <c r="H69" s="300">
        <f>'1461'!H69</f>
        <v>210228.91</v>
      </c>
      <c r="I69" s="113"/>
      <c r="N69" s="600" t="s">
        <v>407</v>
      </c>
      <c r="O69" s="601"/>
      <c r="P69" s="41">
        <f>P30</f>
        <v>0</v>
      </c>
      <c r="Q69" s="606" t="s">
        <v>409</v>
      </c>
      <c r="R69" s="607"/>
      <c r="S69" s="607"/>
      <c r="T69" s="604">
        <f>H69</f>
        <v>210228.91</v>
      </c>
      <c r="U69" s="604"/>
    </row>
    <row r="70" spans="1:22" x14ac:dyDescent="0.25">
      <c r="B70" s="69"/>
      <c r="G70" s="42" t="s">
        <v>12</v>
      </c>
      <c r="H70" s="114">
        <f>ROUND(C69/H69,6)</f>
        <v>1.498E-3</v>
      </c>
      <c r="I70" s="115"/>
      <c r="N70" s="601"/>
      <c r="O70" s="601"/>
      <c r="P70" s="601"/>
      <c r="Q70" s="601"/>
      <c r="R70" s="601"/>
      <c r="S70" s="601"/>
      <c r="T70" s="605">
        <f>ROUND(P69/T69,6)</f>
        <v>0</v>
      </c>
      <c r="U70" s="605"/>
    </row>
    <row r="71" spans="1:22" x14ac:dyDescent="0.25">
      <c r="A71" s="442" t="s">
        <v>451</v>
      </c>
      <c r="N71" s="453" t="s">
        <v>459</v>
      </c>
      <c r="O71" s="51"/>
      <c r="P71" s="51"/>
      <c r="Q71" s="51"/>
      <c r="R71" s="51"/>
      <c r="S71" s="51"/>
      <c r="T71" s="51"/>
      <c r="U71" s="51"/>
    </row>
    <row r="72" spans="1:22" x14ac:dyDescent="0.25">
      <c r="A72" s="584" t="s">
        <v>404</v>
      </c>
      <c r="B72" s="578"/>
      <c r="C72" s="112">
        <f>H30</f>
        <v>357.76930000000004</v>
      </c>
      <c r="D72" s="565" t="s">
        <v>415</v>
      </c>
      <c r="E72" s="565"/>
      <c r="F72" s="565"/>
      <c r="G72" s="565"/>
      <c r="H72" s="301">
        <f>'1461'!H72</f>
        <v>234891.44</v>
      </c>
      <c r="I72" s="116"/>
      <c r="N72" s="600" t="s">
        <v>408</v>
      </c>
      <c r="O72" s="601"/>
      <c r="P72" s="41">
        <f>T30</f>
        <v>0</v>
      </c>
      <c r="Q72" s="606" t="s">
        <v>410</v>
      </c>
      <c r="R72" s="607"/>
      <c r="S72" s="607"/>
      <c r="T72" s="604">
        <f>H72</f>
        <v>234891.44</v>
      </c>
      <c r="U72" s="604"/>
    </row>
    <row r="73" spans="1:22" x14ac:dyDescent="0.25">
      <c r="G73" s="42" t="s">
        <v>12</v>
      </c>
      <c r="H73" s="114">
        <f>ROUND(C72/H72,6)</f>
        <v>1.523E-3</v>
      </c>
      <c r="I73" s="114"/>
      <c r="N73" s="601"/>
      <c r="O73" s="601"/>
      <c r="P73" s="601"/>
      <c r="Q73" s="601"/>
      <c r="R73" s="601"/>
      <c r="S73" s="601"/>
      <c r="T73" s="605">
        <f>ROUND(P72/T72,6)</f>
        <v>0</v>
      </c>
      <c r="U73" s="605"/>
    </row>
    <row r="74" spans="1:22" x14ac:dyDescent="0.25">
      <c r="A74" s="417" t="s">
        <v>452</v>
      </c>
      <c r="B74" s="414"/>
      <c r="C74" s="414"/>
      <c r="D74" s="414"/>
      <c r="E74" s="414"/>
      <c r="F74" s="414"/>
      <c r="G74" s="414"/>
      <c r="H74" s="414"/>
      <c r="I74" s="414"/>
      <c r="N74" s="416" t="s">
        <v>460</v>
      </c>
      <c r="O74" s="415"/>
      <c r="P74" s="415"/>
      <c r="Q74" s="415"/>
      <c r="R74" s="415"/>
      <c r="S74" s="415"/>
      <c r="T74" s="415"/>
      <c r="U74" s="415"/>
      <c r="V74" s="414"/>
    </row>
    <row r="75" spans="1:22" x14ac:dyDescent="0.25">
      <c r="A75" s="584" t="s">
        <v>405</v>
      </c>
      <c r="B75" s="578"/>
      <c r="C75" s="112">
        <f>E30</f>
        <v>314.95999999999992</v>
      </c>
      <c r="D75" s="557" t="s">
        <v>416</v>
      </c>
      <c r="E75" s="557"/>
      <c r="F75" s="557"/>
      <c r="G75" s="557"/>
      <c r="H75" s="300">
        <f>'1461'!H75</f>
        <v>187665.41</v>
      </c>
      <c r="I75" s="113"/>
      <c r="N75" s="600" t="s">
        <v>406</v>
      </c>
      <c r="O75" s="601"/>
      <c r="P75" s="41">
        <f>P30</f>
        <v>0</v>
      </c>
      <c r="Q75" s="636" t="s">
        <v>411</v>
      </c>
      <c r="R75" s="637"/>
      <c r="S75" s="637"/>
      <c r="T75" s="604">
        <f>H75</f>
        <v>187665.41</v>
      </c>
      <c r="U75" s="604"/>
    </row>
    <row r="76" spans="1:22" x14ac:dyDescent="0.25">
      <c r="B76" s="69"/>
      <c r="G76" s="42" t="s">
        <v>12</v>
      </c>
      <c r="H76" s="114">
        <f>ROUND(C75/H75,6)</f>
        <v>1.678E-3</v>
      </c>
      <c r="I76" s="115"/>
      <c r="N76" s="601"/>
      <c r="O76" s="601"/>
      <c r="P76" s="601"/>
      <c r="Q76" s="601"/>
      <c r="R76" s="601"/>
      <c r="S76" s="601"/>
      <c r="T76" s="605">
        <f>ROUND(P75/T75,6)</f>
        <v>0</v>
      </c>
      <c r="U76" s="605"/>
    </row>
    <row r="77" spans="1:22" x14ac:dyDescent="0.25">
      <c r="A77" s="417" t="s">
        <v>453</v>
      </c>
      <c r="B77" s="414"/>
      <c r="C77" s="414"/>
      <c r="D77" s="414"/>
      <c r="E77" s="414"/>
      <c r="F77" s="414"/>
      <c r="G77" s="414"/>
      <c r="H77" s="414"/>
      <c r="I77" s="414"/>
      <c r="N77" s="416" t="s">
        <v>461</v>
      </c>
      <c r="O77" s="415"/>
      <c r="P77" s="415"/>
      <c r="Q77" s="415"/>
      <c r="R77" s="415"/>
      <c r="S77" s="415"/>
      <c r="T77" s="415"/>
      <c r="U77" s="415"/>
      <c r="V77" s="414"/>
    </row>
    <row r="78" spans="1:22" x14ac:dyDescent="0.25">
      <c r="A78" s="584" t="s">
        <v>405</v>
      </c>
      <c r="B78" s="578"/>
      <c r="C78" s="112">
        <f>E30</f>
        <v>314.95999999999992</v>
      </c>
      <c r="D78" s="585" t="s">
        <v>417</v>
      </c>
      <c r="E78" s="585"/>
      <c r="F78" s="585"/>
      <c r="G78" s="585"/>
      <c r="H78" s="300">
        <f>'1461'!H78</f>
        <v>209892.26</v>
      </c>
      <c r="I78" s="113"/>
      <c r="N78" s="600" t="s">
        <v>406</v>
      </c>
      <c r="O78" s="601"/>
      <c r="P78" s="41">
        <f>P30</f>
        <v>0</v>
      </c>
      <c r="Q78" s="634" t="s">
        <v>412</v>
      </c>
      <c r="R78" s="635"/>
      <c r="S78" s="635"/>
      <c r="T78" s="604">
        <f>H78</f>
        <v>209892.26</v>
      </c>
      <c r="U78" s="604"/>
    </row>
    <row r="79" spans="1:22" x14ac:dyDescent="0.25">
      <c r="B79" s="69"/>
      <c r="G79" s="42" t="s">
        <v>12</v>
      </c>
      <c r="H79" s="114">
        <f>ROUND(C78/H78,6)</f>
        <v>1.5009999999999999E-3</v>
      </c>
      <c r="I79" s="115"/>
      <c r="N79" s="601"/>
      <c r="O79" s="601"/>
      <c r="P79" s="601"/>
      <c r="Q79" s="601"/>
      <c r="R79" s="601"/>
      <c r="S79" s="601"/>
      <c r="T79" s="605">
        <f>ROUND(P78/T78,6)</f>
        <v>0</v>
      </c>
      <c r="U79" s="605"/>
    </row>
    <row r="80" spans="1:22" x14ac:dyDescent="0.25">
      <c r="A80" s="417" t="s">
        <v>454</v>
      </c>
      <c r="B80" s="414"/>
      <c r="C80" s="414"/>
      <c r="D80" s="414"/>
      <c r="E80" s="414"/>
      <c r="F80" s="414"/>
      <c r="G80" s="414"/>
      <c r="H80" s="414"/>
      <c r="I80" s="414"/>
      <c r="N80" s="416" t="s">
        <v>462</v>
      </c>
      <c r="O80" s="415"/>
      <c r="P80" s="415"/>
      <c r="Q80" s="415"/>
      <c r="R80" s="415"/>
      <c r="S80" s="415"/>
      <c r="T80" s="415"/>
      <c r="U80" s="415"/>
      <c r="V80" s="414"/>
    </row>
    <row r="81" spans="1:21" x14ac:dyDescent="0.25">
      <c r="A81" s="584" t="s">
        <v>413</v>
      </c>
      <c r="B81" s="578"/>
      <c r="C81" s="112">
        <f>E30</f>
        <v>314.95999999999992</v>
      </c>
      <c r="D81" s="557" t="s">
        <v>418</v>
      </c>
      <c r="E81" s="557"/>
      <c r="F81" s="557"/>
      <c r="G81" s="557"/>
      <c r="H81" s="300">
        <f>'1461'!H81</f>
        <v>187328.76</v>
      </c>
      <c r="I81" s="113"/>
      <c r="N81" s="600" t="s">
        <v>419</v>
      </c>
      <c r="O81" s="601"/>
      <c r="P81" s="41">
        <f>P30</f>
        <v>0</v>
      </c>
      <c r="Q81" s="636" t="s">
        <v>420</v>
      </c>
      <c r="R81" s="637"/>
      <c r="S81" s="637"/>
      <c r="T81" s="604">
        <f>H81</f>
        <v>187328.76</v>
      </c>
      <c r="U81" s="604"/>
    </row>
    <row r="82" spans="1:21" x14ac:dyDescent="0.25">
      <c r="B82" s="69"/>
      <c r="G82" s="42" t="s">
        <v>12</v>
      </c>
      <c r="H82" s="114">
        <f>ROUND(C81/H81,6)</f>
        <v>1.681E-3</v>
      </c>
      <c r="I82" s="115"/>
      <c r="N82" s="601"/>
      <c r="O82" s="601"/>
      <c r="P82" s="601"/>
      <c r="Q82" s="601"/>
      <c r="R82" s="601"/>
      <c r="S82" s="601"/>
      <c r="T82" s="605">
        <f>ROUND(P81/T81,6)</f>
        <v>0</v>
      </c>
      <c r="U82" s="605"/>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455</v>
      </c>
      <c r="D85" s="69"/>
      <c r="E85" s="43" t="s">
        <v>299</v>
      </c>
      <c r="F85" s="302">
        <f>'1461'!F85</f>
        <v>46163704</v>
      </c>
      <c r="G85" s="37" t="s">
        <v>6</v>
      </c>
      <c r="H85" s="422">
        <f>H79</f>
        <v>1.5009999999999999E-3</v>
      </c>
      <c r="I85" s="101">
        <f>ROUND(F85*H85,2)</f>
        <v>69291.72</v>
      </c>
      <c r="N85" s="453" t="s">
        <v>455</v>
      </c>
      <c r="O85" s="51"/>
      <c r="P85" s="51"/>
      <c r="Q85" s="44"/>
      <c r="R85" s="419">
        <f>F85</f>
        <v>46163704</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87" t="s">
        <v>71</v>
      </c>
      <c r="B87" s="578"/>
      <c r="C87" s="578"/>
      <c r="D87" s="69"/>
      <c r="E87" s="43"/>
      <c r="F87" s="117"/>
      <c r="G87" s="37"/>
      <c r="H87" s="422"/>
      <c r="I87" s="101"/>
      <c r="N87" s="600" t="s">
        <v>463</v>
      </c>
      <c r="O87" s="601"/>
      <c r="P87" s="601"/>
      <c r="Q87" s="51"/>
      <c r="R87" s="420"/>
      <c r="S87" s="51"/>
      <c r="T87" s="38"/>
      <c r="U87" s="478"/>
    </row>
    <row r="88" spans="1:21" x14ac:dyDescent="0.25">
      <c r="A88" s="587" t="s">
        <v>99</v>
      </c>
      <c r="B88" s="578"/>
      <c r="C88" s="578"/>
      <c r="D88" s="69"/>
      <c r="E88" s="43" t="s">
        <v>3</v>
      </c>
      <c r="F88" s="302">
        <f>'1461'!F88</f>
        <v>0</v>
      </c>
      <c r="G88" s="37" t="s">
        <v>6</v>
      </c>
      <c r="H88" s="422">
        <f>H70</f>
        <v>1.498E-3</v>
      </c>
      <c r="I88" s="101">
        <f>ROUND(F88*H88,2)</f>
        <v>0</v>
      </c>
      <c r="N88" s="638" t="s">
        <v>99</v>
      </c>
      <c r="O88" s="601"/>
      <c r="P88" s="601"/>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456</v>
      </c>
      <c r="D90" s="69"/>
      <c r="E90" s="43" t="s">
        <v>421</v>
      </c>
      <c r="F90" s="302">
        <f>'1461'!F90</f>
        <v>19042026</v>
      </c>
      <c r="G90" s="37" t="s">
        <v>6</v>
      </c>
      <c r="H90" s="422">
        <f>H82</f>
        <v>1.681E-3</v>
      </c>
      <c r="I90" s="101">
        <f>ROUND(F90*H90,2)</f>
        <v>32009.65</v>
      </c>
      <c r="N90" s="453" t="s">
        <v>456</v>
      </c>
      <c r="O90" s="51"/>
      <c r="P90" s="51"/>
      <c r="Q90" s="44"/>
      <c r="R90" s="419">
        <f>F90</f>
        <v>19042026</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457</v>
      </c>
      <c r="D92" s="69"/>
      <c r="E92" s="43" t="s">
        <v>3</v>
      </c>
      <c r="F92" s="302">
        <f>'1461'!F92</f>
        <v>11441151</v>
      </c>
      <c r="G92" s="37" t="s">
        <v>6</v>
      </c>
      <c r="H92" s="422">
        <f>H76</f>
        <v>1.678E-3</v>
      </c>
      <c r="I92" s="101">
        <f t="shared" ref="I92:I96" si="14">ROUND(F92*H92,2)</f>
        <v>19198.25</v>
      </c>
      <c r="N92" s="453" t="s">
        <v>457</v>
      </c>
      <c r="O92" s="51"/>
      <c r="P92" s="51"/>
      <c r="Q92" s="44"/>
      <c r="R92" s="419">
        <f t="shared" ref="R92:R96" si="15">F92</f>
        <v>11441151</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84" t="s">
        <v>422</v>
      </c>
      <c r="B94" s="578"/>
      <c r="C94" s="578"/>
      <c r="D94" s="69"/>
      <c r="E94" s="43" t="s">
        <v>4</v>
      </c>
      <c r="F94" s="302">
        <f>'1461'!F94</f>
        <v>247265670</v>
      </c>
      <c r="G94" s="37" t="s">
        <v>6</v>
      </c>
      <c r="H94" s="422">
        <f>H73</f>
        <v>1.523E-3</v>
      </c>
      <c r="I94" s="101">
        <f t="shared" si="14"/>
        <v>376585.62</v>
      </c>
      <c r="N94" s="601" t="s">
        <v>422</v>
      </c>
      <c r="O94" s="601"/>
      <c r="P94" s="601"/>
      <c r="Q94" s="44"/>
      <c r="R94" s="419">
        <f t="shared" si="15"/>
        <v>247265670</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4" t="s">
        <v>423</v>
      </c>
      <c r="B96" s="578"/>
      <c r="C96" s="578"/>
      <c r="D96" s="69"/>
      <c r="E96" s="43" t="s">
        <v>4</v>
      </c>
      <c r="F96" s="302">
        <f>'1461'!F96</f>
        <v>0</v>
      </c>
      <c r="G96" s="37" t="s">
        <v>6</v>
      </c>
      <c r="H96" s="422">
        <f>H73</f>
        <v>1.523E-3</v>
      </c>
      <c r="I96" s="101">
        <f t="shared" si="14"/>
        <v>0</v>
      </c>
      <c r="N96" s="600" t="s">
        <v>423</v>
      </c>
      <c r="O96" s="601"/>
      <c r="P96" s="601"/>
      <c r="Q96" s="44"/>
      <c r="R96" s="419">
        <f t="shared" si="15"/>
        <v>0</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530" t="s">
        <v>497</v>
      </c>
      <c r="B98" s="529"/>
      <c r="C98" s="529"/>
      <c r="D98" s="529"/>
      <c r="E98" s="527" t="s">
        <v>3</v>
      </c>
      <c r="F98" s="290">
        <v>0</v>
      </c>
      <c r="G98" s="528" t="s">
        <v>6</v>
      </c>
      <c r="H98" s="422">
        <f>H70</f>
        <v>1.498E-3</v>
      </c>
      <c r="I98" s="101">
        <f t="shared" ref="I98" si="16">ROUND(F98*H98,2)</f>
        <v>0</v>
      </c>
      <c r="N98" s="533" t="s">
        <v>497</v>
      </c>
      <c r="O98" s="533"/>
      <c r="P98" s="533"/>
      <c r="Q98" s="44"/>
      <c r="R98" s="536">
        <f>F98</f>
        <v>0</v>
      </c>
      <c r="S98" s="534" t="s">
        <v>6</v>
      </c>
      <c r="T98" s="421">
        <f>T70</f>
        <v>0</v>
      </c>
      <c r="U98" s="473">
        <f>ROUND(R98*T98,2)</f>
        <v>0</v>
      </c>
    </row>
    <row r="99" spans="1:21" x14ac:dyDescent="0.25">
      <c r="A99" s="530"/>
      <c r="B99" s="529"/>
      <c r="C99" s="529"/>
      <c r="D99" s="529"/>
      <c r="E99" s="527"/>
      <c r="F99" s="276"/>
      <c r="G99" s="528"/>
      <c r="H99" s="422"/>
      <c r="I99" s="101"/>
      <c r="N99" s="533"/>
      <c r="O99" s="533"/>
      <c r="P99" s="533"/>
      <c r="Q99" s="44"/>
      <c r="R99" s="535"/>
      <c r="S99" s="534"/>
      <c r="T99" s="421"/>
      <c r="U99" s="477"/>
    </row>
    <row r="100" spans="1:21" x14ac:dyDescent="0.25">
      <c r="A100" s="530"/>
      <c r="B100" s="529"/>
      <c r="C100" s="529"/>
      <c r="D100" s="529"/>
      <c r="E100" s="527"/>
      <c r="F100" s="276"/>
      <c r="G100" s="528"/>
      <c r="H100" s="422"/>
      <c r="I100" s="101"/>
      <c r="N100" s="533"/>
      <c r="O100" s="533"/>
      <c r="P100" s="533"/>
      <c r="Q100" s="44"/>
      <c r="R100" s="420"/>
      <c r="S100" s="534"/>
      <c r="T100" s="421"/>
      <c r="U100" s="103"/>
    </row>
    <row r="101" spans="1:21" x14ac:dyDescent="0.25">
      <c r="A101" s="399" t="s">
        <v>498</v>
      </c>
      <c r="N101" s="407" t="s">
        <v>498</v>
      </c>
      <c r="O101" s="51"/>
      <c r="P101" s="51"/>
      <c r="Q101" s="51"/>
      <c r="R101" s="51"/>
      <c r="S101" s="51"/>
      <c r="T101" s="51"/>
      <c r="U101" s="51"/>
    </row>
    <row r="102" spans="1:21" x14ac:dyDescent="0.25">
      <c r="B102" s="69"/>
      <c r="C102" s="563" t="s">
        <v>60</v>
      </c>
      <c r="D102" s="563"/>
      <c r="E102" s="69"/>
      <c r="F102" s="39" t="s">
        <v>28</v>
      </c>
      <c r="G102" s="69"/>
      <c r="H102" s="69"/>
      <c r="I102" s="69"/>
      <c r="N102" s="45"/>
      <c r="O102" s="45"/>
      <c r="P102" s="45"/>
      <c r="Q102" s="45"/>
      <c r="R102" s="45"/>
      <c r="S102" s="45"/>
      <c r="T102" s="45"/>
      <c r="U102" s="45"/>
    </row>
    <row r="103" spans="1:21" x14ac:dyDescent="0.25">
      <c r="A103" s="3"/>
      <c r="B103" s="118"/>
      <c r="C103" s="564" t="s">
        <v>101</v>
      </c>
      <c r="D103" s="564"/>
      <c r="E103" s="423" t="s">
        <v>426</v>
      </c>
      <c r="F103" s="120" t="s">
        <v>106</v>
      </c>
      <c r="G103" s="121"/>
      <c r="H103" s="121"/>
      <c r="I103" s="121"/>
      <c r="N103" s="631" t="s">
        <v>35</v>
      </c>
      <c r="O103" s="631"/>
      <c r="P103" s="672" t="s">
        <v>428</v>
      </c>
      <c r="Q103" s="633"/>
      <c r="R103" s="604" t="s">
        <v>31</v>
      </c>
      <c r="S103" s="604"/>
      <c r="T103" s="604"/>
      <c r="U103" s="604"/>
    </row>
    <row r="104" spans="1:21" x14ac:dyDescent="0.25">
      <c r="A104" s="26"/>
      <c r="B104" s="52" t="s">
        <v>105</v>
      </c>
      <c r="C104" s="596">
        <f>H14+H15+H20+H23+H26</f>
        <v>238.30549999999999</v>
      </c>
      <c r="D104" s="596"/>
      <c r="E104" s="46">
        <f>H8</f>
        <v>1.0407999999999999</v>
      </c>
      <c r="F104" s="303">
        <f>'1461'!F104</f>
        <v>950.92</v>
      </c>
      <c r="G104" s="39" t="s">
        <v>12</v>
      </c>
      <c r="H104" s="101">
        <f>ROUND(C104*E104*F104,2)</f>
        <v>235855.13</v>
      </c>
      <c r="I104" s="104"/>
      <c r="N104" s="28" t="s">
        <v>17</v>
      </c>
      <c r="O104" s="47">
        <f>T14+T15+T20+T23+T26</f>
        <v>0</v>
      </c>
      <c r="P104" s="611">
        <f>T8</f>
        <v>1.0407999999999999</v>
      </c>
      <c r="Q104" s="611"/>
      <c r="R104" s="48">
        <f>F104</f>
        <v>950.92</v>
      </c>
      <c r="S104" s="40" t="s">
        <v>12</v>
      </c>
      <c r="T104" s="479">
        <f>ROUND(O104*P104*R104,2)</f>
        <v>0</v>
      </c>
      <c r="U104" s="102"/>
    </row>
    <row r="105" spans="1:21" x14ac:dyDescent="0.25">
      <c r="A105" s="49"/>
      <c r="B105" s="49" t="s">
        <v>104</v>
      </c>
      <c r="C105" s="596">
        <f>H16+H17+H21+H24+H27</f>
        <v>119.46379999999999</v>
      </c>
      <c r="D105" s="596"/>
      <c r="E105" s="46">
        <f>H8</f>
        <v>1.0407999999999999</v>
      </c>
      <c r="F105" s="303">
        <f>'1461'!F105</f>
        <v>907.92</v>
      </c>
      <c r="G105" s="39" t="s">
        <v>12</v>
      </c>
      <c r="H105" s="101">
        <f>ROUND(C105*E105*F105,2)</f>
        <v>112888.89</v>
      </c>
      <c r="N105" s="50" t="s">
        <v>13</v>
      </c>
      <c r="O105" s="47">
        <f>T16+T17+T21+T24+T27</f>
        <v>0</v>
      </c>
      <c r="P105" s="611">
        <f>T8</f>
        <v>1.0407999999999999</v>
      </c>
      <c r="Q105" s="611"/>
      <c r="R105" s="48">
        <f>F105</f>
        <v>907.92</v>
      </c>
      <c r="S105" s="40" t="s">
        <v>12</v>
      </c>
      <c r="T105" s="479">
        <f>ROUND(O105*P105*R105,2)</f>
        <v>0</v>
      </c>
      <c r="U105" s="51"/>
    </row>
    <row r="106" spans="1:21" ht="16.5" thickBot="1" x14ac:dyDescent="0.3">
      <c r="A106" s="52"/>
      <c r="B106" s="52" t="s">
        <v>103</v>
      </c>
      <c r="C106" s="596">
        <f>H18+H19+H22+H25+H28+H29</f>
        <v>0</v>
      </c>
      <c r="D106" s="596"/>
      <c r="E106" s="46">
        <f>H8</f>
        <v>1.0407999999999999</v>
      </c>
      <c r="F106" s="303">
        <f>'1461'!F106</f>
        <v>910.12</v>
      </c>
      <c r="G106" s="39" t="s">
        <v>12</v>
      </c>
      <c r="H106" s="94">
        <f>ROUND(C106*E106*F106,2)</f>
        <v>0</v>
      </c>
      <c r="N106" s="53" t="s">
        <v>14</v>
      </c>
      <c r="O106" s="54">
        <f>T18+T19+T22+T25+T28+T29</f>
        <v>0</v>
      </c>
      <c r="P106" s="611">
        <f>T8</f>
        <v>1.0407999999999999</v>
      </c>
      <c r="Q106" s="611"/>
      <c r="R106" s="48">
        <f>F106</f>
        <v>910.12</v>
      </c>
      <c r="S106" s="40" t="s">
        <v>12</v>
      </c>
      <c r="T106" s="479">
        <f>ROUND(O106*P106*R106,2)</f>
        <v>0</v>
      </c>
      <c r="U106" s="51"/>
    </row>
    <row r="107" spans="1:21" ht="16.5" thickBot="1" x14ac:dyDescent="0.3">
      <c r="A107" s="55"/>
      <c r="B107" s="122" t="s">
        <v>102</v>
      </c>
      <c r="C107" s="586">
        <f>SUM(C104:C106)</f>
        <v>357.76929999999999</v>
      </c>
      <c r="D107" s="586"/>
      <c r="E107" s="123"/>
      <c r="F107" s="123"/>
      <c r="G107" s="123"/>
      <c r="H107" s="124" t="s">
        <v>100</v>
      </c>
      <c r="I107" s="101">
        <f>IF(A1=75,0,H106+H105+H104)</f>
        <v>348744.02</v>
      </c>
      <c r="N107" s="56" t="s">
        <v>89</v>
      </c>
      <c r="O107" s="57">
        <f>SUM(O104:O106)</f>
        <v>0</v>
      </c>
      <c r="P107" s="612" t="s">
        <v>16</v>
      </c>
      <c r="Q107" s="613"/>
      <c r="R107" s="613"/>
      <c r="S107" s="613"/>
      <c r="T107" s="613"/>
      <c r="U107" s="473">
        <f>IF(N1=75,0,T106+T105+T104)</f>
        <v>0</v>
      </c>
    </row>
    <row r="108" spans="1:21" ht="16.5" thickTop="1" x14ac:dyDescent="0.25">
      <c r="A108" s="555" t="s">
        <v>65</v>
      </c>
      <c r="B108" s="555"/>
      <c r="C108" s="555"/>
      <c r="D108" s="555"/>
      <c r="E108" s="555"/>
      <c r="F108" s="555"/>
      <c r="G108" s="555"/>
      <c r="H108" s="555"/>
      <c r="I108" s="555"/>
      <c r="N108" s="614" t="s">
        <v>65</v>
      </c>
      <c r="O108" s="614"/>
      <c r="P108" s="614"/>
      <c r="Q108" s="614"/>
      <c r="R108" s="614"/>
      <c r="S108" s="614"/>
      <c r="T108" s="614"/>
      <c r="U108" s="614"/>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0" t="s">
        <v>499</v>
      </c>
      <c r="C110" s="43"/>
      <c r="D110" s="69"/>
      <c r="E110" s="43" t="s">
        <v>32</v>
      </c>
      <c r="F110" s="556"/>
      <c r="G110" s="556"/>
      <c r="H110" s="556"/>
      <c r="I110" s="556"/>
      <c r="N110" s="600" t="s">
        <v>499</v>
      </c>
      <c r="O110" s="601"/>
      <c r="P110" s="601"/>
      <c r="Q110" s="615"/>
      <c r="R110" s="615"/>
      <c r="S110" s="615"/>
      <c r="T110" s="615"/>
      <c r="U110" s="103"/>
    </row>
    <row r="111" spans="1:21" x14ac:dyDescent="0.25">
      <c r="B111" s="69"/>
      <c r="C111" s="88" t="s">
        <v>494</v>
      </c>
      <c r="D111" s="333" t="s">
        <v>495</v>
      </c>
      <c r="E111" s="89" t="s">
        <v>107</v>
      </c>
      <c r="F111" s="43"/>
      <c r="G111" s="43"/>
      <c r="H111" s="43"/>
      <c r="I111" s="43"/>
      <c r="N111" s="45"/>
      <c r="O111" s="45"/>
      <c r="P111" s="45"/>
      <c r="Q111" s="125"/>
      <c r="R111" s="125"/>
      <c r="S111" s="125"/>
      <c r="T111" s="125"/>
      <c r="U111" s="103"/>
    </row>
    <row r="112" spans="1:21" x14ac:dyDescent="0.25">
      <c r="B112" s="69"/>
      <c r="C112" s="326" t="s">
        <v>2</v>
      </c>
      <c r="D112" s="324" t="s">
        <v>2</v>
      </c>
      <c r="E112" s="324" t="s">
        <v>2</v>
      </c>
      <c r="F112" s="43"/>
      <c r="G112" s="43"/>
      <c r="H112" s="43"/>
      <c r="I112" s="43"/>
      <c r="N112" s="45"/>
      <c r="O112" s="45"/>
      <c r="P112" s="45"/>
      <c r="Q112" s="125"/>
      <c r="R112" s="125"/>
      <c r="S112" s="125"/>
      <c r="T112" s="125"/>
      <c r="U112" s="103"/>
    </row>
    <row r="113" spans="1:21" x14ac:dyDescent="0.25">
      <c r="A113" s="557" t="s">
        <v>381</v>
      </c>
      <c r="B113" s="558"/>
      <c r="C113" s="143">
        <v>2</v>
      </c>
      <c r="D113" s="143">
        <v>0</v>
      </c>
      <c r="E113" s="116">
        <f>(C113+D113)/2</f>
        <v>1</v>
      </c>
      <c r="F113" s="126" t="s">
        <v>30</v>
      </c>
      <c r="G113" s="304">
        <f>'1461'!G113</f>
        <v>576</v>
      </c>
      <c r="I113" s="101">
        <f>ROUND(G113*E113,2)</f>
        <v>576</v>
      </c>
      <c r="N113" s="630" t="s">
        <v>52</v>
      </c>
      <c r="O113" s="630"/>
      <c r="P113" s="610">
        <f>IF(H133=1,E113,0)</f>
        <v>0</v>
      </c>
      <c r="Q113" s="610"/>
      <c r="R113" s="610"/>
      <c r="S113" s="83" t="s">
        <v>30</v>
      </c>
      <c r="T113" s="58">
        <f>G113</f>
        <v>576</v>
      </c>
      <c r="U113" s="473">
        <f>ROUND(T113*P113,2)</f>
        <v>0</v>
      </c>
    </row>
    <row r="114" spans="1:21" x14ac:dyDescent="0.25">
      <c r="A114" s="557" t="s">
        <v>382</v>
      </c>
      <c r="B114" s="558"/>
      <c r="C114" s="143">
        <v>0</v>
      </c>
      <c r="D114" s="143">
        <v>0</v>
      </c>
      <c r="E114" s="116">
        <f>(C114+D114)/2</f>
        <v>0</v>
      </c>
      <c r="F114" s="126" t="s">
        <v>30</v>
      </c>
      <c r="G114" s="304">
        <f>'1461'!G114</f>
        <v>1823</v>
      </c>
      <c r="I114" s="101">
        <f>ROUND(G114*E114,2)</f>
        <v>0</v>
      </c>
      <c r="N114" s="630" t="s">
        <v>64</v>
      </c>
      <c r="O114" s="630"/>
      <c r="P114" s="608"/>
      <c r="Q114" s="608"/>
      <c r="R114" s="608"/>
      <c r="S114" s="83" t="s">
        <v>30</v>
      </c>
      <c r="T114" s="58">
        <f>G114</f>
        <v>1823</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4" t="s">
        <v>430</v>
      </c>
      <c r="B117" s="578"/>
      <c r="C117" s="578"/>
      <c r="D117" s="69"/>
      <c r="E117" s="39" t="s">
        <v>300</v>
      </c>
      <c r="F117" s="563"/>
      <c r="G117" s="563"/>
      <c r="H117" s="563"/>
      <c r="I117" s="563"/>
      <c r="N117" s="600" t="s">
        <v>431</v>
      </c>
      <c r="O117" s="601"/>
      <c r="P117" s="601"/>
      <c r="Q117" s="601"/>
      <c r="R117" s="601"/>
      <c r="S117" s="601"/>
      <c r="T117" s="601"/>
      <c r="U117" s="601"/>
    </row>
    <row r="118" spans="1:21" hidden="1" x14ac:dyDescent="0.25">
      <c r="B118" s="69"/>
      <c r="C118" s="564" t="s">
        <v>66</v>
      </c>
      <c r="D118" s="564"/>
      <c r="E118" s="564"/>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5" t="s">
        <v>109</v>
      </c>
      <c r="G119" s="563"/>
      <c r="H119" s="37" t="s">
        <v>29</v>
      </c>
      <c r="I119" s="37"/>
      <c r="N119" s="45"/>
      <c r="O119" s="45"/>
      <c r="P119" s="45"/>
      <c r="Q119" s="45"/>
      <c r="R119" s="45"/>
      <c r="S119" s="45"/>
      <c r="T119" s="45"/>
      <c r="U119" s="45"/>
    </row>
    <row r="120" spans="1:21" hidden="1" x14ac:dyDescent="0.25">
      <c r="A120" s="564" t="s">
        <v>69</v>
      </c>
      <c r="B120" s="564"/>
      <c r="C120" s="90" t="s">
        <v>2</v>
      </c>
      <c r="D120" s="90" t="s">
        <v>2</v>
      </c>
      <c r="E120" s="59" t="s">
        <v>2</v>
      </c>
      <c r="F120" s="564" t="s">
        <v>28</v>
      </c>
      <c r="G120" s="564"/>
      <c r="H120" s="59" t="s">
        <v>28</v>
      </c>
      <c r="I120" s="59" t="s">
        <v>8</v>
      </c>
      <c r="N120" s="609" t="s">
        <v>53</v>
      </c>
      <c r="O120" s="609"/>
      <c r="P120" s="610" t="s">
        <v>66</v>
      </c>
      <c r="Q120" s="610"/>
      <c r="R120" s="609" t="s">
        <v>54</v>
      </c>
      <c r="S120" s="609"/>
      <c r="T120" s="60" t="s">
        <v>55</v>
      </c>
      <c r="U120" s="60" t="s">
        <v>8</v>
      </c>
    </row>
    <row r="121" spans="1:21" hidden="1" x14ac:dyDescent="0.25">
      <c r="A121" s="561" t="s">
        <v>56</v>
      </c>
      <c r="B121" s="561"/>
      <c r="C121" s="141">
        <v>0</v>
      </c>
      <c r="D121" s="141">
        <v>0</v>
      </c>
      <c r="E121" s="187">
        <f>IF(D30=0,C121*2,C121+D121)</f>
        <v>0</v>
      </c>
      <c r="F121" s="562">
        <v>0</v>
      </c>
      <c r="G121" s="562"/>
      <c r="H121" s="224">
        <f>IF(C121=0,0,125)</f>
        <v>0</v>
      </c>
      <c r="I121" s="101">
        <f>ROUND((H121+F121)*E121,2)</f>
        <v>0</v>
      </c>
      <c r="N121" s="601" t="s">
        <v>56</v>
      </c>
      <c r="O121" s="601"/>
      <c r="P121" s="608">
        <f>IF(H$133=1,C121,0)</f>
        <v>0</v>
      </c>
      <c r="Q121" s="608"/>
      <c r="R121" s="628">
        <f>F121</f>
        <v>0</v>
      </c>
      <c r="S121" s="628"/>
      <c r="T121" s="62">
        <f>H121</f>
        <v>0</v>
      </c>
      <c r="U121" s="96">
        <f>ROUND((T121+R121)*P121,0)</f>
        <v>0</v>
      </c>
    </row>
    <row r="122" spans="1:21" hidden="1" x14ac:dyDescent="0.25">
      <c r="A122" s="581" t="s">
        <v>57</v>
      </c>
      <c r="B122" s="581"/>
      <c r="C122" s="143">
        <v>0</v>
      </c>
      <c r="D122" s="143">
        <v>0</v>
      </c>
      <c r="E122" s="116">
        <f>IF(D31=0,C122*2,C122+D122)</f>
        <v>0</v>
      </c>
      <c r="F122" s="598">
        <f>ROUND(F121/2,2)</f>
        <v>0</v>
      </c>
      <c r="G122" s="598"/>
      <c r="H122" s="224">
        <f>IF(C122=0,0,62.5)</f>
        <v>0</v>
      </c>
      <c r="I122" s="101">
        <f>ROUND((H122+F122)*E122,2)</f>
        <v>0</v>
      </c>
      <c r="N122" s="601" t="s">
        <v>57</v>
      </c>
      <c r="O122" s="601"/>
      <c r="P122" s="608">
        <f>IF(H$133=1,C122,0)</f>
        <v>0</v>
      </c>
      <c r="Q122" s="608"/>
      <c r="R122" s="629">
        <f>ROUND(R121/2,2)</f>
        <v>0</v>
      </c>
      <c r="S122" s="629"/>
      <c r="T122" s="62">
        <f>H122</f>
        <v>0</v>
      </c>
      <c r="U122" s="96">
        <f>ROUND((T122+R122)*P122,0)</f>
        <v>0</v>
      </c>
    </row>
    <row r="123" spans="1:21" ht="16.5" hidden="1" thickBot="1" x14ac:dyDescent="0.3">
      <c r="A123" s="581" t="s">
        <v>58</v>
      </c>
      <c r="B123" s="581"/>
      <c r="C123" s="143">
        <v>0</v>
      </c>
      <c r="D123" s="143">
        <v>0</v>
      </c>
      <c r="E123" s="116">
        <f>IF(D32=0,C123*2,C123+D123)</f>
        <v>0</v>
      </c>
      <c r="F123" s="599"/>
      <c r="G123" s="599"/>
      <c r="H123" s="225">
        <f>IF(H121&gt;0,436,0)</f>
        <v>0</v>
      </c>
      <c r="I123" s="101">
        <f>ROUND(H123*E123,2)</f>
        <v>0</v>
      </c>
      <c r="N123" s="616" t="s">
        <v>58</v>
      </c>
      <c r="O123" s="616"/>
      <c r="P123" s="608">
        <f>IF(H$133=1,C123,0)</f>
        <v>0</v>
      </c>
      <c r="Q123" s="608"/>
      <c r="R123" s="609"/>
      <c r="S123" s="609"/>
      <c r="T123" s="64">
        <f>H123</f>
        <v>0</v>
      </c>
      <c r="U123" s="103">
        <f>ROUND(T123*P123,0)</f>
        <v>0</v>
      </c>
    </row>
    <row r="124" spans="1:21" ht="16.5" hidden="1" thickBot="1" x14ac:dyDescent="0.3">
      <c r="A124" s="563" t="s">
        <v>8</v>
      </c>
      <c r="B124" s="563"/>
      <c r="C124" s="65"/>
      <c r="D124" s="65"/>
      <c r="E124" s="65"/>
      <c r="F124" s="65"/>
      <c r="G124" s="65"/>
      <c r="H124" s="65"/>
      <c r="I124" s="97">
        <f>SUM(I121:I123)</f>
        <v>0</v>
      </c>
      <c r="N124" s="627" t="s">
        <v>8</v>
      </c>
      <c r="O124" s="627"/>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4" t="s">
        <v>432</v>
      </c>
      <c r="B126" s="578"/>
      <c r="C126" s="578"/>
      <c r="D126" s="69"/>
      <c r="E126" s="68" t="s">
        <v>34</v>
      </c>
      <c r="F126" s="597"/>
      <c r="G126" s="597"/>
      <c r="H126" s="597"/>
      <c r="I126" s="154">
        <v>0</v>
      </c>
      <c r="N126" s="600" t="s">
        <v>432</v>
      </c>
      <c r="O126" s="601"/>
      <c r="P126" s="601"/>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90" t="s">
        <v>8</v>
      </c>
      <c r="B128" s="590"/>
      <c r="C128" s="590"/>
      <c r="D128" s="590"/>
      <c r="E128" s="590"/>
      <c r="F128" s="590"/>
      <c r="G128" s="590"/>
      <c r="H128" s="590"/>
      <c r="I128" s="94">
        <f>SUM(I46,I66,I85,I88,I90,I92,I94,I96,I107,I113,I114,I124,I126)</f>
        <v>2841904.1599999997</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434</v>
      </c>
      <c r="B130" s="26"/>
      <c r="C130" s="26"/>
      <c r="D130" s="26"/>
      <c r="E130" s="26"/>
      <c r="F130" s="26"/>
      <c r="G130" s="26"/>
      <c r="H130" s="26"/>
      <c r="I130" s="101">
        <f>I128-I53</f>
        <v>2724189.0799999996</v>
      </c>
      <c r="N130" s="601" t="s">
        <v>434</v>
      </c>
      <c r="O130" s="601"/>
      <c r="P130" s="601"/>
      <c r="Q130" s="601"/>
      <c r="R130" s="601"/>
      <c r="S130" s="601"/>
      <c r="T130" s="601"/>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4" t="s">
        <v>502</v>
      </c>
      <c r="B132" s="578"/>
      <c r="C132" s="578"/>
      <c r="D132" s="578"/>
      <c r="E132" s="578"/>
      <c r="F132" s="578"/>
      <c r="G132" s="578"/>
      <c r="H132" s="81" t="s">
        <v>333</v>
      </c>
      <c r="I132" s="134"/>
      <c r="N132" s="600" t="s">
        <v>502</v>
      </c>
      <c r="O132" s="601"/>
      <c r="P132" s="601"/>
      <c r="Q132" s="601"/>
      <c r="R132" s="601"/>
      <c r="S132" s="601"/>
      <c r="T132" s="601"/>
      <c r="U132" s="138"/>
    </row>
    <row r="133" spans="1:21" x14ac:dyDescent="0.25">
      <c r="A133" s="578" t="s">
        <v>70</v>
      </c>
      <c r="B133" s="578"/>
      <c r="C133" s="578"/>
      <c r="D133" s="578"/>
      <c r="E133" s="578"/>
      <c r="F133" s="578"/>
      <c r="G133" s="578"/>
      <c r="H133" s="70" t="str">
        <f>IF(E30=0,"",IF((E15+E17+SUM(E19:E25))/E30&gt;0.75,1,""))</f>
        <v/>
      </c>
      <c r="I133" s="116">
        <f>U130</f>
        <v>0</v>
      </c>
      <c r="N133" s="601" t="s">
        <v>70</v>
      </c>
      <c r="O133" s="601"/>
      <c r="P133" s="601"/>
      <c r="Q133" s="601"/>
      <c r="R133" s="601"/>
      <c r="S133" s="601"/>
      <c r="T133" s="601"/>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2724189.0799999996</v>
      </c>
      <c r="I135" s="94">
        <f>ROUND(IF(E30=0,0,IF(E30&gt;250,-(((250/E30)*H135)*IF(G135="H",0.02,0.05)),IF(G135="H",-0.02*H135,-0.05*H135))),2)</f>
        <v>-108116.47</v>
      </c>
      <c r="N135" s="626"/>
      <c r="O135" s="626"/>
      <c r="P135" s="626"/>
      <c r="Q135" s="626"/>
      <c r="R135" s="626"/>
      <c r="S135" s="626"/>
      <c r="T135" s="626"/>
      <c r="U135" s="626"/>
    </row>
    <row r="136" spans="1:21" x14ac:dyDescent="0.25">
      <c r="B136" s="69"/>
      <c r="C136" s="69"/>
      <c r="D136" s="69"/>
      <c r="E136" s="69"/>
      <c r="F136" s="69"/>
      <c r="G136" s="69"/>
      <c r="H136" s="65"/>
      <c r="I136" s="101"/>
      <c r="N136" s="624" t="s">
        <v>7</v>
      </c>
      <c r="O136" s="624"/>
      <c r="P136" s="624"/>
      <c r="Q136" s="624"/>
      <c r="R136" s="624"/>
      <c r="S136" s="624"/>
      <c r="T136" s="624"/>
      <c r="U136" s="624"/>
    </row>
    <row r="137" spans="1:21" x14ac:dyDescent="0.25">
      <c r="A137" s="309" t="s">
        <v>74</v>
      </c>
      <c r="B137" s="310"/>
      <c r="C137" s="310"/>
      <c r="D137" s="310"/>
      <c r="E137" s="310"/>
      <c r="F137" s="310"/>
      <c r="G137" s="310"/>
      <c r="H137" s="311"/>
      <c r="I137" s="312">
        <f>I128+I135</f>
        <v>2733787.6899999995</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81" t="s">
        <v>242</v>
      </c>
      <c r="B139" s="69"/>
      <c r="C139" s="140"/>
      <c r="D139" s="69"/>
      <c r="F139" s="69"/>
      <c r="G139" s="69"/>
      <c r="H139" s="65"/>
      <c r="I139" s="272">
        <f>-'Cumulative Payments'!Q100</f>
        <v>0</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267">
        <f>I137+I139</f>
        <v>2733787.6899999995</v>
      </c>
      <c r="N141" s="73"/>
      <c r="O141" s="73"/>
      <c r="P141" s="73"/>
      <c r="Q141" s="73"/>
      <c r="R141" s="73"/>
      <c r="S141" s="73"/>
      <c r="T141" s="73"/>
      <c r="U141" s="73"/>
    </row>
    <row r="142" spans="1:21" x14ac:dyDescent="0.25">
      <c r="A142" s="81"/>
      <c r="B142" s="69"/>
      <c r="C142" s="69"/>
      <c r="D142" s="69"/>
      <c r="E142" s="69"/>
      <c r="F142" s="69"/>
      <c r="G142" s="69"/>
      <c r="H142" s="65"/>
      <c r="I142" s="267"/>
      <c r="N142" s="73"/>
      <c r="O142" s="73"/>
      <c r="P142" s="73"/>
      <c r="Q142" s="73"/>
      <c r="R142" s="73"/>
      <c r="S142" s="73"/>
      <c r="T142" s="73"/>
      <c r="U142" s="73"/>
    </row>
    <row r="143" spans="1:21" x14ac:dyDescent="0.25">
      <c r="A143" s="81" t="s">
        <v>248</v>
      </c>
      <c r="B143" s="69"/>
      <c r="C143" s="69"/>
      <c r="D143" s="69"/>
      <c r="E143" s="69"/>
      <c r="F143" s="69"/>
      <c r="G143" s="69"/>
      <c r="H143" s="65"/>
      <c r="I143" s="274">
        <f>'1461'!I143</f>
        <v>12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227815.64</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28092.98</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372</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373</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374</v>
      </c>
      <c r="B155" s="252"/>
      <c r="C155" s="252"/>
      <c r="D155" s="252"/>
      <c r="E155" s="252"/>
      <c r="F155" s="252"/>
      <c r="G155" s="252"/>
      <c r="H155" s="252"/>
      <c r="I155" s="252"/>
      <c r="N155" s="625"/>
      <c r="O155" s="625"/>
      <c r="P155" s="625"/>
      <c r="Q155" s="625"/>
      <c r="R155" s="625"/>
      <c r="S155" s="625"/>
      <c r="T155" s="625"/>
      <c r="U155" s="625"/>
    </row>
    <row r="156" spans="1:21" s="76" customFormat="1" x14ac:dyDescent="0.2">
      <c r="A156" s="320" t="s">
        <v>375</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376</v>
      </c>
      <c r="B157" s="252"/>
      <c r="C157" s="252"/>
      <c r="D157" s="252"/>
      <c r="E157" s="252"/>
      <c r="F157" s="252"/>
      <c r="G157" s="252"/>
      <c r="H157" s="252"/>
      <c r="I157" s="252"/>
      <c r="N157" s="78"/>
      <c r="O157" s="79"/>
      <c r="P157" s="79"/>
      <c r="Q157" s="79"/>
      <c r="R157" s="79"/>
      <c r="S157" s="79"/>
      <c r="T157" s="79"/>
      <c r="U157" s="79"/>
    </row>
    <row r="158" spans="1:21" s="76" customFormat="1" x14ac:dyDescent="0.2">
      <c r="A158" s="320" t="s">
        <v>377</v>
      </c>
      <c r="B158" s="252"/>
      <c r="C158" s="252"/>
      <c r="D158" s="252"/>
      <c r="E158" s="252"/>
      <c r="F158" s="252"/>
      <c r="G158" s="252"/>
      <c r="H158" s="252"/>
      <c r="I158" s="252"/>
      <c r="N158" s="78"/>
    </row>
    <row r="159" spans="1:21" s="76" customFormat="1" x14ac:dyDescent="0.2">
      <c r="A159" s="320" t="s">
        <v>379</v>
      </c>
      <c r="B159" s="252"/>
      <c r="C159" s="252"/>
      <c r="D159" s="252"/>
      <c r="E159" s="252"/>
      <c r="F159" s="252"/>
      <c r="G159" s="252"/>
      <c r="H159" s="252"/>
      <c r="I159" s="252"/>
      <c r="N159" s="78"/>
    </row>
    <row r="160" spans="1:21" s="76" customFormat="1" x14ac:dyDescent="0.2">
      <c r="A160" s="385" t="s">
        <v>378</v>
      </c>
      <c r="B160" s="252"/>
      <c r="C160" s="252"/>
      <c r="D160" s="252"/>
      <c r="E160" s="252"/>
      <c r="F160" s="252"/>
      <c r="G160" s="252"/>
      <c r="H160" s="252"/>
      <c r="I160" s="252"/>
      <c r="N160" s="78"/>
    </row>
    <row r="161" spans="1:14" s="76" customFormat="1" x14ac:dyDescent="0.2">
      <c r="A161" s="320" t="s">
        <v>380</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383</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385</v>
      </c>
      <c r="B165" s="293"/>
      <c r="C165" s="293"/>
      <c r="D165" s="293"/>
      <c r="E165" s="293"/>
      <c r="F165" s="293"/>
      <c r="G165" s="293"/>
      <c r="H165" s="293"/>
      <c r="I165" s="293"/>
      <c r="N165" s="78"/>
    </row>
    <row r="166" spans="1:14" s="76" customFormat="1" ht="15.75" customHeight="1" x14ac:dyDescent="0.2">
      <c r="A166" s="351" t="s">
        <v>384</v>
      </c>
      <c r="B166" s="293"/>
      <c r="C166" s="293"/>
      <c r="D166" s="293"/>
      <c r="E166" s="293"/>
      <c r="F166" s="293"/>
      <c r="G166" s="293"/>
      <c r="H166" s="293"/>
      <c r="I166" s="293"/>
      <c r="N166" s="78"/>
    </row>
    <row r="167" spans="1:14" s="76" customFormat="1" ht="15.75" customHeight="1" x14ac:dyDescent="0.2">
      <c r="A167" s="320" t="s">
        <v>386</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388</v>
      </c>
      <c r="B169" s="343"/>
      <c r="C169" s="343"/>
      <c r="D169" s="343"/>
      <c r="E169" s="343"/>
      <c r="F169" s="343"/>
      <c r="G169" s="343"/>
      <c r="H169" s="343"/>
      <c r="I169" s="343"/>
      <c r="N169" s="78"/>
    </row>
    <row r="170" spans="1:14" s="76" customFormat="1" ht="15.75" customHeight="1" x14ac:dyDescent="0.2">
      <c r="A170" s="351" t="s">
        <v>387</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389</v>
      </c>
      <c r="B175" s="293"/>
      <c r="C175" s="293"/>
      <c r="D175" s="293"/>
      <c r="E175" s="293"/>
      <c r="F175" s="293"/>
      <c r="G175" s="293"/>
      <c r="H175" s="293"/>
      <c r="I175" s="293"/>
      <c r="J175" s="3"/>
      <c r="K175" s="3"/>
      <c r="L175" s="3"/>
      <c r="M175" s="3"/>
      <c r="N175" s="78"/>
    </row>
    <row r="176" spans="1:14" s="76" customFormat="1" ht="15.75" customHeight="1" x14ac:dyDescent="0.2">
      <c r="A176" s="361" t="s">
        <v>390</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c r="K206" s="251"/>
    </row>
    <row r="207" spans="1:14" x14ac:dyDescent="0.25">
      <c r="A207" s="74"/>
      <c r="K207" s="251"/>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N130:T130"/>
    <mergeCell ref="A128:H128"/>
    <mergeCell ref="A132:G132"/>
    <mergeCell ref="N135:U135"/>
    <mergeCell ref="A133:G133"/>
    <mergeCell ref="N136:U136"/>
    <mergeCell ref="A123:B123"/>
    <mergeCell ref="F123:G123"/>
    <mergeCell ref="N123:O123"/>
    <mergeCell ref="P123:Q123"/>
    <mergeCell ref="R123:S123"/>
    <mergeCell ref="A124:B124"/>
    <mergeCell ref="N124:O124"/>
    <mergeCell ref="A126:C126"/>
    <mergeCell ref="F126:H126"/>
    <mergeCell ref="N126:P126"/>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T78:U78"/>
    <mergeCell ref="A96:C96"/>
    <mergeCell ref="N96:P96"/>
    <mergeCell ref="C102:D102"/>
    <mergeCell ref="C103:D103"/>
    <mergeCell ref="N103:O103"/>
    <mergeCell ref="P103:Q103"/>
    <mergeCell ref="N88:P88"/>
    <mergeCell ref="R103:U103"/>
    <mergeCell ref="T72:U72"/>
    <mergeCell ref="R66:T66"/>
    <mergeCell ref="A88:C88"/>
    <mergeCell ref="A94:C94"/>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2">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6" t="s">
        <v>15</v>
      </c>
      <c r="C1" s="567"/>
      <c r="D1" s="567"/>
      <c r="E1" s="567"/>
      <c r="F1" s="567"/>
      <c r="G1" s="567"/>
      <c r="H1" s="567"/>
      <c r="I1" s="567"/>
      <c r="J1" s="135"/>
      <c r="K1" s="135"/>
      <c r="L1" s="135"/>
      <c r="N1" s="82">
        <f>A1</f>
        <v>0</v>
      </c>
      <c r="O1" s="658" t="s">
        <v>15</v>
      </c>
      <c r="P1" s="659"/>
      <c r="Q1" s="659"/>
      <c r="R1" s="659"/>
      <c r="S1" s="659"/>
      <c r="T1" s="659"/>
      <c r="U1" s="659"/>
    </row>
    <row r="2" spans="1:21" ht="21" x14ac:dyDescent="0.35">
      <c r="A2" s="1" t="s">
        <v>335</v>
      </c>
      <c r="B2" s="2"/>
      <c r="C2" s="2"/>
      <c r="D2" s="2"/>
      <c r="E2" s="2"/>
      <c r="F2" s="2"/>
      <c r="G2" s="2"/>
      <c r="H2" s="2"/>
      <c r="I2" s="2"/>
      <c r="N2" s="660" t="s">
        <v>18</v>
      </c>
      <c r="O2" s="660"/>
      <c r="P2" s="660"/>
      <c r="Q2" s="660"/>
      <c r="R2" s="660"/>
      <c r="S2" s="660"/>
      <c r="T2" s="660"/>
      <c r="U2" s="660"/>
    </row>
    <row r="3" spans="1:21" x14ac:dyDescent="0.25">
      <c r="A3" s="81" t="str">
        <f>'1461'!A3</f>
        <v>Based on the FLDOE 2024-25 Conference Calculation</v>
      </c>
      <c r="N3" s="627" t="str">
        <f>A3</f>
        <v>Based on the FLDOE 2024-25 Conference Calculation</v>
      </c>
      <c r="O3" s="627"/>
      <c r="P3" s="627"/>
      <c r="Q3" s="627"/>
      <c r="R3" s="627"/>
      <c r="S3" s="627"/>
      <c r="T3" s="627"/>
      <c r="U3" s="627"/>
    </row>
    <row r="4" spans="1:21" x14ac:dyDescent="0.25">
      <c r="A4" s="568" t="s">
        <v>0</v>
      </c>
      <c r="B4" s="568"/>
      <c r="C4" s="569" t="s">
        <v>9</v>
      </c>
      <c r="D4" s="569"/>
      <c r="E4" s="569"/>
      <c r="F4" s="4" t="str">
        <f>'1461'!F4</f>
        <v>July 2024</v>
      </c>
      <c r="G4" s="4"/>
      <c r="H4" s="4"/>
      <c r="I4" s="4"/>
      <c r="N4" s="661" t="s">
        <v>0</v>
      </c>
      <c r="O4" s="661"/>
      <c r="P4" s="662" t="str">
        <f>C4</f>
        <v>Palm Beach</v>
      </c>
      <c r="Q4" s="662"/>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70" t="s">
        <v>433</v>
      </c>
      <c r="B7" s="664"/>
      <c r="C7" s="664"/>
      <c r="D7" s="664"/>
      <c r="E7" s="664"/>
      <c r="F7" s="664"/>
      <c r="G7" s="664"/>
      <c r="H7" s="664"/>
      <c r="I7" s="664"/>
      <c r="N7" s="661" t="str">
        <f>A7</f>
        <v>1A.   2023-24 FEFP State and Local Funding</v>
      </c>
      <c r="O7" s="661"/>
      <c r="P7" s="661"/>
      <c r="Q7" s="661"/>
      <c r="R7" s="661"/>
      <c r="S7" s="661"/>
      <c r="T7" s="661"/>
      <c r="U7" s="661"/>
    </row>
    <row r="8" spans="1:21" x14ac:dyDescent="0.25">
      <c r="A8" s="84"/>
      <c r="B8" s="85" t="s">
        <v>92</v>
      </c>
      <c r="C8" s="299">
        <f>'1461'!C8</f>
        <v>5330.98</v>
      </c>
      <c r="D8" s="86"/>
      <c r="E8" s="87"/>
      <c r="F8" s="84"/>
      <c r="G8" s="85" t="s">
        <v>393</v>
      </c>
      <c r="H8" s="287">
        <f>'1461'!H8</f>
        <v>1.0407999999999999</v>
      </c>
      <c r="I8" s="75"/>
      <c r="N8" s="665" t="s">
        <v>10</v>
      </c>
      <c r="O8" s="665"/>
      <c r="P8" s="666">
        <f>C8</f>
        <v>5330.98</v>
      </c>
      <c r="Q8" s="666"/>
      <c r="R8" s="648" t="s">
        <v>394</v>
      </c>
      <c r="S8" s="649"/>
      <c r="T8" s="650">
        <f>H8</f>
        <v>1.0407999999999999</v>
      </c>
      <c r="U8" s="650"/>
    </row>
    <row r="9" spans="1:21" x14ac:dyDescent="0.25">
      <c r="A9" s="84"/>
      <c r="B9" s="85"/>
      <c r="C9" s="222"/>
      <c r="D9" s="86"/>
      <c r="E9" s="87"/>
      <c r="F9" s="84"/>
      <c r="G9" s="85" t="s">
        <v>391</v>
      </c>
      <c r="H9" s="287">
        <f>'1461'!H9</f>
        <v>1</v>
      </c>
      <c r="I9" s="75"/>
      <c r="N9" s="12"/>
      <c r="O9" s="12"/>
      <c r="P9" s="13"/>
      <c r="Q9" s="13"/>
      <c r="R9" s="387" t="s">
        <v>392</v>
      </c>
      <c r="S9" s="384"/>
      <c r="T9" s="650">
        <f>H9</f>
        <v>1</v>
      </c>
      <c r="U9" s="650"/>
    </row>
    <row r="10" spans="1:21" x14ac:dyDescent="0.25">
      <c r="A10" s="7"/>
      <c r="B10" s="42" t="s">
        <v>310</v>
      </c>
      <c r="C10" s="456" t="str">
        <f>'1461'!C10</f>
        <v xml:space="preserve"> </v>
      </c>
      <c r="D10" s="88" t="str">
        <f>'1461'!D10</f>
        <v xml:space="preserve"> </v>
      </c>
      <c r="E10" s="8"/>
      <c r="F10" s="9"/>
      <c r="G10" s="9"/>
      <c r="H10" s="10"/>
      <c r="I10" s="305" t="str">
        <f>'1461'!I10</f>
        <v>2024-25</v>
      </c>
      <c r="J10" s="254"/>
      <c r="K10" s="65"/>
      <c r="L10" s="65"/>
      <c r="N10" s="12"/>
      <c r="O10" s="12"/>
      <c r="P10" s="13"/>
      <c r="Q10" s="13"/>
      <c r="R10" s="14"/>
      <c r="S10" s="14"/>
      <c r="T10" s="15"/>
      <c r="U10" s="366" t="str">
        <f>I10</f>
        <v>2024-25</v>
      </c>
    </row>
    <row r="11" spans="1:21" x14ac:dyDescent="0.25">
      <c r="A11" s="7"/>
      <c r="B11" s="7"/>
      <c r="C11" s="88" t="str">
        <f>'1461'!C11</f>
        <v>Oct 2023</v>
      </c>
      <c r="D11" s="333" t="str">
        <f>'1461'!D11</f>
        <v>Feb 2024</v>
      </c>
      <c r="E11" s="89" t="s">
        <v>8</v>
      </c>
      <c r="F11" s="571" t="s">
        <v>1</v>
      </c>
      <c r="G11" s="571"/>
      <c r="H11" s="10" t="s">
        <v>60</v>
      </c>
      <c r="I11" s="11" t="s">
        <v>27</v>
      </c>
      <c r="J11" s="256"/>
      <c r="K11" s="255"/>
      <c r="L11" s="255"/>
      <c r="N11" s="12"/>
      <c r="O11" s="12"/>
      <c r="P11" s="13"/>
      <c r="Q11" s="13"/>
      <c r="R11" s="651" t="s">
        <v>1</v>
      </c>
      <c r="S11" s="651"/>
      <c r="T11" s="15" t="s">
        <v>60</v>
      </c>
      <c r="U11" s="16" t="s">
        <v>27</v>
      </c>
    </row>
    <row r="12" spans="1:21" ht="15.75" customHeight="1" x14ac:dyDescent="0.25">
      <c r="A12" s="572" t="s">
        <v>1</v>
      </c>
      <c r="B12" s="572"/>
      <c r="C12" s="326" t="str">
        <f>'1461'!C12</f>
        <v>FTE</v>
      </c>
      <c r="D12" s="324" t="str">
        <f>'1461'!D12</f>
        <v>FTE</v>
      </c>
      <c r="E12" s="324" t="s">
        <v>2</v>
      </c>
      <c r="F12" s="573" t="s">
        <v>63</v>
      </c>
      <c r="G12" s="573"/>
      <c r="H12" s="17" t="s">
        <v>59</v>
      </c>
      <c r="I12" s="388" t="s">
        <v>395</v>
      </c>
      <c r="J12" s="254"/>
      <c r="K12" s="255"/>
      <c r="L12" s="255"/>
      <c r="N12" s="639" t="s">
        <v>1</v>
      </c>
      <c r="O12" s="639"/>
      <c r="P12" s="652" t="s">
        <v>19</v>
      </c>
      <c r="Q12" s="652"/>
      <c r="R12" s="653" t="s">
        <v>63</v>
      </c>
      <c r="S12" s="653"/>
      <c r="T12" s="18" t="s">
        <v>59</v>
      </c>
      <c r="U12" s="19" t="str">
        <f>I12</f>
        <v>(WFTE x BSA x CWF x SDF)</v>
      </c>
    </row>
    <row r="13" spans="1:21" x14ac:dyDescent="0.25">
      <c r="A13" s="574" t="s">
        <v>36</v>
      </c>
      <c r="B13" s="574"/>
      <c r="C13" s="91"/>
      <c r="D13" s="91"/>
      <c r="E13" s="92" t="s">
        <v>37</v>
      </c>
      <c r="F13" s="575" t="s">
        <v>38</v>
      </c>
      <c r="G13" s="575"/>
      <c r="H13" s="20" t="s">
        <v>39</v>
      </c>
      <c r="I13" s="21" t="s">
        <v>40</v>
      </c>
      <c r="K13" s="255"/>
      <c r="L13" s="255"/>
      <c r="N13" s="654" t="s">
        <v>36</v>
      </c>
      <c r="O13" s="654"/>
      <c r="P13" s="655" t="s">
        <v>37</v>
      </c>
      <c r="Q13" s="655"/>
      <c r="R13" s="656" t="s">
        <v>38</v>
      </c>
      <c r="S13" s="656"/>
      <c r="T13" s="22" t="s">
        <v>39</v>
      </c>
      <c r="U13" s="23" t="s">
        <v>40</v>
      </c>
    </row>
    <row r="14" spans="1:21" x14ac:dyDescent="0.25">
      <c r="A14" s="576" t="s">
        <v>20</v>
      </c>
      <c r="B14" s="576"/>
      <c r="C14" s="143">
        <v>86.26</v>
      </c>
      <c r="D14" s="141">
        <v>82.93</v>
      </c>
      <c r="E14" s="187">
        <f>IF(D$30=0,C14*2,C14+D14)</f>
        <v>169.19</v>
      </c>
      <c r="F14" s="667">
        <f>'1461'!F14:G14</f>
        <v>1.1180000000000001</v>
      </c>
      <c r="G14" s="667"/>
      <c r="H14" s="145">
        <f>ROUND(E14*F14,4)</f>
        <v>189.15440000000001</v>
      </c>
      <c r="I14" s="111">
        <f>ROUND(ROUND(ROUND(H14*$C$8,4)*($H$8),2)*(MAX($H$9,1)),2)</f>
        <v>1049520.1599999999</v>
      </c>
      <c r="N14" s="641" t="s">
        <v>20</v>
      </c>
      <c r="O14" s="641"/>
      <c r="P14" s="642">
        <f t="shared" ref="P14:P29" si="0">IF($H$133=1,E14,0)</f>
        <v>0</v>
      </c>
      <c r="Q14" s="642"/>
      <c r="R14" s="657">
        <v>1</v>
      </c>
      <c r="S14" s="657"/>
      <c r="T14" s="95">
        <f>ROUND(P14*R14,4)</f>
        <v>0</v>
      </c>
      <c r="U14" s="473">
        <f>ROUND(ROUND(ROUND(T14*$C$8,4)*($H$8),2)*(MAX($H$9,1)),2)</f>
        <v>0</v>
      </c>
    </row>
    <row r="15" spans="1:21" x14ac:dyDescent="0.25">
      <c r="A15" s="578" t="s">
        <v>21</v>
      </c>
      <c r="B15" s="578"/>
      <c r="C15" s="143">
        <v>9.5</v>
      </c>
      <c r="D15" s="143">
        <v>8.52</v>
      </c>
      <c r="E15" s="116">
        <f t="shared" ref="E15:E29" si="1">IF(D$30=0,C15*2,C15+D15)</f>
        <v>18.02</v>
      </c>
      <c r="F15" s="663">
        <f>'1461'!F15:G15</f>
        <v>1.1180000000000001</v>
      </c>
      <c r="G15" s="663"/>
      <c r="H15" s="80">
        <f t="shared" ref="H15:H29" si="2">ROUND(E15*F15,4)</f>
        <v>20.1464</v>
      </c>
      <c r="I15" s="101">
        <f t="shared" ref="I15:I29" si="3">ROUND(ROUND(ROUND(H15*$C$8,4)*($H$8),2)*(MAX($H$9,1)),2)</f>
        <v>111781.98</v>
      </c>
      <c r="J15" s="65" t="str">
        <f>IF(ROUND(E15,2)=ROUND(SUM(E57:E59),2)," ","CHECK PK-3 LINES BELOW")</f>
        <v xml:space="preserve"> </v>
      </c>
      <c r="N15" s="601" t="s">
        <v>21</v>
      </c>
      <c r="O15" s="601"/>
      <c r="P15" s="642">
        <f t="shared" si="0"/>
        <v>0</v>
      </c>
      <c r="Q15" s="642"/>
      <c r="R15" s="647">
        <v>1</v>
      </c>
      <c r="S15" s="647"/>
      <c r="T15" s="95">
        <f t="shared" ref="T15:T29" si="4">ROUND(P15*R15,4)</f>
        <v>0</v>
      </c>
      <c r="U15" s="473">
        <f t="shared" ref="U15:U29" si="5">ROUND(ROUND(ROUND(T15*$C$8,4)*($H$8),2)*(MAX($H$9,1)),2)</f>
        <v>0</v>
      </c>
    </row>
    <row r="16" spans="1:21" x14ac:dyDescent="0.25">
      <c r="A16" s="578" t="s">
        <v>22</v>
      </c>
      <c r="B16" s="578"/>
      <c r="C16" s="143">
        <v>107.81</v>
      </c>
      <c r="D16" s="143">
        <v>103.57</v>
      </c>
      <c r="E16" s="116">
        <f t="shared" si="1"/>
        <v>211.38</v>
      </c>
      <c r="F16" s="663">
        <f>'1461'!F16:G16</f>
        <v>1</v>
      </c>
      <c r="G16" s="663"/>
      <c r="H16" s="80">
        <f t="shared" si="2"/>
        <v>211.38</v>
      </c>
      <c r="I16" s="101">
        <f t="shared" si="3"/>
        <v>1172838.54</v>
      </c>
      <c r="N16" s="601" t="s">
        <v>22</v>
      </c>
      <c r="O16" s="601"/>
      <c r="P16" s="642">
        <f t="shared" si="0"/>
        <v>0</v>
      </c>
      <c r="Q16" s="642"/>
      <c r="R16" s="647">
        <v>1</v>
      </c>
      <c r="S16" s="647"/>
      <c r="T16" s="95">
        <f t="shared" si="4"/>
        <v>0</v>
      </c>
      <c r="U16" s="473">
        <f t="shared" si="5"/>
        <v>0</v>
      </c>
    </row>
    <row r="17" spans="1:21" x14ac:dyDescent="0.25">
      <c r="A17" s="578" t="s">
        <v>23</v>
      </c>
      <c r="B17" s="578"/>
      <c r="C17" s="143">
        <v>23</v>
      </c>
      <c r="D17" s="143">
        <v>21.01</v>
      </c>
      <c r="E17" s="116">
        <f t="shared" si="1"/>
        <v>44.010000000000005</v>
      </c>
      <c r="F17" s="663">
        <f>'1461'!F17:G17</f>
        <v>1</v>
      </c>
      <c r="G17" s="663"/>
      <c r="H17" s="80">
        <f t="shared" si="2"/>
        <v>44.01</v>
      </c>
      <c r="I17" s="101">
        <f t="shared" si="3"/>
        <v>244188.78</v>
      </c>
      <c r="J17" s="65" t="str">
        <f>IF(ROUND(E17,2)=ROUND(SUM(E60:E62),2)," ","CHECK 4-8 LINES BELOW")</f>
        <v xml:space="preserve"> </v>
      </c>
      <c r="N17" s="601" t="s">
        <v>23</v>
      </c>
      <c r="O17" s="601"/>
      <c r="P17" s="642">
        <f t="shared" si="0"/>
        <v>0</v>
      </c>
      <c r="Q17" s="642"/>
      <c r="R17" s="647">
        <v>1</v>
      </c>
      <c r="S17" s="647"/>
      <c r="T17" s="95">
        <f t="shared" si="4"/>
        <v>0</v>
      </c>
      <c r="U17" s="473">
        <f t="shared" si="5"/>
        <v>0</v>
      </c>
    </row>
    <row r="18" spans="1:21" x14ac:dyDescent="0.25">
      <c r="A18" s="578" t="s">
        <v>24</v>
      </c>
      <c r="B18" s="578"/>
      <c r="C18" s="143">
        <v>0</v>
      </c>
      <c r="D18" s="143">
        <v>0</v>
      </c>
      <c r="E18" s="116">
        <f t="shared" si="1"/>
        <v>0</v>
      </c>
      <c r="F18" s="663">
        <f>'1461'!F18:G18</f>
        <v>0.97799999999999998</v>
      </c>
      <c r="G18" s="663"/>
      <c r="H18" s="80">
        <f t="shared" si="2"/>
        <v>0</v>
      </c>
      <c r="I18" s="101">
        <f t="shared" si="3"/>
        <v>0</v>
      </c>
      <c r="N18" s="601" t="s">
        <v>24</v>
      </c>
      <c r="O18" s="601"/>
      <c r="P18" s="642">
        <f t="shared" si="0"/>
        <v>0</v>
      </c>
      <c r="Q18" s="642"/>
      <c r="R18" s="647">
        <v>1</v>
      </c>
      <c r="S18" s="647"/>
      <c r="T18" s="95">
        <f t="shared" si="4"/>
        <v>0</v>
      </c>
      <c r="U18" s="473">
        <f t="shared" si="5"/>
        <v>0</v>
      </c>
    </row>
    <row r="19" spans="1:21" x14ac:dyDescent="0.25">
      <c r="A19" s="578" t="s">
        <v>25</v>
      </c>
      <c r="B19" s="578"/>
      <c r="C19" s="143">
        <v>0</v>
      </c>
      <c r="D19" s="143">
        <v>0</v>
      </c>
      <c r="E19" s="116">
        <f t="shared" si="1"/>
        <v>0</v>
      </c>
      <c r="F19" s="663">
        <f>'1461'!F19:G19</f>
        <v>0.97799999999999998</v>
      </c>
      <c r="G19" s="663"/>
      <c r="H19" s="80">
        <f t="shared" si="2"/>
        <v>0</v>
      </c>
      <c r="I19" s="101">
        <f t="shared" si="3"/>
        <v>0</v>
      </c>
      <c r="J19" s="65" t="str">
        <f>IF(ROUND(E19,2)=ROUND(SUM(E63:E65),2)," ","CHECK 4-8 LINES BELOW")</f>
        <v xml:space="preserve"> </v>
      </c>
      <c r="N19" s="601" t="s">
        <v>25</v>
      </c>
      <c r="O19" s="601"/>
      <c r="P19" s="642">
        <f t="shared" si="0"/>
        <v>0</v>
      </c>
      <c r="Q19" s="642"/>
      <c r="R19" s="647">
        <v>1</v>
      </c>
      <c r="S19" s="647"/>
      <c r="T19" s="95">
        <f t="shared" si="4"/>
        <v>0</v>
      </c>
      <c r="U19" s="472">
        <f t="shared" si="5"/>
        <v>0</v>
      </c>
    </row>
    <row r="20" spans="1:21" x14ac:dyDescent="0.25">
      <c r="A20" s="578" t="s">
        <v>79</v>
      </c>
      <c r="B20" s="578"/>
      <c r="C20" s="143">
        <v>0</v>
      </c>
      <c r="D20" s="143">
        <v>0</v>
      </c>
      <c r="E20" s="116">
        <f t="shared" si="1"/>
        <v>0</v>
      </c>
      <c r="F20" s="663">
        <f>'1461'!F20:G20</f>
        <v>3.6970000000000001</v>
      </c>
      <c r="G20" s="663"/>
      <c r="H20" s="80">
        <f t="shared" si="2"/>
        <v>0</v>
      </c>
      <c r="I20" s="101">
        <f t="shared" si="3"/>
        <v>0</v>
      </c>
      <c r="N20" s="601" t="s">
        <v>79</v>
      </c>
      <c r="O20" s="601"/>
      <c r="P20" s="642">
        <f t="shared" si="0"/>
        <v>0</v>
      </c>
      <c r="Q20" s="642"/>
      <c r="R20" s="647">
        <v>1</v>
      </c>
      <c r="S20" s="647"/>
      <c r="T20" s="95">
        <f t="shared" si="4"/>
        <v>0</v>
      </c>
      <c r="U20" s="473">
        <f t="shared" si="5"/>
        <v>0</v>
      </c>
    </row>
    <row r="21" spans="1:21" x14ac:dyDescent="0.25">
      <c r="A21" s="578" t="s">
        <v>80</v>
      </c>
      <c r="B21" s="578"/>
      <c r="C21" s="143">
        <v>0</v>
      </c>
      <c r="D21" s="143">
        <v>0</v>
      </c>
      <c r="E21" s="116">
        <f t="shared" si="1"/>
        <v>0</v>
      </c>
      <c r="F21" s="663">
        <f>'1461'!F21:G21</f>
        <v>3.6970000000000001</v>
      </c>
      <c r="G21" s="663"/>
      <c r="H21" s="80">
        <f t="shared" si="2"/>
        <v>0</v>
      </c>
      <c r="I21" s="101">
        <f t="shared" si="3"/>
        <v>0</v>
      </c>
      <c r="N21" s="601" t="s">
        <v>80</v>
      </c>
      <c r="O21" s="601"/>
      <c r="P21" s="642">
        <f t="shared" si="0"/>
        <v>0</v>
      </c>
      <c r="Q21" s="642"/>
      <c r="R21" s="647">
        <v>1</v>
      </c>
      <c r="S21" s="647"/>
      <c r="T21" s="95">
        <f t="shared" si="4"/>
        <v>0</v>
      </c>
      <c r="U21" s="473">
        <f t="shared" si="5"/>
        <v>0</v>
      </c>
    </row>
    <row r="22" spans="1:21" x14ac:dyDescent="0.25">
      <c r="A22" s="578" t="s">
        <v>81</v>
      </c>
      <c r="B22" s="578"/>
      <c r="C22" s="143">
        <v>0</v>
      </c>
      <c r="D22" s="143">
        <v>0</v>
      </c>
      <c r="E22" s="116">
        <f t="shared" si="1"/>
        <v>0</v>
      </c>
      <c r="F22" s="663">
        <f>'1461'!F22:G22</f>
        <v>3.6970000000000001</v>
      </c>
      <c r="G22" s="663"/>
      <c r="H22" s="80">
        <f t="shared" si="2"/>
        <v>0</v>
      </c>
      <c r="I22" s="101">
        <f t="shared" si="3"/>
        <v>0</v>
      </c>
      <c r="N22" s="601" t="s">
        <v>81</v>
      </c>
      <c r="O22" s="601"/>
      <c r="P22" s="642">
        <f t="shared" si="0"/>
        <v>0</v>
      </c>
      <c r="Q22" s="642"/>
      <c r="R22" s="647">
        <v>1</v>
      </c>
      <c r="S22" s="647"/>
      <c r="T22" s="95">
        <f t="shared" si="4"/>
        <v>0</v>
      </c>
      <c r="U22" s="473">
        <f t="shared" si="5"/>
        <v>0</v>
      </c>
    </row>
    <row r="23" spans="1:21" x14ac:dyDescent="0.25">
      <c r="A23" s="578" t="s">
        <v>82</v>
      </c>
      <c r="B23" s="578"/>
      <c r="C23" s="143">
        <v>0</v>
      </c>
      <c r="D23" s="143">
        <v>0</v>
      </c>
      <c r="E23" s="116">
        <f t="shared" si="1"/>
        <v>0</v>
      </c>
      <c r="F23" s="663">
        <f>'1461'!F23:G23</f>
        <v>5.992</v>
      </c>
      <c r="G23" s="663"/>
      <c r="H23" s="80">
        <f t="shared" si="2"/>
        <v>0</v>
      </c>
      <c r="I23" s="101">
        <f t="shared" si="3"/>
        <v>0</v>
      </c>
      <c r="N23" s="601" t="s">
        <v>82</v>
      </c>
      <c r="O23" s="601"/>
      <c r="P23" s="642">
        <f t="shared" si="0"/>
        <v>0</v>
      </c>
      <c r="Q23" s="642"/>
      <c r="R23" s="647">
        <v>1</v>
      </c>
      <c r="S23" s="647"/>
      <c r="T23" s="95">
        <f t="shared" si="4"/>
        <v>0</v>
      </c>
      <c r="U23" s="473">
        <f t="shared" si="5"/>
        <v>0</v>
      </c>
    </row>
    <row r="24" spans="1:21" x14ac:dyDescent="0.25">
      <c r="A24" s="578" t="s">
        <v>83</v>
      </c>
      <c r="B24" s="578"/>
      <c r="C24" s="143">
        <v>0</v>
      </c>
      <c r="D24" s="143">
        <v>0</v>
      </c>
      <c r="E24" s="116">
        <f t="shared" si="1"/>
        <v>0</v>
      </c>
      <c r="F24" s="663">
        <f>'1461'!F24:G24</f>
        <v>5.992</v>
      </c>
      <c r="G24" s="663"/>
      <c r="H24" s="80">
        <f t="shared" si="2"/>
        <v>0</v>
      </c>
      <c r="I24" s="101">
        <f t="shared" si="3"/>
        <v>0</v>
      </c>
      <c r="N24" s="601" t="s">
        <v>83</v>
      </c>
      <c r="O24" s="601"/>
      <c r="P24" s="642">
        <f t="shared" si="0"/>
        <v>0</v>
      </c>
      <c r="Q24" s="642"/>
      <c r="R24" s="647">
        <v>1</v>
      </c>
      <c r="S24" s="647"/>
      <c r="T24" s="95">
        <f t="shared" si="4"/>
        <v>0</v>
      </c>
      <c r="U24" s="473">
        <f t="shared" si="5"/>
        <v>0</v>
      </c>
    </row>
    <row r="25" spans="1:21" x14ac:dyDescent="0.25">
      <c r="A25" s="578" t="s">
        <v>84</v>
      </c>
      <c r="B25" s="578"/>
      <c r="C25" s="143">
        <v>0</v>
      </c>
      <c r="D25" s="143">
        <v>0</v>
      </c>
      <c r="E25" s="116">
        <f t="shared" si="1"/>
        <v>0</v>
      </c>
      <c r="F25" s="663">
        <f>'1461'!F25:G25</f>
        <v>5.992</v>
      </c>
      <c r="G25" s="663"/>
      <c r="H25" s="80">
        <f t="shared" si="2"/>
        <v>0</v>
      </c>
      <c r="I25" s="101">
        <f t="shared" si="3"/>
        <v>0</v>
      </c>
      <c r="N25" s="601" t="s">
        <v>84</v>
      </c>
      <c r="O25" s="601"/>
      <c r="P25" s="642">
        <f t="shared" si="0"/>
        <v>0</v>
      </c>
      <c r="Q25" s="642"/>
      <c r="R25" s="647">
        <v>1</v>
      </c>
      <c r="S25" s="647"/>
      <c r="T25" s="95">
        <f t="shared" si="4"/>
        <v>0</v>
      </c>
      <c r="U25" s="473">
        <f t="shared" si="5"/>
        <v>0</v>
      </c>
    </row>
    <row r="26" spans="1:21" x14ac:dyDescent="0.25">
      <c r="A26" s="578" t="s">
        <v>85</v>
      </c>
      <c r="B26" s="578"/>
      <c r="C26" s="143">
        <v>28.34</v>
      </c>
      <c r="D26" s="143">
        <v>28.39</v>
      </c>
      <c r="E26" s="116">
        <f t="shared" si="1"/>
        <v>56.730000000000004</v>
      </c>
      <c r="F26" s="663">
        <f>'1461'!F26:G26</f>
        <v>1.1919999999999999</v>
      </c>
      <c r="G26" s="663"/>
      <c r="H26" s="80">
        <f t="shared" si="2"/>
        <v>67.622200000000007</v>
      </c>
      <c r="I26" s="101">
        <f t="shared" si="3"/>
        <v>375200.69</v>
      </c>
      <c r="N26" s="601" t="s">
        <v>85</v>
      </c>
      <c r="O26" s="601"/>
      <c r="P26" s="642">
        <f t="shared" si="0"/>
        <v>0</v>
      </c>
      <c r="Q26" s="642"/>
      <c r="R26" s="647">
        <v>1</v>
      </c>
      <c r="S26" s="647"/>
      <c r="T26" s="95">
        <f t="shared" si="4"/>
        <v>0</v>
      </c>
      <c r="U26" s="473">
        <f t="shared" si="5"/>
        <v>0</v>
      </c>
    </row>
    <row r="27" spans="1:21" x14ac:dyDescent="0.25">
      <c r="A27" s="578" t="s">
        <v>86</v>
      </c>
      <c r="B27" s="578"/>
      <c r="C27" s="143">
        <v>15.19</v>
      </c>
      <c r="D27" s="143">
        <v>17.52</v>
      </c>
      <c r="E27" s="116">
        <f t="shared" si="1"/>
        <v>32.71</v>
      </c>
      <c r="F27" s="663">
        <f>'1461'!F27:G27</f>
        <v>1.1919999999999999</v>
      </c>
      <c r="G27" s="663"/>
      <c r="H27" s="80">
        <f t="shared" si="2"/>
        <v>38.990299999999998</v>
      </c>
      <c r="I27" s="101">
        <f t="shared" si="3"/>
        <v>216337.06</v>
      </c>
      <c r="N27" s="601" t="s">
        <v>86</v>
      </c>
      <c r="O27" s="601"/>
      <c r="P27" s="642">
        <f t="shared" si="0"/>
        <v>0</v>
      </c>
      <c r="Q27" s="642"/>
      <c r="R27" s="647">
        <v>1</v>
      </c>
      <c r="S27" s="647"/>
      <c r="T27" s="95">
        <f t="shared" si="4"/>
        <v>0</v>
      </c>
      <c r="U27" s="473">
        <f t="shared" si="5"/>
        <v>0</v>
      </c>
    </row>
    <row r="28" spans="1:21" x14ac:dyDescent="0.25">
      <c r="A28" s="578" t="s">
        <v>87</v>
      </c>
      <c r="B28" s="578"/>
      <c r="C28" s="143">
        <v>0</v>
      </c>
      <c r="D28" s="143">
        <v>0</v>
      </c>
      <c r="E28" s="116">
        <f t="shared" si="1"/>
        <v>0</v>
      </c>
      <c r="F28" s="663">
        <f>'1461'!F28:G28</f>
        <v>1.1919999999999999</v>
      </c>
      <c r="G28" s="663"/>
      <c r="H28" s="80">
        <f t="shared" si="2"/>
        <v>0</v>
      </c>
      <c r="I28" s="101">
        <f t="shared" si="3"/>
        <v>0</v>
      </c>
      <c r="N28" s="601" t="s">
        <v>87</v>
      </c>
      <c r="O28" s="601"/>
      <c r="P28" s="642">
        <f t="shared" si="0"/>
        <v>0</v>
      </c>
      <c r="Q28" s="642"/>
      <c r="R28" s="647">
        <v>1</v>
      </c>
      <c r="S28" s="647"/>
      <c r="T28" s="95">
        <f t="shared" si="4"/>
        <v>0</v>
      </c>
      <c r="U28" s="473">
        <f t="shared" si="5"/>
        <v>0</v>
      </c>
    </row>
    <row r="29" spans="1:21" x14ac:dyDescent="0.25">
      <c r="A29" s="578" t="s">
        <v>88</v>
      </c>
      <c r="B29" s="578"/>
      <c r="C29" s="110">
        <v>0</v>
      </c>
      <c r="D29" s="110">
        <v>0</v>
      </c>
      <c r="E29" s="154">
        <f t="shared" si="1"/>
        <v>0</v>
      </c>
      <c r="F29" s="663">
        <f>'1461'!F29:G29</f>
        <v>1.079</v>
      </c>
      <c r="G29" s="663"/>
      <c r="H29" s="93">
        <f t="shared" si="2"/>
        <v>0</v>
      </c>
      <c r="I29" s="94">
        <f t="shared" si="3"/>
        <v>0</v>
      </c>
      <c r="N29" s="616" t="s">
        <v>88</v>
      </c>
      <c r="O29" s="616"/>
      <c r="P29" s="642">
        <f t="shared" si="0"/>
        <v>0</v>
      </c>
      <c r="Q29" s="642"/>
      <c r="R29" s="643">
        <v>1</v>
      </c>
      <c r="S29" s="643"/>
      <c r="T29" s="95">
        <f t="shared" si="4"/>
        <v>0</v>
      </c>
      <c r="U29" s="473">
        <f t="shared" si="5"/>
        <v>0</v>
      </c>
    </row>
    <row r="30" spans="1:21" x14ac:dyDescent="0.25">
      <c r="A30" s="590" t="s">
        <v>5</v>
      </c>
      <c r="B30" s="590"/>
      <c r="C30" s="94">
        <f>SUM(C14:C29)</f>
        <v>270.10000000000002</v>
      </c>
      <c r="D30" s="94">
        <f>SUM(D14:D29)</f>
        <v>261.93999999999994</v>
      </c>
      <c r="E30" s="94">
        <f>SUM(E14:E29)</f>
        <v>532.04000000000008</v>
      </c>
      <c r="F30" s="582"/>
      <c r="G30" s="582"/>
      <c r="H30" s="99">
        <f>SUM(H14:H29)</f>
        <v>571.30330000000004</v>
      </c>
      <c r="I30" s="94">
        <f>SUM(I14:I29)</f>
        <v>3169867.2099999995</v>
      </c>
      <c r="N30" s="644" t="s">
        <v>5</v>
      </c>
      <c r="O30" s="644"/>
      <c r="P30" s="645">
        <f>SUM(P14:P29)</f>
        <v>0</v>
      </c>
      <c r="Q30" s="645"/>
      <c r="R30" s="617"/>
      <c r="S30" s="617"/>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0" t="s">
        <v>233</v>
      </c>
      <c r="G34" s="670"/>
      <c r="H34" s="670"/>
      <c r="I34" s="101"/>
      <c r="N34" s="28"/>
      <c r="O34" s="28"/>
      <c r="P34" s="29"/>
      <c r="Q34" s="29"/>
      <c r="R34" s="30"/>
      <c r="S34" s="30"/>
      <c r="T34" s="102"/>
      <c r="U34" s="103"/>
    </row>
    <row r="35" spans="1:21" hidden="1" x14ac:dyDescent="0.25">
      <c r="A35" s="3"/>
      <c r="B35" s="69"/>
      <c r="C35" s="69"/>
      <c r="D35" s="69"/>
      <c r="E35" s="69"/>
      <c r="F35" s="670"/>
      <c r="G35" s="670"/>
      <c r="H35" s="670"/>
      <c r="I35" s="24" t="s">
        <v>61</v>
      </c>
      <c r="N35" s="627" t="s">
        <v>26</v>
      </c>
      <c r="O35" s="627"/>
      <c r="P35" s="627"/>
      <c r="Q35" s="627"/>
      <c r="R35" s="627"/>
      <c r="S35" s="627"/>
      <c r="T35" s="627"/>
      <c r="U35" s="25" t="str">
        <f>I35</f>
        <v>2015-16</v>
      </c>
    </row>
    <row r="36" spans="1:21" hidden="1" x14ac:dyDescent="0.25">
      <c r="A36" s="26"/>
      <c r="B36" s="26"/>
      <c r="C36" s="88" t="s">
        <v>93</v>
      </c>
      <c r="D36" s="88" t="s">
        <v>94</v>
      </c>
      <c r="E36" s="89" t="s">
        <v>8</v>
      </c>
      <c r="F36" s="670"/>
      <c r="G36" s="670"/>
      <c r="H36" s="670"/>
      <c r="I36" s="24" t="s">
        <v>27</v>
      </c>
      <c r="N36" s="28"/>
      <c r="O36" s="28"/>
      <c r="P36" s="29"/>
      <c r="Q36" s="29"/>
      <c r="R36" s="30"/>
      <c r="S36" s="30"/>
      <c r="T36" s="102"/>
      <c r="U36" s="25" t="s">
        <v>27</v>
      </c>
    </row>
    <row r="37" spans="1:21" ht="26.25" hidden="1" x14ac:dyDescent="0.25">
      <c r="A37" s="572" t="s">
        <v>50</v>
      </c>
      <c r="B37" s="572"/>
      <c r="C37" s="90" t="s">
        <v>2</v>
      </c>
      <c r="D37" s="90" t="s">
        <v>2</v>
      </c>
      <c r="E37" s="90" t="s">
        <v>2</v>
      </c>
      <c r="F37" s="671"/>
      <c r="G37" s="671"/>
      <c r="H37" s="671"/>
      <c r="I37" s="31" t="s">
        <v>395</v>
      </c>
      <c r="N37" s="639" t="s">
        <v>50</v>
      </c>
      <c r="O37" s="639"/>
      <c r="P37" s="640" t="s">
        <v>19</v>
      </c>
      <c r="Q37" s="640"/>
      <c r="R37" s="640"/>
      <c r="S37" s="640"/>
      <c r="T37" s="640"/>
      <c r="U37" s="19" t="str">
        <f>I37</f>
        <v>(WFTE x BSA x CWF x SDF)</v>
      </c>
    </row>
    <row r="38" spans="1:21" hidden="1" x14ac:dyDescent="0.25">
      <c r="A38" s="576" t="s">
        <v>45</v>
      </c>
      <c r="B38" s="576"/>
      <c r="C38" s="147">
        <v>0</v>
      </c>
      <c r="D38" s="147">
        <v>0</v>
      </c>
      <c r="E38" s="187">
        <f t="shared" ref="E38:E43" si="6">IF(D$44=0,C38*2,C38+D38)</f>
        <v>0</v>
      </c>
      <c r="F38" s="148"/>
      <c r="G38" s="148"/>
      <c r="H38" s="148"/>
      <c r="I38" s="111">
        <f>ROUND(ROUND(ROUND(E38*$C$8,4)*($H$8),2)*(MAX($H$9,1)),2)</f>
        <v>0</v>
      </c>
      <c r="N38" s="641" t="s">
        <v>45</v>
      </c>
      <c r="O38" s="641"/>
      <c r="P38" s="608">
        <f t="shared" ref="P38:P43" si="7">IF($H$133=1,E38,0)</f>
        <v>0</v>
      </c>
      <c r="Q38" s="608"/>
      <c r="R38" s="608"/>
      <c r="S38" s="608"/>
      <c r="T38" s="608"/>
      <c r="U38" s="98">
        <f>ROUND(ROUND(ROUND(P38*$C$8,4)*($H$8),2)*(MAX($H$9,1)),2)</f>
        <v>0</v>
      </c>
    </row>
    <row r="39" spans="1:21" hidden="1" x14ac:dyDescent="0.25">
      <c r="A39" s="578" t="s">
        <v>46</v>
      </c>
      <c r="B39" s="578"/>
      <c r="C39" s="150">
        <v>0</v>
      </c>
      <c r="D39" s="150">
        <v>0</v>
      </c>
      <c r="E39" s="116">
        <f t="shared" si="6"/>
        <v>0</v>
      </c>
      <c r="F39" s="151"/>
      <c r="G39" s="151"/>
      <c r="H39" s="151"/>
      <c r="I39" s="101">
        <f t="shared" ref="I39:I43" si="8">ROUND(ROUND(ROUND(E39*$C$8,4)*($H$8),2)*(MAX($H$9,1)),2)</f>
        <v>0</v>
      </c>
      <c r="N39" s="601" t="s">
        <v>46</v>
      </c>
      <c r="O39" s="601"/>
      <c r="P39" s="608">
        <f t="shared" si="7"/>
        <v>0</v>
      </c>
      <c r="Q39" s="608"/>
      <c r="R39" s="608"/>
      <c r="S39" s="608"/>
      <c r="T39" s="608"/>
      <c r="U39" s="98">
        <f t="shared" ref="U39:U43" si="9">ROUND(ROUND(ROUND(P39*$C$8,4)*($H$8),2)*(MAX($H$9,1)),2)</f>
        <v>0</v>
      </c>
    </row>
    <row r="40" spans="1:21" hidden="1" x14ac:dyDescent="0.25">
      <c r="A40" s="583" t="s">
        <v>47</v>
      </c>
      <c r="B40" s="583"/>
      <c r="C40" s="150">
        <v>0</v>
      </c>
      <c r="D40" s="150">
        <v>0</v>
      </c>
      <c r="E40" s="116">
        <f t="shared" si="6"/>
        <v>0</v>
      </c>
      <c r="F40" s="151"/>
      <c r="G40" s="151"/>
      <c r="H40" s="151"/>
      <c r="I40" s="101">
        <f t="shared" si="8"/>
        <v>0</v>
      </c>
      <c r="N40" s="646" t="s">
        <v>47</v>
      </c>
      <c r="O40" s="646"/>
      <c r="P40" s="608">
        <f t="shared" si="7"/>
        <v>0</v>
      </c>
      <c r="Q40" s="608"/>
      <c r="R40" s="608"/>
      <c r="S40" s="608"/>
      <c r="T40" s="608"/>
      <c r="U40" s="98">
        <f t="shared" si="9"/>
        <v>0</v>
      </c>
    </row>
    <row r="41" spans="1:21" hidden="1" x14ac:dyDescent="0.25">
      <c r="A41" s="578" t="s">
        <v>48</v>
      </c>
      <c r="B41" s="578"/>
      <c r="C41" s="150">
        <v>0</v>
      </c>
      <c r="D41" s="150">
        <v>0</v>
      </c>
      <c r="E41" s="116">
        <f t="shared" si="6"/>
        <v>0</v>
      </c>
      <c r="F41" s="151"/>
      <c r="G41" s="151"/>
      <c r="H41" s="151"/>
      <c r="I41" s="101">
        <f t="shared" si="8"/>
        <v>0</v>
      </c>
      <c r="N41" s="601" t="s">
        <v>48</v>
      </c>
      <c r="O41" s="601"/>
      <c r="P41" s="608">
        <f t="shared" si="7"/>
        <v>0</v>
      </c>
      <c r="Q41" s="608"/>
      <c r="R41" s="608"/>
      <c r="S41" s="608"/>
      <c r="T41" s="608"/>
      <c r="U41" s="98">
        <f t="shared" si="9"/>
        <v>0</v>
      </c>
    </row>
    <row r="42" spans="1:21" hidden="1" x14ac:dyDescent="0.25">
      <c r="A42" s="578" t="s">
        <v>49</v>
      </c>
      <c r="B42" s="578"/>
      <c r="C42" s="150">
        <v>0</v>
      </c>
      <c r="D42" s="150">
        <v>0</v>
      </c>
      <c r="E42" s="116">
        <f t="shared" si="6"/>
        <v>0</v>
      </c>
      <c r="F42" s="151"/>
      <c r="G42" s="151"/>
      <c r="H42" s="151"/>
      <c r="I42" s="101">
        <f t="shared" si="8"/>
        <v>0</v>
      </c>
      <c r="N42" s="601" t="s">
        <v>49</v>
      </c>
      <c r="O42" s="601"/>
      <c r="P42" s="608">
        <f t="shared" si="7"/>
        <v>0</v>
      </c>
      <c r="Q42" s="608"/>
      <c r="R42" s="608"/>
      <c r="S42" s="608"/>
      <c r="T42" s="608"/>
      <c r="U42" s="98">
        <f t="shared" si="9"/>
        <v>0</v>
      </c>
    </row>
    <row r="43" spans="1:21" hidden="1" x14ac:dyDescent="0.25">
      <c r="A43" s="578" t="s">
        <v>41</v>
      </c>
      <c r="B43" s="578"/>
      <c r="C43" s="149">
        <v>0</v>
      </c>
      <c r="D43" s="149">
        <v>0</v>
      </c>
      <c r="E43" s="154">
        <f t="shared" si="6"/>
        <v>0</v>
      </c>
      <c r="F43" s="151"/>
      <c r="G43" s="151"/>
      <c r="H43" s="151"/>
      <c r="I43" s="94">
        <f t="shared" si="8"/>
        <v>0</v>
      </c>
      <c r="N43" s="616" t="s">
        <v>41</v>
      </c>
      <c r="O43" s="616"/>
      <c r="P43" s="608">
        <f t="shared" si="7"/>
        <v>0</v>
      </c>
      <c r="Q43" s="608"/>
      <c r="R43" s="608"/>
      <c r="S43" s="608"/>
      <c r="T43" s="60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3" t="s">
        <v>43</v>
      </c>
      <c r="O44" s="603"/>
      <c r="P44" s="603"/>
      <c r="Q44" s="603"/>
      <c r="R44" s="33">
        <f>SUM(P38:R43)</f>
        <v>0</v>
      </c>
      <c r="S44" s="617" t="s">
        <v>51</v>
      </c>
      <c r="T44" s="617"/>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571.30330000000004</v>
      </c>
      <c r="F46" s="34"/>
      <c r="G46" s="106"/>
      <c r="H46" s="107" t="s">
        <v>98</v>
      </c>
      <c r="I46" s="94">
        <f>SUM(I44,I30)</f>
        <v>3169867.2099999995</v>
      </c>
      <c r="N46" s="603" t="s">
        <v>44</v>
      </c>
      <c r="O46" s="603"/>
      <c r="P46" s="603"/>
      <c r="Q46" s="603"/>
      <c r="R46" s="35">
        <f>R44+T30</f>
        <v>0</v>
      </c>
      <c r="S46" s="617" t="s">
        <v>42</v>
      </c>
      <c r="T46" s="617"/>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396</v>
      </c>
      <c r="B48" s="26"/>
      <c r="C48" s="26"/>
      <c r="D48" s="26"/>
      <c r="E48" s="26"/>
      <c r="F48" s="34"/>
      <c r="G48" s="27"/>
      <c r="H48" s="27"/>
      <c r="I48" s="101"/>
      <c r="N48" s="383" t="s">
        <v>396</v>
      </c>
      <c r="O48" s="28"/>
      <c r="P48" s="28"/>
      <c r="Q48" s="28"/>
      <c r="R48" s="35"/>
      <c r="S48" s="30"/>
      <c r="T48" s="30"/>
      <c r="U48" s="402"/>
    </row>
    <row r="49" spans="1:22" s="391" customFormat="1" ht="9" customHeight="1" x14ac:dyDescent="0.2">
      <c r="A49" s="481" t="s">
        <v>397</v>
      </c>
      <c r="F49" s="392"/>
      <c r="G49" s="393"/>
      <c r="H49" s="393"/>
      <c r="I49" s="394"/>
      <c r="N49" s="403" t="s">
        <v>397</v>
      </c>
      <c r="O49" s="395"/>
      <c r="P49" s="395"/>
      <c r="Q49" s="395"/>
      <c r="R49" s="396"/>
      <c r="S49" s="397"/>
      <c r="T49" s="397"/>
      <c r="U49" s="404"/>
    </row>
    <row r="50" spans="1:22" s="391" customFormat="1" ht="11.25" customHeight="1" x14ac:dyDescent="0.2">
      <c r="A50" s="483" t="s">
        <v>398</v>
      </c>
      <c r="F50" s="392"/>
      <c r="G50" s="393"/>
      <c r="H50" s="393"/>
      <c r="I50" s="394"/>
      <c r="N50" s="405" t="s">
        <v>398</v>
      </c>
      <c r="O50" s="395"/>
      <c r="P50" s="395"/>
      <c r="Q50" s="395"/>
      <c r="R50" s="396"/>
      <c r="S50" s="397"/>
      <c r="T50" s="397"/>
      <c r="U50" s="404"/>
    </row>
    <row r="51" spans="1:22" x14ac:dyDescent="0.25">
      <c r="A51" s="389"/>
      <c r="B51" s="399" t="s">
        <v>399</v>
      </c>
      <c r="C51" s="26"/>
      <c r="D51" s="26"/>
      <c r="E51" s="43" t="s">
        <v>400</v>
      </c>
      <c r="F51" s="400">
        <f>I46</f>
        <v>3169867.2099999995</v>
      </c>
      <c r="G51" s="109" t="s">
        <v>6</v>
      </c>
      <c r="H51" s="401">
        <v>4.5199999999999997E-2</v>
      </c>
      <c r="I51" s="101">
        <f>ROUND(F51*H51,2)</f>
        <v>143278</v>
      </c>
      <c r="N51" s="406"/>
      <c r="O51" s="407" t="s">
        <v>399</v>
      </c>
      <c r="P51" s="28"/>
      <c r="Q51" s="44" t="s">
        <v>400</v>
      </c>
      <c r="R51" s="408">
        <f>U30</f>
        <v>0</v>
      </c>
      <c r="S51" s="409" t="s">
        <v>6</v>
      </c>
      <c r="T51" s="410">
        <v>4.5199999999999997E-2</v>
      </c>
      <c r="U51" s="402">
        <f>ROUND(R51*T51,2)</f>
        <v>0</v>
      </c>
    </row>
    <row r="52" spans="1:22" x14ac:dyDescent="0.25">
      <c r="A52" s="26"/>
      <c r="B52" s="81" t="s">
        <v>401</v>
      </c>
      <c r="C52" s="26"/>
      <c r="D52" s="26"/>
      <c r="E52" s="43" t="s">
        <v>400</v>
      </c>
      <c r="F52" s="400">
        <f>I46</f>
        <v>3169867.2099999995</v>
      </c>
      <c r="G52" s="109" t="s">
        <v>6</v>
      </c>
      <c r="H52" s="401">
        <v>1.41E-2</v>
      </c>
      <c r="I52" s="101">
        <f>ROUND(F52*H52,2)</f>
        <v>44695.13</v>
      </c>
      <c r="N52" s="28"/>
      <c r="O52" s="383" t="s">
        <v>401</v>
      </c>
      <c r="P52" s="28"/>
      <c r="Q52" s="44" t="s">
        <v>400</v>
      </c>
      <c r="R52" s="408">
        <f>U30</f>
        <v>0</v>
      </c>
      <c r="S52" s="409" t="s">
        <v>6</v>
      </c>
      <c r="T52" s="410">
        <v>1.41E-2</v>
      </c>
      <c r="U52" s="411">
        <f>ROUND(R52*T52,2)</f>
        <v>0</v>
      </c>
    </row>
    <row r="53" spans="1:22" x14ac:dyDescent="0.25">
      <c r="A53" s="26"/>
      <c r="B53" s="81" t="s">
        <v>402</v>
      </c>
      <c r="C53" s="26"/>
      <c r="D53" s="26"/>
      <c r="E53" s="43"/>
      <c r="F53" s="400"/>
      <c r="G53" s="109"/>
      <c r="H53" s="401"/>
      <c r="I53" s="97">
        <f>SUM(I51:I52)</f>
        <v>187973.13</v>
      </c>
      <c r="N53" s="28"/>
      <c r="O53" s="383" t="s">
        <v>402</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440</v>
      </c>
      <c r="G55" s="109" t="s">
        <v>441</v>
      </c>
      <c r="H55" s="454" t="s">
        <v>442</v>
      </c>
      <c r="I55" s="101"/>
      <c r="N55" s="448"/>
      <c r="O55" s="448"/>
      <c r="P55" s="464"/>
      <c r="Q55" s="465"/>
      <c r="R55" s="466"/>
      <c r="S55" s="468" t="s">
        <v>441</v>
      </c>
      <c r="T55" s="469" t="s">
        <v>442</v>
      </c>
      <c r="U55" s="467"/>
      <c r="V55" s="424"/>
    </row>
    <row r="56" spans="1:22" x14ac:dyDescent="0.25">
      <c r="A56" s="36" t="s">
        <v>443</v>
      </c>
      <c r="B56" s="36"/>
      <c r="C56" s="324" t="str">
        <f>'1461'!C56</f>
        <v>FTE</v>
      </c>
      <c r="D56" s="324" t="str">
        <f>'1461'!D56</f>
        <v>FTE</v>
      </c>
      <c r="E56" s="90" t="s">
        <v>2</v>
      </c>
      <c r="F56" s="439" t="s">
        <v>444</v>
      </c>
      <c r="G56" s="441" t="s">
        <v>444</v>
      </c>
      <c r="H56" s="455" t="s">
        <v>445</v>
      </c>
      <c r="I56" s="36"/>
      <c r="N56" s="459" t="s">
        <v>443</v>
      </c>
      <c r="O56" s="459"/>
      <c r="P56" s="620" t="s">
        <v>2</v>
      </c>
      <c r="Q56" s="620"/>
      <c r="R56" s="459" t="s">
        <v>449</v>
      </c>
      <c r="S56" s="450" t="s">
        <v>444</v>
      </c>
      <c r="T56" s="470" t="s">
        <v>445</v>
      </c>
      <c r="U56" s="459"/>
      <c r="V56" s="458"/>
    </row>
    <row r="57" spans="1:22" x14ac:dyDescent="0.25">
      <c r="A57" s="588" t="s">
        <v>447</v>
      </c>
      <c r="B57" s="588"/>
      <c r="C57" s="143">
        <v>9</v>
      </c>
      <c r="D57" s="143">
        <v>8.52</v>
      </c>
      <c r="E57" s="116">
        <f t="shared" ref="E57:E65" si="10">IF(D$66=0,C57*2,C57+D57)</f>
        <v>17.52</v>
      </c>
      <c r="F57" s="443" t="s">
        <v>439</v>
      </c>
      <c r="G57" s="443">
        <v>251</v>
      </c>
      <c r="H57" s="457">
        <f>'1461'!H57</f>
        <v>1047</v>
      </c>
      <c r="I57" s="101">
        <f>ROUND(E57*H57,2)</f>
        <v>18343.439999999999</v>
      </c>
      <c r="N57" s="618" t="s">
        <v>447</v>
      </c>
      <c r="O57" s="618"/>
      <c r="P57" s="621"/>
      <c r="Q57" s="621"/>
      <c r="R57" s="449" t="s">
        <v>439</v>
      </c>
      <c r="S57" s="449">
        <v>251</v>
      </c>
      <c r="T57" s="460">
        <f>H57</f>
        <v>1047</v>
      </c>
      <c r="U57" s="474">
        <f>ROUND(P57*T57,2)</f>
        <v>0</v>
      </c>
      <c r="V57" s="424"/>
    </row>
    <row r="58" spans="1:22" x14ac:dyDescent="0.25">
      <c r="A58" s="589"/>
      <c r="B58" s="589"/>
      <c r="C58" s="143">
        <v>0.5</v>
      </c>
      <c r="D58" s="143">
        <v>0</v>
      </c>
      <c r="E58" s="116">
        <f t="shared" si="10"/>
        <v>0.5</v>
      </c>
      <c r="F58" s="443" t="s">
        <v>439</v>
      </c>
      <c r="G58" s="443">
        <v>252</v>
      </c>
      <c r="H58" s="457">
        <f>'1461'!H58</f>
        <v>3380</v>
      </c>
      <c r="I58" s="101">
        <f t="shared" ref="I58:I65" si="11">ROUND(E58*H58,2)</f>
        <v>1690</v>
      </c>
      <c r="N58" s="619"/>
      <c r="O58" s="619"/>
      <c r="P58" s="622"/>
      <c r="Q58" s="622"/>
      <c r="R58" s="449" t="s">
        <v>439</v>
      </c>
      <c r="S58" s="449">
        <v>252</v>
      </c>
      <c r="T58" s="460">
        <f t="shared" ref="T58:T65" si="12">H58</f>
        <v>3380</v>
      </c>
      <c r="U58" s="474">
        <f t="shared" ref="U58:U65" si="13">ROUND(P58*T58,2)</f>
        <v>0</v>
      </c>
      <c r="V58" s="424"/>
    </row>
    <row r="59" spans="1:22" x14ac:dyDescent="0.25">
      <c r="A59" s="589"/>
      <c r="B59" s="589"/>
      <c r="C59" s="143">
        <v>0</v>
      </c>
      <c r="D59" s="143">
        <v>0</v>
      </c>
      <c r="E59" s="116">
        <f t="shared" si="10"/>
        <v>0</v>
      </c>
      <c r="F59" s="443" t="s">
        <v>439</v>
      </c>
      <c r="G59" s="443">
        <v>253</v>
      </c>
      <c r="H59" s="457">
        <f>'1461'!H59</f>
        <v>6896</v>
      </c>
      <c r="I59" s="101">
        <f t="shared" si="11"/>
        <v>0</v>
      </c>
      <c r="N59" s="619"/>
      <c r="O59" s="619"/>
      <c r="P59" s="622"/>
      <c r="Q59" s="622"/>
      <c r="R59" s="449" t="s">
        <v>439</v>
      </c>
      <c r="S59" s="449">
        <v>253</v>
      </c>
      <c r="T59" s="460">
        <f t="shared" si="12"/>
        <v>6896</v>
      </c>
      <c r="U59" s="474">
        <f t="shared" si="13"/>
        <v>0</v>
      </c>
      <c r="V59" s="424"/>
    </row>
    <row r="60" spans="1:22" x14ac:dyDescent="0.25">
      <c r="A60" s="589"/>
      <c r="B60" s="589"/>
      <c r="C60" s="143">
        <v>21</v>
      </c>
      <c r="D60" s="143">
        <v>17.989999999999998</v>
      </c>
      <c r="E60" s="116">
        <f t="shared" si="10"/>
        <v>38.989999999999995</v>
      </c>
      <c r="F60" s="444" t="s">
        <v>13</v>
      </c>
      <c r="G60" s="443">
        <v>251</v>
      </c>
      <c r="H60" s="457">
        <f>'1461'!H60</f>
        <v>1173</v>
      </c>
      <c r="I60" s="101">
        <f t="shared" si="11"/>
        <v>45735.27</v>
      </c>
      <c r="N60" s="619"/>
      <c r="O60" s="619"/>
      <c r="P60" s="622"/>
      <c r="Q60" s="622"/>
      <c r="R60" s="40" t="s">
        <v>13</v>
      </c>
      <c r="S60" s="449">
        <v>251</v>
      </c>
      <c r="T60" s="460">
        <f t="shared" si="12"/>
        <v>1173</v>
      </c>
      <c r="U60" s="474">
        <f t="shared" si="13"/>
        <v>0</v>
      </c>
      <c r="V60" s="424"/>
    </row>
    <row r="61" spans="1:22" x14ac:dyDescent="0.25">
      <c r="A61" s="589"/>
      <c r="B61" s="589"/>
      <c r="C61" s="143">
        <v>2</v>
      </c>
      <c r="D61" s="143">
        <v>3.02</v>
      </c>
      <c r="E61" s="116">
        <f t="shared" si="10"/>
        <v>5.0199999999999996</v>
      </c>
      <c r="F61" s="444" t="s">
        <v>13</v>
      </c>
      <c r="G61" s="443">
        <v>252</v>
      </c>
      <c r="H61" s="457">
        <f>'1461'!H61</f>
        <v>3506</v>
      </c>
      <c r="I61" s="101">
        <f t="shared" si="11"/>
        <v>17600.12</v>
      </c>
      <c r="N61" s="619"/>
      <c r="O61" s="619"/>
      <c r="P61" s="622"/>
      <c r="Q61" s="622"/>
      <c r="R61" s="40" t="s">
        <v>13</v>
      </c>
      <c r="S61" s="449">
        <v>252</v>
      </c>
      <c r="T61" s="460">
        <f t="shared" si="12"/>
        <v>3506</v>
      </c>
      <c r="U61" s="474">
        <f t="shared" si="13"/>
        <v>0</v>
      </c>
      <c r="V61" s="424"/>
    </row>
    <row r="62" spans="1:22" x14ac:dyDescent="0.25">
      <c r="A62" s="589"/>
      <c r="B62" s="589"/>
      <c r="C62" s="143">
        <v>0</v>
      </c>
      <c r="D62" s="143">
        <v>0</v>
      </c>
      <c r="E62" s="116">
        <f t="shared" si="10"/>
        <v>0</v>
      </c>
      <c r="F62" s="444" t="s">
        <v>13</v>
      </c>
      <c r="G62" s="443">
        <v>253</v>
      </c>
      <c r="H62" s="457">
        <f>'1461'!H62</f>
        <v>7023</v>
      </c>
      <c r="I62" s="101">
        <f t="shared" si="11"/>
        <v>0</v>
      </c>
      <c r="N62" s="619"/>
      <c r="O62" s="619"/>
      <c r="P62" s="622"/>
      <c r="Q62" s="622"/>
      <c r="R62" s="40" t="s">
        <v>13</v>
      </c>
      <c r="S62" s="449">
        <v>253</v>
      </c>
      <c r="T62" s="460">
        <f t="shared" si="12"/>
        <v>7023</v>
      </c>
      <c r="U62" s="474">
        <f t="shared" si="13"/>
        <v>0</v>
      </c>
      <c r="V62" s="424"/>
    </row>
    <row r="63" spans="1:22" x14ac:dyDescent="0.25">
      <c r="A63" s="589"/>
      <c r="B63" s="589"/>
      <c r="C63" s="143">
        <v>0</v>
      </c>
      <c r="D63" s="143">
        <v>0</v>
      </c>
      <c r="E63" s="116">
        <f t="shared" si="10"/>
        <v>0</v>
      </c>
      <c r="F63" s="444" t="s">
        <v>14</v>
      </c>
      <c r="G63" s="443">
        <v>251</v>
      </c>
      <c r="H63" s="457">
        <f>'1461'!H63</f>
        <v>835</v>
      </c>
      <c r="I63" s="101">
        <f t="shared" si="11"/>
        <v>0</v>
      </c>
      <c r="N63" s="619"/>
      <c r="O63" s="619"/>
      <c r="P63" s="622"/>
      <c r="Q63" s="622"/>
      <c r="R63" s="40" t="s">
        <v>14</v>
      </c>
      <c r="S63" s="449">
        <v>251</v>
      </c>
      <c r="T63" s="460">
        <f t="shared" si="12"/>
        <v>835</v>
      </c>
      <c r="U63" s="474">
        <f t="shared" si="13"/>
        <v>0</v>
      </c>
      <c r="V63" s="424"/>
    </row>
    <row r="64" spans="1:22" x14ac:dyDescent="0.25">
      <c r="A64" s="589"/>
      <c r="B64" s="589"/>
      <c r="C64" s="143">
        <v>0</v>
      </c>
      <c r="D64" s="143">
        <v>0</v>
      </c>
      <c r="E64" s="116">
        <f t="shared" si="10"/>
        <v>0</v>
      </c>
      <c r="F64" s="444" t="s">
        <v>14</v>
      </c>
      <c r="G64" s="443">
        <v>252</v>
      </c>
      <c r="H64" s="457">
        <f>'1461'!H64</f>
        <v>3168</v>
      </c>
      <c r="I64" s="101">
        <f t="shared" si="11"/>
        <v>0</v>
      </c>
      <c r="N64" s="619"/>
      <c r="O64" s="619"/>
      <c r="P64" s="622"/>
      <c r="Q64" s="622"/>
      <c r="R64" s="40" t="s">
        <v>14</v>
      </c>
      <c r="S64" s="449">
        <v>252</v>
      </c>
      <c r="T64" s="460">
        <f t="shared" si="12"/>
        <v>3168</v>
      </c>
      <c r="U64" s="474">
        <f t="shared" si="13"/>
        <v>0</v>
      </c>
      <c r="V64" s="424"/>
    </row>
    <row r="65" spans="1:22" ht="16.5" thickBot="1" x14ac:dyDescent="0.3">
      <c r="A65" s="589"/>
      <c r="B65" s="589"/>
      <c r="C65" s="143">
        <v>0</v>
      </c>
      <c r="D65" s="143">
        <v>0</v>
      </c>
      <c r="E65" s="116">
        <f t="shared" si="10"/>
        <v>0</v>
      </c>
      <c r="F65" s="444" t="s">
        <v>14</v>
      </c>
      <c r="G65" s="443">
        <v>253</v>
      </c>
      <c r="H65" s="457">
        <f>'1461'!H65</f>
        <v>6685</v>
      </c>
      <c r="I65" s="101">
        <f t="shared" si="11"/>
        <v>0</v>
      </c>
      <c r="N65" s="619"/>
      <c r="O65" s="619"/>
      <c r="P65" s="623"/>
      <c r="Q65" s="623"/>
      <c r="R65" s="40" t="s">
        <v>14</v>
      </c>
      <c r="S65" s="449">
        <v>253</v>
      </c>
      <c r="T65" s="460">
        <f t="shared" si="12"/>
        <v>6685</v>
      </c>
      <c r="U65" s="475">
        <f t="shared" si="13"/>
        <v>0</v>
      </c>
      <c r="V65" s="424"/>
    </row>
    <row r="66" spans="1:22" ht="16.5" thickBot="1" x14ac:dyDescent="0.3">
      <c r="A66" s="440"/>
      <c r="C66" s="97">
        <f>SUM(C57:C65)</f>
        <v>32.5</v>
      </c>
      <c r="D66" s="97">
        <f>SUM(D57:D65)</f>
        <v>29.529999999999998</v>
      </c>
      <c r="E66" s="97">
        <f>SUM(E57:E65)</f>
        <v>62.029999999999987</v>
      </c>
      <c r="F66" s="590" t="s">
        <v>448</v>
      </c>
      <c r="G66" s="590"/>
      <c r="H66" s="590"/>
      <c r="I66" s="97">
        <f>SUM(I57:I65)</f>
        <v>83368.829999999987</v>
      </c>
      <c r="N66" s="446"/>
      <c r="O66" s="51"/>
      <c r="P66" s="602">
        <f>SUM(P57:P65)</f>
        <v>0</v>
      </c>
      <c r="Q66" s="602"/>
      <c r="R66" s="603" t="s">
        <v>448</v>
      </c>
      <c r="S66" s="603"/>
      <c r="T66" s="603"/>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450</v>
      </c>
      <c r="N68" s="453" t="s">
        <v>458</v>
      </c>
      <c r="O68" s="51"/>
      <c r="P68" s="51"/>
      <c r="Q68" s="51"/>
      <c r="R68" s="51"/>
      <c r="S68" s="51"/>
      <c r="T68" s="51"/>
      <c r="U68" s="51"/>
    </row>
    <row r="69" spans="1:22" x14ac:dyDescent="0.25">
      <c r="A69" s="584" t="s">
        <v>403</v>
      </c>
      <c r="B69" s="578"/>
      <c r="C69" s="112">
        <f>E30</f>
        <v>532.04000000000008</v>
      </c>
      <c r="D69" s="565" t="s">
        <v>414</v>
      </c>
      <c r="E69" s="565"/>
      <c r="F69" s="565"/>
      <c r="G69" s="565"/>
      <c r="H69" s="300">
        <f>'1461'!H69</f>
        <v>210228.91</v>
      </c>
      <c r="I69" s="113"/>
      <c r="N69" s="600" t="s">
        <v>407</v>
      </c>
      <c r="O69" s="601"/>
      <c r="P69" s="41">
        <f>P30</f>
        <v>0</v>
      </c>
      <c r="Q69" s="606" t="s">
        <v>409</v>
      </c>
      <c r="R69" s="607"/>
      <c r="S69" s="607"/>
      <c r="T69" s="604">
        <f>H69</f>
        <v>210228.91</v>
      </c>
      <c r="U69" s="604"/>
    </row>
    <row r="70" spans="1:22" x14ac:dyDescent="0.25">
      <c r="B70" s="69"/>
      <c r="G70" s="42" t="s">
        <v>12</v>
      </c>
      <c r="H70" s="114">
        <f>ROUND(C69/H69,6)</f>
        <v>2.5309999999999998E-3</v>
      </c>
      <c r="I70" s="115"/>
      <c r="N70" s="601"/>
      <c r="O70" s="601"/>
      <c r="P70" s="601"/>
      <c r="Q70" s="601"/>
      <c r="R70" s="601"/>
      <c r="S70" s="601"/>
      <c r="T70" s="605">
        <f>ROUND(P69/T69,6)</f>
        <v>0</v>
      </c>
      <c r="U70" s="605"/>
    </row>
    <row r="71" spans="1:22" x14ac:dyDescent="0.25">
      <c r="A71" s="442" t="s">
        <v>451</v>
      </c>
      <c r="N71" s="453" t="s">
        <v>459</v>
      </c>
      <c r="O71" s="51"/>
      <c r="P71" s="51"/>
      <c r="Q71" s="51"/>
      <c r="R71" s="51"/>
      <c r="S71" s="51"/>
      <c r="T71" s="51"/>
      <c r="U71" s="51"/>
    </row>
    <row r="72" spans="1:22" x14ac:dyDescent="0.25">
      <c r="A72" s="584" t="s">
        <v>404</v>
      </c>
      <c r="B72" s="578"/>
      <c r="C72" s="112">
        <f>H30</f>
        <v>571.30330000000004</v>
      </c>
      <c r="D72" s="565" t="s">
        <v>415</v>
      </c>
      <c r="E72" s="565"/>
      <c r="F72" s="565"/>
      <c r="G72" s="565"/>
      <c r="H72" s="301">
        <f>'1461'!H72</f>
        <v>234891.44</v>
      </c>
      <c r="I72" s="116"/>
      <c r="N72" s="600" t="s">
        <v>408</v>
      </c>
      <c r="O72" s="601"/>
      <c r="P72" s="41">
        <f>T30</f>
        <v>0</v>
      </c>
      <c r="Q72" s="606" t="s">
        <v>410</v>
      </c>
      <c r="R72" s="607"/>
      <c r="S72" s="607"/>
      <c r="T72" s="604">
        <f>H72</f>
        <v>234891.44</v>
      </c>
      <c r="U72" s="604"/>
    </row>
    <row r="73" spans="1:22" x14ac:dyDescent="0.25">
      <c r="G73" s="42" t="s">
        <v>12</v>
      </c>
      <c r="H73" s="114">
        <f>ROUND(C72/H72,6)</f>
        <v>2.4320000000000001E-3</v>
      </c>
      <c r="I73" s="114"/>
      <c r="N73" s="601"/>
      <c r="O73" s="601"/>
      <c r="P73" s="601"/>
      <c r="Q73" s="601"/>
      <c r="R73" s="601"/>
      <c r="S73" s="601"/>
      <c r="T73" s="605">
        <f>ROUND(P72/T72,6)</f>
        <v>0</v>
      </c>
      <c r="U73" s="605"/>
    </row>
    <row r="74" spans="1:22" x14ac:dyDescent="0.25">
      <c r="A74" s="417" t="s">
        <v>452</v>
      </c>
      <c r="B74" s="414"/>
      <c r="C74" s="414"/>
      <c r="D74" s="414"/>
      <c r="E74" s="414"/>
      <c r="F74" s="414"/>
      <c r="G74" s="414"/>
      <c r="H74" s="414"/>
      <c r="I74" s="414"/>
      <c r="N74" s="416" t="s">
        <v>460</v>
      </c>
      <c r="O74" s="415"/>
      <c r="P74" s="415"/>
      <c r="Q74" s="415"/>
      <c r="R74" s="415"/>
      <c r="S74" s="415"/>
      <c r="T74" s="415"/>
      <c r="U74" s="415"/>
      <c r="V74" s="414"/>
    </row>
    <row r="75" spans="1:22" x14ac:dyDescent="0.25">
      <c r="A75" s="584" t="s">
        <v>405</v>
      </c>
      <c r="B75" s="578"/>
      <c r="C75" s="112">
        <f>E30</f>
        <v>532.04000000000008</v>
      </c>
      <c r="D75" s="557" t="s">
        <v>416</v>
      </c>
      <c r="E75" s="557"/>
      <c r="F75" s="557"/>
      <c r="G75" s="557"/>
      <c r="H75" s="300">
        <f>'1461'!H75</f>
        <v>187665.41</v>
      </c>
      <c r="I75" s="113"/>
      <c r="N75" s="600" t="s">
        <v>406</v>
      </c>
      <c r="O75" s="601"/>
      <c r="P75" s="41">
        <f>P30</f>
        <v>0</v>
      </c>
      <c r="Q75" s="636" t="s">
        <v>411</v>
      </c>
      <c r="R75" s="637"/>
      <c r="S75" s="637"/>
      <c r="T75" s="604">
        <f>H75</f>
        <v>187665.41</v>
      </c>
      <c r="U75" s="604"/>
    </row>
    <row r="76" spans="1:22" x14ac:dyDescent="0.25">
      <c r="B76" s="69"/>
      <c r="G76" s="42" t="s">
        <v>12</v>
      </c>
      <c r="H76" s="114">
        <f>ROUND(C75/H75,6)</f>
        <v>2.8349999999999998E-3</v>
      </c>
      <c r="I76" s="115"/>
      <c r="N76" s="601"/>
      <c r="O76" s="601"/>
      <c r="P76" s="601"/>
      <c r="Q76" s="601"/>
      <c r="R76" s="601"/>
      <c r="S76" s="601"/>
      <c r="T76" s="605">
        <f>ROUND(P75/T75,6)</f>
        <v>0</v>
      </c>
      <c r="U76" s="605"/>
    </row>
    <row r="77" spans="1:22" x14ac:dyDescent="0.25">
      <c r="A77" s="417" t="s">
        <v>453</v>
      </c>
      <c r="B77" s="414"/>
      <c r="C77" s="414"/>
      <c r="D77" s="414"/>
      <c r="E77" s="414"/>
      <c r="F77" s="414"/>
      <c r="G77" s="414"/>
      <c r="H77" s="414"/>
      <c r="I77" s="414"/>
      <c r="N77" s="416" t="s">
        <v>461</v>
      </c>
      <c r="O77" s="415"/>
      <c r="P77" s="415"/>
      <c r="Q77" s="415"/>
      <c r="R77" s="415"/>
      <c r="S77" s="415"/>
      <c r="T77" s="415"/>
      <c r="U77" s="415"/>
      <c r="V77" s="414"/>
    </row>
    <row r="78" spans="1:22" x14ac:dyDescent="0.25">
      <c r="A78" s="584" t="s">
        <v>405</v>
      </c>
      <c r="B78" s="578"/>
      <c r="C78" s="112">
        <f>E30</f>
        <v>532.04000000000008</v>
      </c>
      <c r="D78" s="585" t="s">
        <v>417</v>
      </c>
      <c r="E78" s="585"/>
      <c r="F78" s="585"/>
      <c r="G78" s="585"/>
      <c r="H78" s="300">
        <f>'1461'!H78</f>
        <v>209892.26</v>
      </c>
      <c r="I78" s="113"/>
      <c r="N78" s="600" t="s">
        <v>406</v>
      </c>
      <c r="O78" s="601"/>
      <c r="P78" s="41">
        <f>P30</f>
        <v>0</v>
      </c>
      <c r="Q78" s="634" t="s">
        <v>412</v>
      </c>
      <c r="R78" s="635"/>
      <c r="S78" s="635"/>
      <c r="T78" s="604">
        <f>H78</f>
        <v>209892.26</v>
      </c>
      <c r="U78" s="604"/>
    </row>
    <row r="79" spans="1:22" x14ac:dyDescent="0.25">
      <c r="B79" s="69"/>
      <c r="G79" s="42" t="s">
        <v>12</v>
      </c>
      <c r="H79" s="114">
        <f>ROUND(C78/H78,6)</f>
        <v>2.5349999999999999E-3</v>
      </c>
      <c r="I79" s="115"/>
      <c r="N79" s="601"/>
      <c r="O79" s="601"/>
      <c r="P79" s="601"/>
      <c r="Q79" s="601"/>
      <c r="R79" s="601"/>
      <c r="S79" s="601"/>
      <c r="T79" s="605">
        <f>ROUND(P78/T78,6)</f>
        <v>0</v>
      </c>
      <c r="U79" s="605"/>
    </row>
    <row r="80" spans="1:22" x14ac:dyDescent="0.25">
      <c r="A80" s="417" t="s">
        <v>454</v>
      </c>
      <c r="B80" s="414"/>
      <c r="C80" s="414"/>
      <c r="D80" s="414"/>
      <c r="E80" s="414"/>
      <c r="F80" s="414"/>
      <c r="G80" s="414"/>
      <c r="H80" s="414"/>
      <c r="I80" s="414"/>
      <c r="N80" s="416" t="s">
        <v>462</v>
      </c>
      <c r="O80" s="415"/>
      <c r="P80" s="415"/>
      <c r="Q80" s="415"/>
      <c r="R80" s="415"/>
      <c r="S80" s="415"/>
      <c r="T80" s="415"/>
      <c r="U80" s="415"/>
      <c r="V80" s="414"/>
    </row>
    <row r="81" spans="1:21" x14ac:dyDescent="0.25">
      <c r="A81" s="584" t="s">
        <v>413</v>
      </c>
      <c r="B81" s="578"/>
      <c r="C81" s="112">
        <f>E30</f>
        <v>532.04000000000008</v>
      </c>
      <c r="D81" s="557" t="s">
        <v>418</v>
      </c>
      <c r="E81" s="557"/>
      <c r="F81" s="557"/>
      <c r="G81" s="557"/>
      <c r="H81" s="300">
        <f>'1461'!H81</f>
        <v>187328.76</v>
      </c>
      <c r="I81" s="113"/>
      <c r="N81" s="600" t="s">
        <v>419</v>
      </c>
      <c r="O81" s="601"/>
      <c r="P81" s="41">
        <f>P30</f>
        <v>0</v>
      </c>
      <c r="Q81" s="636" t="s">
        <v>420</v>
      </c>
      <c r="R81" s="637"/>
      <c r="S81" s="637"/>
      <c r="T81" s="604">
        <f>H81</f>
        <v>187328.76</v>
      </c>
      <c r="U81" s="604"/>
    </row>
    <row r="82" spans="1:21" x14ac:dyDescent="0.25">
      <c r="B82" s="69"/>
      <c r="G82" s="42" t="s">
        <v>12</v>
      </c>
      <c r="H82" s="114">
        <f>ROUND(C81/H81,6)</f>
        <v>2.8400000000000001E-3</v>
      </c>
      <c r="I82" s="115"/>
      <c r="N82" s="601"/>
      <c r="O82" s="601"/>
      <c r="P82" s="601"/>
      <c r="Q82" s="601"/>
      <c r="R82" s="601"/>
      <c r="S82" s="601"/>
      <c r="T82" s="605">
        <f>ROUND(P81/T81,6)</f>
        <v>0</v>
      </c>
      <c r="U82" s="605"/>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455</v>
      </c>
      <c r="D85" s="69"/>
      <c r="E85" s="43" t="s">
        <v>299</v>
      </c>
      <c r="F85" s="302">
        <f>'1461'!F85</f>
        <v>46163704</v>
      </c>
      <c r="G85" s="37" t="s">
        <v>6</v>
      </c>
      <c r="H85" s="422">
        <f>H79</f>
        <v>2.5349999999999999E-3</v>
      </c>
      <c r="I85" s="101">
        <f>ROUND(F85*H85,2)</f>
        <v>117024.99</v>
      </c>
      <c r="N85" s="453" t="s">
        <v>455</v>
      </c>
      <c r="O85" s="51"/>
      <c r="P85" s="51"/>
      <c r="Q85" s="44"/>
      <c r="R85" s="419">
        <f>F85</f>
        <v>46163704</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87" t="s">
        <v>71</v>
      </c>
      <c r="B87" s="578"/>
      <c r="C87" s="578"/>
      <c r="D87" s="69"/>
      <c r="E87" s="43"/>
      <c r="F87" s="117"/>
      <c r="G87" s="37"/>
      <c r="H87" s="422"/>
      <c r="I87" s="101"/>
      <c r="N87" s="600" t="s">
        <v>463</v>
      </c>
      <c r="O87" s="601"/>
      <c r="P87" s="601"/>
      <c r="Q87" s="51"/>
      <c r="R87" s="420"/>
      <c r="S87" s="51"/>
      <c r="T87" s="38"/>
      <c r="U87" s="478"/>
    </row>
    <row r="88" spans="1:21" x14ac:dyDescent="0.25">
      <c r="A88" s="587" t="s">
        <v>99</v>
      </c>
      <c r="B88" s="578"/>
      <c r="C88" s="578"/>
      <c r="D88" s="69"/>
      <c r="E88" s="43" t="s">
        <v>3</v>
      </c>
      <c r="F88" s="302">
        <f>'1461'!F88</f>
        <v>0</v>
      </c>
      <c r="G88" s="37" t="s">
        <v>6</v>
      </c>
      <c r="H88" s="422">
        <f>H70</f>
        <v>2.5309999999999998E-3</v>
      </c>
      <c r="I88" s="101">
        <f>ROUND(F88*H88,2)</f>
        <v>0</v>
      </c>
      <c r="N88" s="638" t="s">
        <v>99</v>
      </c>
      <c r="O88" s="601"/>
      <c r="P88" s="601"/>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456</v>
      </c>
      <c r="D90" s="69"/>
      <c r="E90" s="43" t="s">
        <v>421</v>
      </c>
      <c r="F90" s="302">
        <f>'1461'!F90</f>
        <v>19042026</v>
      </c>
      <c r="G90" s="37" t="s">
        <v>6</v>
      </c>
      <c r="H90" s="422">
        <f>H82</f>
        <v>2.8400000000000001E-3</v>
      </c>
      <c r="I90" s="101">
        <f>ROUND(F90*H90,2)</f>
        <v>54079.35</v>
      </c>
      <c r="N90" s="453" t="s">
        <v>456</v>
      </c>
      <c r="O90" s="51"/>
      <c r="P90" s="51"/>
      <c r="Q90" s="44"/>
      <c r="R90" s="419">
        <f>F90</f>
        <v>19042026</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457</v>
      </c>
      <c r="D92" s="69"/>
      <c r="E92" s="43" t="s">
        <v>3</v>
      </c>
      <c r="F92" s="302">
        <f>'1461'!F92</f>
        <v>11441151</v>
      </c>
      <c r="G92" s="37" t="s">
        <v>6</v>
      </c>
      <c r="H92" s="422">
        <f>H76</f>
        <v>2.8349999999999998E-3</v>
      </c>
      <c r="I92" s="101">
        <f t="shared" ref="I92:I96" si="14">ROUND(F92*H92,2)</f>
        <v>32435.66</v>
      </c>
      <c r="N92" s="453" t="s">
        <v>457</v>
      </c>
      <c r="O92" s="51"/>
      <c r="P92" s="51"/>
      <c r="Q92" s="44"/>
      <c r="R92" s="419">
        <f t="shared" ref="R92:R96" si="15">F92</f>
        <v>11441151</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84" t="s">
        <v>422</v>
      </c>
      <c r="B94" s="578"/>
      <c r="C94" s="578"/>
      <c r="D94" s="69"/>
      <c r="E94" s="43" t="s">
        <v>4</v>
      </c>
      <c r="F94" s="302">
        <f>'1461'!F94</f>
        <v>247265670</v>
      </c>
      <c r="G94" s="37" t="s">
        <v>6</v>
      </c>
      <c r="H94" s="422">
        <f>H73</f>
        <v>2.4320000000000001E-3</v>
      </c>
      <c r="I94" s="101">
        <f t="shared" si="14"/>
        <v>601350.11</v>
      </c>
      <c r="N94" s="601" t="s">
        <v>422</v>
      </c>
      <c r="O94" s="601"/>
      <c r="P94" s="601"/>
      <c r="Q94" s="44"/>
      <c r="R94" s="419">
        <f t="shared" si="15"/>
        <v>247265670</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4" t="s">
        <v>423</v>
      </c>
      <c r="B96" s="578"/>
      <c r="C96" s="578"/>
      <c r="D96" s="69"/>
      <c r="E96" s="43" t="s">
        <v>4</v>
      </c>
      <c r="F96" s="302">
        <f>'1461'!F96</f>
        <v>0</v>
      </c>
      <c r="G96" s="37" t="s">
        <v>6</v>
      </c>
      <c r="H96" s="422">
        <f>H73</f>
        <v>2.4320000000000001E-3</v>
      </c>
      <c r="I96" s="101">
        <f t="shared" si="14"/>
        <v>0</v>
      </c>
      <c r="N96" s="600" t="s">
        <v>423</v>
      </c>
      <c r="O96" s="601"/>
      <c r="P96" s="601"/>
      <c r="Q96" s="44"/>
      <c r="R96" s="419">
        <f t="shared" si="15"/>
        <v>0</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530" t="s">
        <v>497</v>
      </c>
      <c r="B98" s="529"/>
      <c r="C98" s="529"/>
      <c r="D98" s="529"/>
      <c r="E98" s="527" t="s">
        <v>3</v>
      </c>
      <c r="F98" s="290">
        <v>0</v>
      </c>
      <c r="G98" s="528" t="s">
        <v>6</v>
      </c>
      <c r="H98" s="422">
        <f>H70</f>
        <v>2.5309999999999998E-3</v>
      </c>
      <c r="I98" s="101">
        <f t="shared" ref="I98" si="16">ROUND(F98*H98,2)</f>
        <v>0</v>
      </c>
      <c r="N98" s="533" t="s">
        <v>497</v>
      </c>
      <c r="O98" s="533"/>
      <c r="P98" s="533"/>
      <c r="Q98" s="44"/>
      <c r="R98" s="536">
        <f>F98</f>
        <v>0</v>
      </c>
      <c r="S98" s="534" t="s">
        <v>6</v>
      </c>
      <c r="T98" s="421">
        <f>T70</f>
        <v>0</v>
      </c>
      <c r="U98" s="473">
        <f>ROUND(R98*T98,2)</f>
        <v>0</v>
      </c>
    </row>
    <row r="99" spans="1:21" x14ac:dyDescent="0.25">
      <c r="A99" s="530"/>
      <c r="B99" s="529"/>
      <c r="C99" s="529"/>
      <c r="D99" s="529"/>
      <c r="E99" s="527"/>
      <c r="F99" s="276"/>
      <c r="G99" s="528"/>
      <c r="H99" s="422"/>
      <c r="I99" s="101"/>
      <c r="N99" s="533"/>
      <c r="O99" s="533"/>
      <c r="P99" s="533"/>
      <c r="Q99" s="44"/>
      <c r="R99" s="535"/>
      <c r="S99" s="534"/>
      <c r="T99" s="421"/>
      <c r="U99" s="477"/>
    </row>
    <row r="100" spans="1:21" x14ac:dyDescent="0.25">
      <c r="A100" s="530"/>
      <c r="B100" s="529"/>
      <c r="C100" s="529"/>
      <c r="D100" s="529"/>
      <c r="E100" s="527"/>
      <c r="F100" s="276"/>
      <c r="G100" s="528"/>
      <c r="H100" s="422"/>
      <c r="I100" s="101"/>
      <c r="N100" s="533"/>
      <c r="O100" s="533"/>
      <c r="P100" s="533"/>
      <c r="Q100" s="44"/>
      <c r="R100" s="420"/>
      <c r="S100" s="534"/>
      <c r="T100" s="421"/>
      <c r="U100" s="103"/>
    </row>
    <row r="101" spans="1:21" x14ac:dyDescent="0.25">
      <c r="A101" s="399" t="s">
        <v>498</v>
      </c>
      <c r="N101" s="407" t="s">
        <v>498</v>
      </c>
      <c r="O101" s="51"/>
      <c r="P101" s="51"/>
      <c r="Q101" s="51"/>
      <c r="R101" s="51"/>
      <c r="S101" s="51"/>
      <c r="T101" s="51"/>
      <c r="U101" s="51"/>
    </row>
    <row r="102" spans="1:21" x14ac:dyDescent="0.25">
      <c r="B102" s="69"/>
      <c r="C102" s="563" t="s">
        <v>60</v>
      </c>
      <c r="D102" s="563"/>
      <c r="E102" s="69"/>
      <c r="F102" s="39" t="s">
        <v>28</v>
      </c>
      <c r="G102" s="69"/>
      <c r="H102" s="69"/>
      <c r="I102" s="69"/>
      <c r="N102" s="45"/>
      <c r="O102" s="45"/>
      <c r="P102" s="45"/>
      <c r="Q102" s="45"/>
      <c r="R102" s="45"/>
      <c r="S102" s="45"/>
      <c r="T102" s="45"/>
      <c r="U102" s="45"/>
    </row>
    <row r="103" spans="1:21" x14ac:dyDescent="0.25">
      <c r="A103" s="3"/>
      <c r="B103" s="118"/>
      <c r="C103" s="564" t="s">
        <v>101</v>
      </c>
      <c r="D103" s="564"/>
      <c r="E103" s="423" t="s">
        <v>426</v>
      </c>
      <c r="F103" s="120" t="s">
        <v>106</v>
      </c>
      <c r="G103" s="121"/>
      <c r="H103" s="121"/>
      <c r="I103" s="121"/>
      <c r="N103" s="631" t="s">
        <v>35</v>
      </c>
      <c r="O103" s="631"/>
      <c r="P103" s="672" t="s">
        <v>428</v>
      </c>
      <c r="Q103" s="633"/>
      <c r="R103" s="604" t="s">
        <v>31</v>
      </c>
      <c r="S103" s="604"/>
      <c r="T103" s="604"/>
      <c r="U103" s="604"/>
    </row>
    <row r="104" spans="1:21" x14ac:dyDescent="0.25">
      <c r="A104" s="26"/>
      <c r="B104" s="52" t="s">
        <v>105</v>
      </c>
      <c r="C104" s="596">
        <f>H14+H15+H20+H23+H26</f>
        <v>276.923</v>
      </c>
      <c r="D104" s="596"/>
      <c r="E104" s="46">
        <f>H8</f>
        <v>1.0407999999999999</v>
      </c>
      <c r="F104" s="303">
        <f>'1461'!F104</f>
        <v>950.92</v>
      </c>
      <c r="G104" s="39" t="s">
        <v>12</v>
      </c>
      <c r="H104" s="101">
        <f>ROUND(C104*E104*F104,2)</f>
        <v>274075.55</v>
      </c>
      <c r="I104" s="104"/>
      <c r="N104" s="28" t="s">
        <v>17</v>
      </c>
      <c r="O104" s="47">
        <f>T14+T15+T20+T23+T26</f>
        <v>0</v>
      </c>
      <c r="P104" s="611">
        <f>T8</f>
        <v>1.0407999999999999</v>
      </c>
      <c r="Q104" s="611"/>
      <c r="R104" s="48">
        <f>F104</f>
        <v>950.92</v>
      </c>
      <c r="S104" s="40" t="s">
        <v>12</v>
      </c>
      <c r="T104" s="479">
        <f>ROUND(O104*P104*R104,2)</f>
        <v>0</v>
      </c>
      <c r="U104" s="102"/>
    </row>
    <row r="105" spans="1:21" x14ac:dyDescent="0.25">
      <c r="A105" s="49"/>
      <c r="B105" s="49" t="s">
        <v>104</v>
      </c>
      <c r="C105" s="596">
        <f>H16+H17+H21+H24+H27</f>
        <v>294.38029999999998</v>
      </c>
      <c r="D105" s="596"/>
      <c r="E105" s="46">
        <f>H8</f>
        <v>1.0407999999999999</v>
      </c>
      <c r="F105" s="303">
        <f>'1461'!F105</f>
        <v>907.92</v>
      </c>
      <c r="G105" s="39" t="s">
        <v>12</v>
      </c>
      <c r="H105" s="101">
        <f>ROUND(C105*E105*F105,2)</f>
        <v>278178.53000000003</v>
      </c>
      <c r="N105" s="50" t="s">
        <v>13</v>
      </c>
      <c r="O105" s="47">
        <f>T16+T17+T21+T24+T27</f>
        <v>0</v>
      </c>
      <c r="P105" s="611">
        <f>T8</f>
        <v>1.0407999999999999</v>
      </c>
      <c r="Q105" s="611"/>
      <c r="R105" s="48">
        <f>F105</f>
        <v>907.92</v>
      </c>
      <c r="S105" s="40" t="s">
        <v>12</v>
      </c>
      <c r="T105" s="479">
        <f>ROUND(O105*P105*R105,2)</f>
        <v>0</v>
      </c>
      <c r="U105" s="51"/>
    </row>
    <row r="106" spans="1:21" ht="16.5" thickBot="1" x14ac:dyDescent="0.3">
      <c r="A106" s="52"/>
      <c r="B106" s="52" t="s">
        <v>103</v>
      </c>
      <c r="C106" s="596">
        <f>H18+H19+H22+H25+H28+H29</f>
        <v>0</v>
      </c>
      <c r="D106" s="596"/>
      <c r="E106" s="46">
        <f>H8</f>
        <v>1.0407999999999999</v>
      </c>
      <c r="F106" s="303">
        <f>'1461'!F106</f>
        <v>910.12</v>
      </c>
      <c r="G106" s="39" t="s">
        <v>12</v>
      </c>
      <c r="H106" s="94">
        <f>ROUND(C106*E106*F106,2)</f>
        <v>0</v>
      </c>
      <c r="N106" s="53" t="s">
        <v>14</v>
      </c>
      <c r="O106" s="54">
        <f>T18+T19+T22+T25+T28+T29</f>
        <v>0</v>
      </c>
      <c r="P106" s="611">
        <f>T8</f>
        <v>1.0407999999999999</v>
      </c>
      <c r="Q106" s="611"/>
      <c r="R106" s="48">
        <f>F106</f>
        <v>910.12</v>
      </c>
      <c r="S106" s="40" t="s">
        <v>12</v>
      </c>
      <c r="T106" s="479">
        <f>ROUND(O106*P106*R106,2)</f>
        <v>0</v>
      </c>
      <c r="U106" s="51"/>
    </row>
    <row r="107" spans="1:21" ht="16.5" thickBot="1" x14ac:dyDescent="0.3">
      <c r="A107" s="55"/>
      <c r="B107" s="122" t="s">
        <v>102</v>
      </c>
      <c r="C107" s="586">
        <f>SUM(C104:C106)</f>
        <v>571.30330000000004</v>
      </c>
      <c r="D107" s="586"/>
      <c r="E107" s="123"/>
      <c r="F107" s="123"/>
      <c r="G107" s="123"/>
      <c r="H107" s="124" t="s">
        <v>100</v>
      </c>
      <c r="I107" s="101">
        <f>IF(A1=75,0,H106+H105+H104)</f>
        <v>552254.08000000007</v>
      </c>
      <c r="N107" s="56" t="s">
        <v>89</v>
      </c>
      <c r="O107" s="57">
        <f>SUM(O104:O106)</f>
        <v>0</v>
      </c>
      <c r="P107" s="612" t="s">
        <v>16</v>
      </c>
      <c r="Q107" s="613"/>
      <c r="R107" s="613"/>
      <c r="S107" s="613"/>
      <c r="T107" s="613"/>
      <c r="U107" s="473">
        <f>IF(N1=75,0,T106+T105+T104)</f>
        <v>0</v>
      </c>
    </row>
    <row r="108" spans="1:21" ht="16.5" thickTop="1" x14ac:dyDescent="0.25">
      <c r="A108" s="555" t="s">
        <v>65</v>
      </c>
      <c r="B108" s="555"/>
      <c r="C108" s="555"/>
      <c r="D108" s="555"/>
      <c r="E108" s="555"/>
      <c r="F108" s="555"/>
      <c r="G108" s="555"/>
      <c r="H108" s="555"/>
      <c r="I108" s="555"/>
      <c r="N108" s="614" t="s">
        <v>65</v>
      </c>
      <c r="O108" s="614"/>
      <c r="P108" s="614"/>
      <c r="Q108" s="614"/>
      <c r="R108" s="614"/>
      <c r="S108" s="614"/>
      <c r="T108" s="614"/>
      <c r="U108" s="614"/>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0" t="s">
        <v>499</v>
      </c>
      <c r="C110" s="43"/>
      <c r="D110" s="69"/>
      <c r="E110" s="43" t="s">
        <v>32</v>
      </c>
      <c r="F110" s="556"/>
      <c r="G110" s="556"/>
      <c r="H110" s="556"/>
      <c r="I110" s="556"/>
      <c r="N110" s="600" t="s">
        <v>499</v>
      </c>
      <c r="O110" s="601"/>
      <c r="P110" s="601"/>
      <c r="Q110" s="615"/>
      <c r="R110" s="615"/>
      <c r="S110" s="615"/>
      <c r="T110" s="615"/>
      <c r="U110" s="103"/>
    </row>
    <row r="111" spans="1:21" x14ac:dyDescent="0.25">
      <c r="B111" s="69"/>
      <c r="C111" s="88" t="s">
        <v>494</v>
      </c>
      <c r="D111" s="333" t="s">
        <v>495</v>
      </c>
      <c r="E111" s="89" t="s">
        <v>107</v>
      </c>
      <c r="F111" s="43"/>
      <c r="G111" s="43"/>
      <c r="H111" s="43"/>
      <c r="I111" s="43"/>
      <c r="N111" s="45"/>
      <c r="O111" s="45"/>
      <c r="P111" s="45"/>
      <c r="Q111" s="125"/>
      <c r="R111" s="125"/>
      <c r="S111" s="125"/>
      <c r="T111" s="125"/>
      <c r="U111" s="103"/>
    </row>
    <row r="112" spans="1:21" x14ac:dyDescent="0.25">
      <c r="B112" s="69"/>
      <c r="C112" s="326" t="s">
        <v>2</v>
      </c>
      <c r="D112" s="324" t="s">
        <v>2</v>
      </c>
      <c r="E112" s="324" t="s">
        <v>2</v>
      </c>
      <c r="F112" s="43"/>
      <c r="G112" s="43"/>
      <c r="H112" s="43"/>
      <c r="I112" s="43"/>
      <c r="N112" s="45"/>
      <c r="O112" s="45"/>
      <c r="P112" s="45"/>
      <c r="Q112" s="125"/>
      <c r="R112" s="125"/>
      <c r="S112" s="125"/>
      <c r="T112" s="125"/>
      <c r="U112" s="103"/>
    </row>
    <row r="113" spans="1:21" x14ac:dyDescent="0.25">
      <c r="A113" s="557" t="s">
        <v>381</v>
      </c>
      <c r="B113" s="558"/>
      <c r="C113" s="143">
        <v>2</v>
      </c>
      <c r="D113" s="143">
        <v>0</v>
      </c>
      <c r="E113" s="116">
        <f>(C113+D113)/2</f>
        <v>1</v>
      </c>
      <c r="F113" s="126" t="s">
        <v>30</v>
      </c>
      <c r="G113" s="304">
        <f>'1461'!G113</f>
        <v>576</v>
      </c>
      <c r="I113" s="101">
        <f>ROUND(G113*E113,2)</f>
        <v>576</v>
      </c>
      <c r="N113" s="630" t="s">
        <v>52</v>
      </c>
      <c r="O113" s="630"/>
      <c r="P113" s="610">
        <f>IF(H133=1,E113,0)</f>
        <v>0</v>
      </c>
      <c r="Q113" s="610"/>
      <c r="R113" s="610"/>
      <c r="S113" s="83" t="s">
        <v>30</v>
      </c>
      <c r="T113" s="58">
        <f>G113</f>
        <v>576</v>
      </c>
      <c r="U113" s="473">
        <f>ROUND(T113*P113,2)</f>
        <v>0</v>
      </c>
    </row>
    <row r="114" spans="1:21" x14ac:dyDescent="0.25">
      <c r="A114" s="557" t="s">
        <v>382</v>
      </c>
      <c r="B114" s="558"/>
      <c r="C114" s="143">
        <v>0</v>
      </c>
      <c r="D114" s="143">
        <v>0</v>
      </c>
      <c r="E114" s="116">
        <f>(C114+D114)/2</f>
        <v>0</v>
      </c>
      <c r="F114" s="126" t="s">
        <v>30</v>
      </c>
      <c r="G114" s="304">
        <f>'1461'!G114</f>
        <v>1823</v>
      </c>
      <c r="I114" s="101">
        <f>ROUND(G114*E114,2)</f>
        <v>0</v>
      </c>
      <c r="N114" s="630" t="s">
        <v>64</v>
      </c>
      <c r="O114" s="630"/>
      <c r="P114" s="608"/>
      <c r="Q114" s="608"/>
      <c r="R114" s="608"/>
      <c r="S114" s="83" t="s">
        <v>30</v>
      </c>
      <c r="T114" s="58">
        <f>G114</f>
        <v>1823</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4" t="s">
        <v>430</v>
      </c>
      <c r="B117" s="578"/>
      <c r="C117" s="578"/>
      <c r="D117" s="69"/>
      <c r="E117" s="39" t="s">
        <v>300</v>
      </c>
      <c r="F117" s="563"/>
      <c r="G117" s="563"/>
      <c r="H117" s="563"/>
      <c r="I117" s="563"/>
      <c r="N117" s="600" t="s">
        <v>431</v>
      </c>
      <c r="O117" s="601"/>
      <c r="P117" s="601"/>
      <c r="Q117" s="601"/>
      <c r="R117" s="601"/>
      <c r="S117" s="601"/>
      <c r="T117" s="601"/>
      <c r="U117" s="601"/>
    </row>
    <row r="118" spans="1:21" hidden="1" x14ac:dyDescent="0.25">
      <c r="B118" s="69"/>
      <c r="C118" s="564" t="s">
        <v>66</v>
      </c>
      <c r="D118" s="564"/>
      <c r="E118" s="564"/>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5" t="s">
        <v>109</v>
      </c>
      <c r="G119" s="563"/>
      <c r="H119" s="37" t="s">
        <v>29</v>
      </c>
      <c r="I119" s="37"/>
      <c r="N119" s="45"/>
      <c r="O119" s="45"/>
      <c r="P119" s="45"/>
      <c r="Q119" s="45"/>
      <c r="R119" s="45"/>
      <c r="S119" s="45"/>
      <c r="T119" s="45"/>
      <c r="U119" s="45"/>
    </row>
    <row r="120" spans="1:21" hidden="1" x14ac:dyDescent="0.25">
      <c r="A120" s="564" t="s">
        <v>69</v>
      </c>
      <c r="B120" s="564"/>
      <c r="C120" s="90" t="s">
        <v>2</v>
      </c>
      <c r="D120" s="90" t="s">
        <v>2</v>
      </c>
      <c r="E120" s="59" t="s">
        <v>2</v>
      </c>
      <c r="F120" s="564" t="s">
        <v>28</v>
      </c>
      <c r="G120" s="564"/>
      <c r="H120" s="59" t="s">
        <v>28</v>
      </c>
      <c r="I120" s="59" t="s">
        <v>8</v>
      </c>
      <c r="N120" s="609" t="s">
        <v>53</v>
      </c>
      <c r="O120" s="609"/>
      <c r="P120" s="610" t="s">
        <v>66</v>
      </c>
      <c r="Q120" s="610"/>
      <c r="R120" s="609" t="s">
        <v>54</v>
      </c>
      <c r="S120" s="609"/>
      <c r="T120" s="60" t="s">
        <v>55</v>
      </c>
      <c r="U120" s="60" t="s">
        <v>8</v>
      </c>
    </row>
    <row r="121" spans="1:21" hidden="1" x14ac:dyDescent="0.25">
      <c r="A121" s="561" t="s">
        <v>56</v>
      </c>
      <c r="B121" s="561"/>
      <c r="C121" s="141">
        <v>0</v>
      </c>
      <c r="D121" s="141">
        <v>0</v>
      </c>
      <c r="E121" s="187">
        <f>IF(D30=0,C121*2,C121+D121)</f>
        <v>0</v>
      </c>
      <c r="F121" s="562">
        <v>0</v>
      </c>
      <c r="G121" s="562"/>
      <c r="H121" s="224">
        <f>IF(C121=0,0,125)</f>
        <v>0</v>
      </c>
      <c r="I121" s="101">
        <f>ROUND((H121+F121)*E121,2)</f>
        <v>0</v>
      </c>
      <c r="N121" s="601" t="s">
        <v>56</v>
      </c>
      <c r="O121" s="601"/>
      <c r="P121" s="608">
        <f>IF(H$133=1,C121,0)</f>
        <v>0</v>
      </c>
      <c r="Q121" s="608"/>
      <c r="R121" s="628">
        <f>F121</f>
        <v>0</v>
      </c>
      <c r="S121" s="628"/>
      <c r="T121" s="62">
        <f>H121</f>
        <v>0</v>
      </c>
      <c r="U121" s="96">
        <f>ROUND((T121+R121)*P121,0)</f>
        <v>0</v>
      </c>
    </row>
    <row r="122" spans="1:21" hidden="1" x14ac:dyDescent="0.25">
      <c r="A122" s="581" t="s">
        <v>57</v>
      </c>
      <c r="B122" s="581"/>
      <c r="C122" s="143">
        <v>0</v>
      </c>
      <c r="D122" s="143">
        <v>0</v>
      </c>
      <c r="E122" s="116">
        <f>IF(D31=0,C122*2,C122+D122)</f>
        <v>0</v>
      </c>
      <c r="F122" s="598">
        <f>ROUND(F121/2,2)</f>
        <v>0</v>
      </c>
      <c r="G122" s="598"/>
      <c r="H122" s="224">
        <f>IF(C122=0,0,62.5)</f>
        <v>0</v>
      </c>
      <c r="I122" s="101">
        <f>ROUND((H122+F122)*E122,2)</f>
        <v>0</v>
      </c>
      <c r="N122" s="601" t="s">
        <v>57</v>
      </c>
      <c r="O122" s="601"/>
      <c r="P122" s="608">
        <f>IF(H$133=1,C122,0)</f>
        <v>0</v>
      </c>
      <c r="Q122" s="608"/>
      <c r="R122" s="629">
        <f>ROUND(R121/2,2)</f>
        <v>0</v>
      </c>
      <c r="S122" s="629"/>
      <c r="T122" s="62">
        <f>H122</f>
        <v>0</v>
      </c>
      <c r="U122" s="96">
        <f>ROUND((T122+R122)*P122,0)</f>
        <v>0</v>
      </c>
    </row>
    <row r="123" spans="1:21" ht="16.5" hidden="1" thickBot="1" x14ac:dyDescent="0.3">
      <c r="A123" s="581" t="s">
        <v>58</v>
      </c>
      <c r="B123" s="581"/>
      <c r="C123" s="143">
        <v>0</v>
      </c>
      <c r="D123" s="143">
        <v>0</v>
      </c>
      <c r="E123" s="116">
        <f>IF(D32=0,C123*2,C123+D123)</f>
        <v>0</v>
      </c>
      <c r="F123" s="599"/>
      <c r="G123" s="599"/>
      <c r="H123" s="225">
        <f>IF(H121&gt;0,436,0)</f>
        <v>0</v>
      </c>
      <c r="I123" s="101">
        <f>ROUND(H123*E123,2)</f>
        <v>0</v>
      </c>
      <c r="N123" s="616" t="s">
        <v>58</v>
      </c>
      <c r="O123" s="616"/>
      <c r="P123" s="608">
        <f>IF(H$133=1,C123,0)</f>
        <v>0</v>
      </c>
      <c r="Q123" s="608"/>
      <c r="R123" s="609"/>
      <c r="S123" s="609"/>
      <c r="T123" s="64">
        <f>H123</f>
        <v>0</v>
      </c>
      <c r="U123" s="103">
        <f>ROUND(T123*P123,0)</f>
        <v>0</v>
      </c>
    </row>
    <row r="124" spans="1:21" ht="16.5" hidden="1" thickBot="1" x14ac:dyDescent="0.3">
      <c r="A124" s="563" t="s">
        <v>8</v>
      </c>
      <c r="B124" s="563"/>
      <c r="C124" s="65"/>
      <c r="D124" s="65"/>
      <c r="E124" s="65"/>
      <c r="F124" s="65"/>
      <c r="G124" s="65"/>
      <c r="H124" s="65"/>
      <c r="I124" s="97">
        <f>SUM(I121:I123)</f>
        <v>0</v>
      </c>
      <c r="N124" s="627" t="s">
        <v>8</v>
      </c>
      <c r="O124" s="627"/>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4" t="s">
        <v>432</v>
      </c>
      <c r="B126" s="578"/>
      <c r="C126" s="578"/>
      <c r="D126" s="69"/>
      <c r="E126" s="68" t="s">
        <v>34</v>
      </c>
      <c r="F126" s="597"/>
      <c r="G126" s="597"/>
      <c r="H126" s="597"/>
      <c r="I126" s="154">
        <v>0</v>
      </c>
      <c r="N126" s="600" t="s">
        <v>432</v>
      </c>
      <c r="O126" s="601"/>
      <c r="P126" s="601"/>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90" t="s">
        <v>8</v>
      </c>
      <c r="B128" s="590"/>
      <c r="C128" s="590"/>
      <c r="D128" s="590"/>
      <c r="E128" s="590"/>
      <c r="F128" s="590"/>
      <c r="G128" s="590"/>
      <c r="H128" s="590"/>
      <c r="I128" s="94">
        <f>SUM(I46,I66,I85,I88,I90,I92,I94,I96,I107,I113,I114,I124,I126)</f>
        <v>4610956.2300000004</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434</v>
      </c>
      <c r="B130" s="26"/>
      <c r="C130" s="26"/>
      <c r="D130" s="26"/>
      <c r="E130" s="26"/>
      <c r="F130" s="26"/>
      <c r="G130" s="26"/>
      <c r="H130" s="26"/>
      <c r="I130" s="101">
        <f>I128-I53</f>
        <v>4422983.1000000006</v>
      </c>
      <c r="N130" s="601" t="s">
        <v>434</v>
      </c>
      <c r="O130" s="601"/>
      <c r="P130" s="601"/>
      <c r="Q130" s="601"/>
      <c r="R130" s="601"/>
      <c r="S130" s="601"/>
      <c r="T130" s="601"/>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4" t="s">
        <v>502</v>
      </c>
      <c r="B132" s="578"/>
      <c r="C132" s="578"/>
      <c r="D132" s="578"/>
      <c r="E132" s="578"/>
      <c r="F132" s="578"/>
      <c r="G132" s="578"/>
      <c r="H132" s="81" t="s">
        <v>333</v>
      </c>
      <c r="I132" s="134"/>
      <c r="N132" s="600" t="s">
        <v>502</v>
      </c>
      <c r="O132" s="601"/>
      <c r="P132" s="601"/>
      <c r="Q132" s="601"/>
      <c r="R132" s="601"/>
      <c r="S132" s="601"/>
      <c r="T132" s="601"/>
      <c r="U132" s="138"/>
    </row>
    <row r="133" spans="1:21" x14ac:dyDescent="0.25">
      <c r="A133" s="578" t="s">
        <v>70</v>
      </c>
      <c r="B133" s="578"/>
      <c r="C133" s="578"/>
      <c r="D133" s="578"/>
      <c r="E133" s="578"/>
      <c r="F133" s="578"/>
      <c r="G133" s="578"/>
      <c r="H133" s="70" t="str">
        <f>IF(E30=0,"",IF((E15+E17+SUM(E19:E25))/E30&gt;0.75,1,""))</f>
        <v/>
      </c>
      <c r="I133" s="116">
        <f>U130</f>
        <v>0</v>
      </c>
      <c r="N133" s="601" t="s">
        <v>70</v>
      </c>
      <c r="O133" s="601"/>
      <c r="P133" s="601"/>
      <c r="Q133" s="601"/>
      <c r="R133" s="601"/>
      <c r="S133" s="601"/>
      <c r="T133" s="601"/>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4422983.1000000006</v>
      </c>
      <c r="I135" s="94">
        <f>ROUND(IF(E30=0,0,IF(E30&gt;250,-(((250/E30)*H135)*IF(G135="H",0.02,0.05)),IF(G135="H",-0.02*H135,-0.05*H135))),2)</f>
        <v>-103915.66</v>
      </c>
      <c r="N135" s="626"/>
      <c r="O135" s="626"/>
      <c r="P135" s="626"/>
      <c r="Q135" s="626"/>
      <c r="R135" s="626"/>
      <c r="S135" s="626"/>
      <c r="T135" s="626"/>
      <c r="U135" s="626"/>
    </row>
    <row r="136" spans="1:21" x14ac:dyDescent="0.25">
      <c r="B136" s="69"/>
      <c r="C136" s="69"/>
      <c r="D136" s="69"/>
      <c r="E136" s="69"/>
      <c r="F136" s="69"/>
      <c r="G136" s="69"/>
      <c r="H136" s="65"/>
      <c r="I136" s="101"/>
      <c r="N136" s="624" t="s">
        <v>7</v>
      </c>
      <c r="O136" s="624"/>
      <c r="P136" s="624"/>
      <c r="Q136" s="624"/>
      <c r="R136" s="624"/>
      <c r="S136" s="624"/>
      <c r="T136" s="624"/>
      <c r="U136" s="624"/>
    </row>
    <row r="137" spans="1:21" x14ac:dyDescent="0.25">
      <c r="A137" s="309" t="s">
        <v>74</v>
      </c>
      <c r="B137" s="310"/>
      <c r="C137" s="310"/>
      <c r="D137" s="310"/>
      <c r="E137" s="310"/>
      <c r="F137" s="310"/>
      <c r="G137" s="310"/>
      <c r="H137" s="311"/>
      <c r="I137" s="312">
        <f>I128+I135</f>
        <v>4507040.57</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81" t="s">
        <v>242</v>
      </c>
      <c r="B139" s="69"/>
      <c r="C139" s="140"/>
      <c r="D139" s="69"/>
      <c r="F139" s="69"/>
      <c r="G139" s="69"/>
      <c r="H139" s="65"/>
      <c r="I139" s="272">
        <f>-'Cumulative Payments'!Q101</f>
        <v>0</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267">
        <f>I137+I139</f>
        <v>4507040.57</v>
      </c>
      <c r="N141" s="73"/>
      <c r="O141" s="73"/>
      <c r="P141" s="73"/>
      <c r="Q141" s="73"/>
      <c r="R141" s="73"/>
      <c r="S141" s="73"/>
      <c r="T141" s="73"/>
      <c r="U141" s="73"/>
    </row>
    <row r="142" spans="1:21" x14ac:dyDescent="0.25">
      <c r="A142" s="81"/>
      <c r="B142" s="69"/>
      <c r="C142" s="69"/>
      <c r="D142" s="69"/>
      <c r="E142" s="69"/>
      <c r="F142" s="69"/>
      <c r="G142" s="69"/>
      <c r="H142" s="65"/>
      <c r="I142" s="267"/>
      <c r="N142" s="73"/>
      <c r="O142" s="73"/>
      <c r="P142" s="73"/>
      <c r="Q142" s="73"/>
      <c r="R142" s="73"/>
      <c r="S142" s="73"/>
      <c r="T142" s="73"/>
      <c r="U142" s="73"/>
    </row>
    <row r="143" spans="1:21" x14ac:dyDescent="0.25">
      <c r="A143" s="81" t="s">
        <v>248</v>
      </c>
      <c r="B143" s="69"/>
      <c r="C143" s="69"/>
      <c r="D143" s="69"/>
      <c r="E143" s="69"/>
      <c r="F143" s="69"/>
      <c r="G143" s="69"/>
      <c r="H143" s="65"/>
      <c r="I143" s="274">
        <f>'1461'!I143</f>
        <v>12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375586.71</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117233.5</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372</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373</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374</v>
      </c>
      <c r="B155" s="252"/>
      <c r="C155" s="252"/>
      <c r="D155" s="252"/>
      <c r="E155" s="252"/>
      <c r="F155" s="252"/>
      <c r="G155" s="252"/>
      <c r="H155" s="252"/>
      <c r="I155" s="252"/>
      <c r="N155" s="625"/>
      <c r="O155" s="625"/>
      <c r="P155" s="625"/>
      <c r="Q155" s="625"/>
      <c r="R155" s="625"/>
      <c r="S155" s="625"/>
      <c r="T155" s="625"/>
      <c r="U155" s="625"/>
    </row>
    <row r="156" spans="1:21" s="76" customFormat="1" x14ac:dyDescent="0.2">
      <c r="A156" s="320" t="s">
        <v>375</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376</v>
      </c>
      <c r="B157" s="252"/>
      <c r="C157" s="252"/>
      <c r="D157" s="252"/>
      <c r="E157" s="252"/>
      <c r="F157" s="252"/>
      <c r="G157" s="252"/>
      <c r="H157" s="252"/>
      <c r="I157" s="252"/>
      <c r="N157" s="78"/>
      <c r="O157" s="79"/>
      <c r="P157" s="79"/>
      <c r="Q157" s="79"/>
      <c r="R157" s="79"/>
      <c r="S157" s="79"/>
      <c r="T157" s="79"/>
      <c r="U157" s="79"/>
    </row>
    <row r="158" spans="1:21" s="76" customFormat="1" x14ac:dyDescent="0.2">
      <c r="A158" s="320" t="s">
        <v>377</v>
      </c>
      <c r="B158" s="252"/>
      <c r="C158" s="252"/>
      <c r="D158" s="252"/>
      <c r="E158" s="252"/>
      <c r="F158" s="252"/>
      <c r="G158" s="252"/>
      <c r="H158" s="252"/>
      <c r="I158" s="252"/>
      <c r="N158" s="78"/>
    </row>
    <row r="159" spans="1:21" s="76" customFormat="1" x14ac:dyDescent="0.2">
      <c r="A159" s="320" t="s">
        <v>379</v>
      </c>
      <c r="B159" s="252"/>
      <c r="C159" s="252"/>
      <c r="D159" s="252"/>
      <c r="E159" s="252"/>
      <c r="F159" s="252"/>
      <c r="G159" s="252"/>
      <c r="H159" s="252"/>
      <c r="I159" s="252"/>
      <c r="N159" s="78"/>
    </row>
    <row r="160" spans="1:21" s="76" customFormat="1" x14ac:dyDescent="0.2">
      <c r="A160" s="385" t="s">
        <v>378</v>
      </c>
      <c r="B160" s="252"/>
      <c r="C160" s="252"/>
      <c r="D160" s="252"/>
      <c r="E160" s="252"/>
      <c r="F160" s="252"/>
      <c r="G160" s="252"/>
      <c r="H160" s="252"/>
      <c r="I160" s="252"/>
      <c r="N160" s="78"/>
    </row>
    <row r="161" spans="1:14" s="76" customFormat="1" x14ac:dyDescent="0.2">
      <c r="A161" s="320" t="s">
        <v>380</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383</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385</v>
      </c>
      <c r="B165" s="293"/>
      <c r="C165" s="293"/>
      <c r="D165" s="293"/>
      <c r="E165" s="293"/>
      <c r="F165" s="293"/>
      <c r="G165" s="293"/>
      <c r="H165" s="293"/>
      <c r="I165" s="293"/>
      <c r="N165" s="78"/>
    </row>
    <row r="166" spans="1:14" s="76" customFormat="1" ht="15.75" customHeight="1" x14ac:dyDescent="0.2">
      <c r="A166" s="351" t="s">
        <v>384</v>
      </c>
      <c r="B166" s="293"/>
      <c r="C166" s="293"/>
      <c r="D166" s="293"/>
      <c r="E166" s="293"/>
      <c r="F166" s="293"/>
      <c r="G166" s="293"/>
      <c r="H166" s="293"/>
      <c r="I166" s="293"/>
      <c r="N166" s="78"/>
    </row>
    <row r="167" spans="1:14" s="76" customFormat="1" ht="15.75" customHeight="1" x14ac:dyDescent="0.2">
      <c r="A167" s="320" t="s">
        <v>386</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388</v>
      </c>
      <c r="B169" s="343"/>
      <c r="C169" s="343"/>
      <c r="D169" s="343"/>
      <c r="E169" s="343"/>
      <c r="F169" s="343"/>
      <c r="G169" s="343"/>
      <c r="H169" s="343"/>
      <c r="I169" s="343"/>
      <c r="N169" s="78"/>
    </row>
    <row r="170" spans="1:14" s="76" customFormat="1" ht="15.75" customHeight="1" x14ac:dyDescent="0.2">
      <c r="A170" s="351" t="s">
        <v>387</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389</v>
      </c>
      <c r="B175" s="293"/>
      <c r="C175" s="293"/>
      <c r="D175" s="293"/>
      <c r="E175" s="293"/>
      <c r="F175" s="293"/>
      <c r="G175" s="293"/>
      <c r="H175" s="293"/>
      <c r="I175" s="293"/>
      <c r="J175" s="3"/>
      <c r="K175" s="3"/>
      <c r="L175" s="3"/>
      <c r="M175" s="3"/>
      <c r="N175" s="78"/>
    </row>
    <row r="176" spans="1:14" s="76" customFormat="1" ht="15.75" customHeight="1" x14ac:dyDescent="0.2">
      <c r="A176" s="361" t="s">
        <v>390</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N130:T130"/>
    <mergeCell ref="A128:H128"/>
    <mergeCell ref="A132:G132"/>
    <mergeCell ref="N135:U135"/>
    <mergeCell ref="A133:G133"/>
    <mergeCell ref="N136:U136"/>
    <mergeCell ref="A123:B123"/>
    <mergeCell ref="F123:G123"/>
    <mergeCell ref="N123:O123"/>
    <mergeCell ref="P123:Q123"/>
    <mergeCell ref="R123:S123"/>
    <mergeCell ref="A124:B124"/>
    <mergeCell ref="N124:O124"/>
    <mergeCell ref="A126:C126"/>
    <mergeCell ref="F126:H126"/>
    <mergeCell ref="N126:P126"/>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T78:U78"/>
    <mergeCell ref="A96:C96"/>
    <mergeCell ref="N96:P96"/>
    <mergeCell ref="C102:D102"/>
    <mergeCell ref="C103:D103"/>
    <mergeCell ref="N103:O103"/>
    <mergeCell ref="P103:Q103"/>
    <mergeCell ref="N88:P88"/>
    <mergeCell ref="R103:U103"/>
    <mergeCell ref="T72:U72"/>
    <mergeCell ref="R66:T66"/>
    <mergeCell ref="A88:C88"/>
    <mergeCell ref="A94:C94"/>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8">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6" t="s">
        <v>15</v>
      </c>
      <c r="C1" s="567"/>
      <c r="D1" s="567"/>
      <c r="E1" s="567"/>
      <c r="F1" s="567"/>
      <c r="G1" s="567"/>
      <c r="H1" s="567"/>
      <c r="I1" s="567"/>
      <c r="J1" s="135"/>
      <c r="K1" s="135"/>
      <c r="L1" s="135"/>
      <c r="N1" s="82">
        <f>A1</f>
        <v>0</v>
      </c>
      <c r="O1" s="658" t="s">
        <v>15</v>
      </c>
      <c r="P1" s="659"/>
      <c r="Q1" s="659"/>
      <c r="R1" s="659"/>
      <c r="S1" s="659"/>
      <c r="T1" s="659"/>
      <c r="U1" s="659"/>
    </row>
    <row r="2" spans="1:21" ht="21" x14ac:dyDescent="0.35">
      <c r="A2" s="1" t="s">
        <v>133</v>
      </c>
      <c r="B2" s="2"/>
      <c r="C2" s="2"/>
      <c r="D2" s="2"/>
      <c r="E2" s="2"/>
      <c r="F2" s="2"/>
      <c r="G2" s="2"/>
      <c r="H2" s="2"/>
      <c r="I2" s="2"/>
      <c r="N2" s="660" t="s">
        <v>18</v>
      </c>
      <c r="O2" s="660"/>
      <c r="P2" s="660"/>
      <c r="Q2" s="660"/>
      <c r="R2" s="660"/>
      <c r="S2" s="660"/>
      <c r="T2" s="660"/>
      <c r="U2" s="660"/>
    </row>
    <row r="3" spans="1:21" x14ac:dyDescent="0.25">
      <c r="A3" s="81" t="str">
        <f>'1461'!A3</f>
        <v>Based on the FLDOE 2024-25 Conference Calculation</v>
      </c>
      <c r="N3" s="627" t="str">
        <f>A3</f>
        <v>Based on the FLDOE 2024-25 Conference Calculation</v>
      </c>
      <c r="O3" s="627"/>
      <c r="P3" s="627"/>
      <c r="Q3" s="627"/>
      <c r="R3" s="627"/>
      <c r="S3" s="627"/>
      <c r="T3" s="627"/>
      <c r="U3" s="627"/>
    </row>
    <row r="4" spans="1:21" x14ac:dyDescent="0.25">
      <c r="A4" s="568" t="s">
        <v>0</v>
      </c>
      <c r="B4" s="568"/>
      <c r="C4" s="569" t="s">
        <v>9</v>
      </c>
      <c r="D4" s="569"/>
      <c r="E4" s="569"/>
      <c r="F4" s="4" t="str">
        <f>'1461'!F4</f>
        <v>July 2024</v>
      </c>
      <c r="G4" s="4"/>
      <c r="H4" s="4"/>
      <c r="I4" s="4"/>
      <c r="N4" s="661" t="s">
        <v>0</v>
      </c>
      <c r="O4" s="661"/>
      <c r="P4" s="662" t="str">
        <f>C4</f>
        <v>Palm Beach</v>
      </c>
      <c r="Q4" s="662"/>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70" t="s">
        <v>433</v>
      </c>
      <c r="B7" s="664"/>
      <c r="C7" s="664"/>
      <c r="D7" s="664"/>
      <c r="E7" s="664"/>
      <c r="F7" s="664"/>
      <c r="G7" s="664"/>
      <c r="H7" s="664"/>
      <c r="I7" s="664"/>
      <c r="N7" s="661" t="str">
        <f>A7</f>
        <v>1A.   2023-24 FEFP State and Local Funding</v>
      </c>
      <c r="O7" s="661"/>
      <c r="P7" s="661"/>
      <c r="Q7" s="661"/>
      <c r="R7" s="661"/>
      <c r="S7" s="661"/>
      <c r="T7" s="661"/>
      <c r="U7" s="661"/>
    </row>
    <row r="8" spans="1:21" x14ac:dyDescent="0.25">
      <c r="A8" s="84"/>
      <c r="B8" s="85" t="s">
        <v>92</v>
      </c>
      <c r="C8" s="299">
        <f>'1461'!C8</f>
        <v>5330.98</v>
      </c>
      <c r="D8" s="86"/>
      <c r="E8" s="87"/>
      <c r="F8" s="84"/>
      <c r="G8" s="85" t="s">
        <v>393</v>
      </c>
      <c r="H8" s="287">
        <f>'1461'!H8</f>
        <v>1.0407999999999999</v>
      </c>
      <c r="I8" s="75"/>
      <c r="N8" s="665" t="s">
        <v>10</v>
      </c>
      <c r="O8" s="665"/>
      <c r="P8" s="666">
        <f>C8</f>
        <v>5330.98</v>
      </c>
      <c r="Q8" s="666"/>
      <c r="R8" s="648" t="s">
        <v>394</v>
      </c>
      <c r="S8" s="649"/>
      <c r="T8" s="650">
        <f>H8</f>
        <v>1.0407999999999999</v>
      </c>
      <c r="U8" s="650"/>
    </row>
    <row r="9" spans="1:21" x14ac:dyDescent="0.25">
      <c r="A9" s="84"/>
      <c r="B9" s="85"/>
      <c r="C9" s="222"/>
      <c r="D9" s="86"/>
      <c r="E9" s="87"/>
      <c r="F9" s="84"/>
      <c r="G9" s="85" t="s">
        <v>391</v>
      </c>
      <c r="H9" s="287">
        <f>'1461'!H9</f>
        <v>1</v>
      </c>
      <c r="I9" s="75"/>
      <c r="N9" s="12"/>
      <c r="O9" s="12"/>
      <c r="P9" s="13"/>
      <c r="Q9" s="13"/>
      <c r="R9" s="387" t="s">
        <v>392</v>
      </c>
      <c r="S9" s="384"/>
      <c r="T9" s="650">
        <f>H9</f>
        <v>1</v>
      </c>
      <c r="U9" s="650"/>
    </row>
    <row r="10" spans="1:21" x14ac:dyDescent="0.25">
      <c r="A10" s="7"/>
      <c r="B10" s="42" t="s">
        <v>310</v>
      </c>
      <c r="C10" s="334" t="str">
        <f>'1461'!C10</f>
        <v xml:space="preserve"> </v>
      </c>
      <c r="D10" s="334" t="str">
        <f>'1461'!D10</f>
        <v xml:space="preserve"> </v>
      </c>
      <c r="E10" s="8"/>
      <c r="F10" s="9"/>
      <c r="G10" s="9"/>
      <c r="H10" s="10"/>
      <c r="I10" s="305" t="str">
        <f>'1461'!I10</f>
        <v>2024-25</v>
      </c>
      <c r="N10" s="12"/>
      <c r="O10" s="12"/>
      <c r="P10" s="13"/>
      <c r="Q10" s="13"/>
      <c r="R10" s="14"/>
      <c r="S10" s="14"/>
      <c r="T10" s="15"/>
      <c r="U10" s="366" t="str">
        <f>I10</f>
        <v>2024-25</v>
      </c>
    </row>
    <row r="11" spans="1:21" x14ac:dyDescent="0.25">
      <c r="A11" s="7"/>
      <c r="B11" s="7"/>
      <c r="C11" s="88" t="str">
        <f>'1461'!C11</f>
        <v>Oct 2023</v>
      </c>
      <c r="D11" s="333" t="str">
        <f>'1461'!D11</f>
        <v>Feb 2024</v>
      </c>
      <c r="E11" s="89" t="s">
        <v>8</v>
      </c>
      <c r="F11" s="571" t="s">
        <v>1</v>
      </c>
      <c r="G11" s="571"/>
      <c r="H11" s="10" t="s">
        <v>60</v>
      </c>
      <c r="I11" s="11" t="s">
        <v>27</v>
      </c>
      <c r="N11" s="12"/>
      <c r="O11" s="12"/>
      <c r="P11" s="13"/>
      <c r="Q11" s="13"/>
      <c r="R11" s="651" t="s">
        <v>1</v>
      </c>
      <c r="S11" s="651"/>
      <c r="T11" s="15" t="s">
        <v>60</v>
      </c>
      <c r="U11" s="16" t="s">
        <v>27</v>
      </c>
    </row>
    <row r="12" spans="1:21" ht="15.75" customHeight="1" x14ac:dyDescent="0.25">
      <c r="A12" s="572" t="s">
        <v>1</v>
      </c>
      <c r="B12" s="572"/>
      <c r="C12" s="324" t="str">
        <f>'1461'!C12</f>
        <v>FTE</v>
      </c>
      <c r="D12" s="324" t="str">
        <f>'1461'!D12</f>
        <v>FTE</v>
      </c>
      <c r="E12" s="324" t="s">
        <v>2</v>
      </c>
      <c r="F12" s="573" t="s">
        <v>63</v>
      </c>
      <c r="G12" s="573"/>
      <c r="H12" s="17" t="s">
        <v>59</v>
      </c>
      <c r="I12" s="388" t="s">
        <v>395</v>
      </c>
      <c r="N12" s="639" t="s">
        <v>1</v>
      </c>
      <c r="O12" s="639"/>
      <c r="P12" s="652" t="s">
        <v>19</v>
      </c>
      <c r="Q12" s="652"/>
      <c r="R12" s="653" t="s">
        <v>63</v>
      </c>
      <c r="S12" s="653"/>
      <c r="T12" s="18" t="s">
        <v>59</v>
      </c>
      <c r="U12" s="19" t="str">
        <f>I12</f>
        <v>(WFTE x BSA x CWF x SDF)</v>
      </c>
    </row>
    <row r="13" spans="1:21" x14ac:dyDescent="0.25">
      <c r="A13" s="574" t="s">
        <v>36</v>
      </c>
      <c r="B13" s="574"/>
      <c r="C13" s="91"/>
      <c r="D13" s="91"/>
      <c r="E13" s="92" t="s">
        <v>37</v>
      </c>
      <c r="F13" s="575" t="s">
        <v>38</v>
      </c>
      <c r="G13" s="575"/>
      <c r="H13" s="20" t="s">
        <v>39</v>
      </c>
      <c r="I13" s="21" t="s">
        <v>40</v>
      </c>
      <c r="N13" s="654" t="s">
        <v>36</v>
      </c>
      <c r="O13" s="654"/>
      <c r="P13" s="655" t="s">
        <v>37</v>
      </c>
      <c r="Q13" s="655"/>
      <c r="R13" s="656" t="s">
        <v>38</v>
      </c>
      <c r="S13" s="656"/>
      <c r="T13" s="22" t="s">
        <v>39</v>
      </c>
      <c r="U13" s="23" t="s">
        <v>40</v>
      </c>
    </row>
    <row r="14" spans="1:21" x14ac:dyDescent="0.25">
      <c r="A14" s="576" t="s">
        <v>20</v>
      </c>
      <c r="B14" s="576"/>
      <c r="C14" s="143">
        <v>0</v>
      </c>
      <c r="D14" s="141">
        <v>0</v>
      </c>
      <c r="E14" s="187">
        <f>IF(D$30=0,C14*2,C14+D14)</f>
        <v>0</v>
      </c>
      <c r="F14" s="667">
        <f>'1461'!F14:G14</f>
        <v>1.1180000000000001</v>
      </c>
      <c r="G14" s="667"/>
      <c r="H14" s="145">
        <f>ROUND(E14*F14,4)</f>
        <v>0</v>
      </c>
      <c r="I14" s="111">
        <f>ROUND(ROUND(ROUND(H14*$C$8,4)*($H$8),2)*(MAX($H$9,1)),2)</f>
        <v>0</v>
      </c>
      <c r="N14" s="641" t="s">
        <v>20</v>
      </c>
      <c r="O14" s="641"/>
      <c r="P14" s="642">
        <f t="shared" ref="P14:P29" si="0">IF($H$133=1,E14,0)</f>
        <v>0</v>
      </c>
      <c r="Q14" s="642"/>
      <c r="R14" s="657">
        <v>1</v>
      </c>
      <c r="S14" s="657"/>
      <c r="T14" s="95">
        <f>ROUND(P14*R14,4)</f>
        <v>0</v>
      </c>
      <c r="U14" s="473">
        <f>ROUND(ROUND(ROUND(T14*$C$8,4)*($H$8),2)*(MAX($H$9,1)),2)</f>
        <v>0</v>
      </c>
    </row>
    <row r="15" spans="1:21" x14ac:dyDescent="0.25">
      <c r="A15" s="578" t="s">
        <v>21</v>
      </c>
      <c r="B15" s="578"/>
      <c r="C15" s="143">
        <v>0</v>
      </c>
      <c r="D15" s="143">
        <v>0</v>
      </c>
      <c r="E15" s="116">
        <f t="shared" ref="E15:E29" si="1">IF(D$30=0,C15*2,C15+D15)</f>
        <v>0</v>
      </c>
      <c r="F15" s="663">
        <f>'1461'!F15:G15</f>
        <v>1.1180000000000001</v>
      </c>
      <c r="G15" s="663"/>
      <c r="H15" s="80">
        <f t="shared" ref="H15:H29" si="2">ROUND(E15*F15,4)</f>
        <v>0</v>
      </c>
      <c r="I15" s="101">
        <f t="shared" ref="I15:I29" si="3">ROUND(ROUND(ROUND(H15*$C$8,4)*($H$8),2)*(MAX($H$9,1)),2)</f>
        <v>0</v>
      </c>
      <c r="J15" s="65" t="str">
        <f>IF(ROUND(E15,2)=ROUND(SUM(E57:E59),2)," ","CHECK PK-3 LINES BELOW")</f>
        <v xml:space="preserve"> </v>
      </c>
      <c r="N15" s="601" t="s">
        <v>21</v>
      </c>
      <c r="O15" s="601"/>
      <c r="P15" s="642">
        <f t="shared" si="0"/>
        <v>0</v>
      </c>
      <c r="Q15" s="642"/>
      <c r="R15" s="647">
        <v>1</v>
      </c>
      <c r="S15" s="647"/>
      <c r="T15" s="95">
        <f t="shared" ref="T15:T29" si="4">ROUND(P15*R15,4)</f>
        <v>0</v>
      </c>
      <c r="U15" s="473">
        <f t="shared" ref="U15:U29" si="5">ROUND(ROUND(ROUND(T15*$C$8,4)*($H$8),2)*(MAX($H$9,1)),2)</f>
        <v>0</v>
      </c>
    </row>
    <row r="16" spans="1:21" x14ac:dyDescent="0.25">
      <c r="A16" s="578" t="s">
        <v>22</v>
      </c>
      <c r="B16" s="578"/>
      <c r="C16" s="143">
        <v>34.07</v>
      </c>
      <c r="D16" s="143">
        <v>34.06</v>
      </c>
      <c r="E16" s="116">
        <f t="shared" si="1"/>
        <v>68.13</v>
      </c>
      <c r="F16" s="663">
        <f>'1461'!F16:G16</f>
        <v>1</v>
      </c>
      <c r="G16" s="663"/>
      <c r="H16" s="80">
        <f t="shared" si="2"/>
        <v>68.13</v>
      </c>
      <c r="I16" s="101">
        <f t="shared" si="3"/>
        <v>378018.21</v>
      </c>
      <c r="N16" s="601" t="s">
        <v>22</v>
      </c>
      <c r="O16" s="601"/>
      <c r="P16" s="642">
        <f t="shared" si="0"/>
        <v>0</v>
      </c>
      <c r="Q16" s="642"/>
      <c r="R16" s="647">
        <v>1</v>
      </c>
      <c r="S16" s="647"/>
      <c r="T16" s="95">
        <f t="shared" si="4"/>
        <v>0</v>
      </c>
      <c r="U16" s="473">
        <f t="shared" si="5"/>
        <v>0</v>
      </c>
    </row>
    <row r="17" spans="1:21" x14ac:dyDescent="0.25">
      <c r="A17" s="578" t="s">
        <v>23</v>
      </c>
      <c r="B17" s="578"/>
      <c r="C17" s="143">
        <v>11</v>
      </c>
      <c r="D17" s="143">
        <v>10.72</v>
      </c>
      <c r="E17" s="116">
        <f t="shared" si="1"/>
        <v>21.72</v>
      </c>
      <c r="F17" s="663">
        <f>'1461'!F17:G17</f>
        <v>1</v>
      </c>
      <c r="G17" s="663"/>
      <c r="H17" s="80">
        <f t="shared" si="2"/>
        <v>21.72</v>
      </c>
      <c r="I17" s="101">
        <f t="shared" si="3"/>
        <v>120513.07</v>
      </c>
      <c r="J17" s="65" t="str">
        <f>IF(ROUND(E17,2)=ROUND(SUM(E60:E62),2)," ","CHECK 4-8 LINES BELOW")</f>
        <v xml:space="preserve"> </v>
      </c>
      <c r="N17" s="601" t="s">
        <v>23</v>
      </c>
      <c r="O17" s="601"/>
      <c r="P17" s="642">
        <f t="shared" si="0"/>
        <v>0</v>
      </c>
      <c r="Q17" s="642"/>
      <c r="R17" s="647">
        <v>1</v>
      </c>
      <c r="S17" s="647"/>
      <c r="T17" s="95">
        <f t="shared" si="4"/>
        <v>0</v>
      </c>
      <c r="U17" s="473">
        <f t="shared" si="5"/>
        <v>0</v>
      </c>
    </row>
    <row r="18" spans="1:21" x14ac:dyDescent="0.25">
      <c r="A18" s="578" t="s">
        <v>24</v>
      </c>
      <c r="B18" s="578"/>
      <c r="C18" s="143">
        <v>0</v>
      </c>
      <c r="D18" s="143">
        <v>0</v>
      </c>
      <c r="E18" s="116">
        <f t="shared" si="1"/>
        <v>0</v>
      </c>
      <c r="F18" s="663">
        <f>'1461'!F18:G18</f>
        <v>0.97799999999999998</v>
      </c>
      <c r="G18" s="663"/>
      <c r="H18" s="80">
        <f t="shared" si="2"/>
        <v>0</v>
      </c>
      <c r="I18" s="101">
        <f t="shared" si="3"/>
        <v>0</v>
      </c>
      <c r="N18" s="601" t="s">
        <v>24</v>
      </c>
      <c r="O18" s="601"/>
      <c r="P18" s="642">
        <f t="shared" si="0"/>
        <v>0</v>
      </c>
      <c r="Q18" s="642"/>
      <c r="R18" s="647">
        <v>1</v>
      </c>
      <c r="S18" s="647"/>
      <c r="T18" s="95">
        <f t="shared" si="4"/>
        <v>0</v>
      </c>
      <c r="U18" s="473">
        <f t="shared" si="5"/>
        <v>0</v>
      </c>
    </row>
    <row r="19" spans="1:21" x14ac:dyDescent="0.25">
      <c r="A19" s="578" t="s">
        <v>25</v>
      </c>
      <c r="B19" s="578"/>
      <c r="C19" s="143">
        <v>0</v>
      </c>
      <c r="D19" s="143">
        <v>0</v>
      </c>
      <c r="E19" s="116">
        <f t="shared" si="1"/>
        <v>0</v>
      </c>
      <c r="F19" s="663">
        <f>'1461'!F19:G19</f>
        <v>0.97799999999999998</v>
      </c>
      <c r="G19" s="663"/>
      <c r="H19" s="80">
        <f t="shared" si="2"/>
        <v>0</v>
      </c>
      <c r="I19" s="101">
        <f t="shared" si="3"/>
        <v>0</v>
      </c>
      <c r="J19" s="65" t="str">
        <f>IF(ROUND(E19,2)=ROUND(SUM(E63:E65),2)," ","CHECK 4-8 LINES BELOW")</f>
        <v xml:space="preserve"> </v>
      </c>
      <c r="N19" s="601" t="s">
        <v>25</v>
      </c>
      <c r="O19" s="601"/>
      <c r="P19" s="642">
        <f t="shared" si="0"/>
        <v>0</v>
      </c>
      <c r="Q19" s="642"/>
      <c r="R19" s="647">
        <v>1</v>
      </c>
      <c r="S19" s="647"/>
      <c r="T19" s="95">
        <f t="shared" si="4"/>
        <v>0</v>
      </c>
      <c r="U19" s="472">
        <f t="shared" si="5"/>
        <v>0</v>
      </c>
    </row>
    <row r="20" spans="1:21" x14ac:dyDescent="0.25">
      <c r="A20" s="578" t="s">
        <v>79</v>
      </c>
      <c r="B20" s="578"/>
      <c r="C20" s="143">
        <v>0</v>
      </c>
      <c r="D20" s="143">
        <v>0</v>
      </c>
      <c r="E20" s="116">
        <f t="shared" si="1"/>
        <v>0</v>
      </c>
      <c r="F20" s="663">
        <f>'1461'!F20:G20</f>
        <v>3.6970000000000001</v>
      </c>
      <c r="G20" s="663"/>
      <c r="H20" s="80">
        <f t="shared" si="2"/>
        <v>0</v>
      </c>
      <c r="I20" s="101">
        <f t="shared" si="3"/>
        <v>0</v>
      </c>
      <c r="N20" s="601" t="s">
        <v>79</v>
      </c>
      <c r="O20" s="601"/>
      <c r="P20" s="642">
        <f t="shared" si="0"/>
        <v>0</v>
      </c>
      <c r="Q20" s="642"/>
      <c r="R20" s="647">
        <v>1</v>
      </c>
      <c r="S20" s="647"/>
      <c r="T20" s="95">
        <f t="shared" si="4"/>
        <v>0</v>
      </c>
      <c r="U20" s="473">
        <f t="shared" si="5"/>
        <v>0</v>
      </c>
    </row>
    <row r="21" spans="1:21" x14ac:dyDescent="0.25">
      <c r="A21" s="578" t="s">
        <v>80</v>
      </c>
      <c r="B21" s="578"/>
      <c r="C21" s="143">
        <v>0</v>
      </c>
      <c r="D21" s="143">
        <v>0</v>
      </c>
      <c r="E21" s="116">
        <f t="shared" si="1"/>
        <v>0</v>
      </c>
      <c r="F21" s="663">
        <f>'1461'!F21:G21</f>
        <v>3.6970000000000001</v>
      </c>
      <c r="G21" s="663"/>
      <c r="H21" s="80">
        <f t="shared" si="2"/>
        <v>0</v>
      </c>
      <c r="I21" s="101">
        <f t="shared" si="3"/>
        <v>0</v>
      </c>
      <c r="N21" s="601" t="s">
        <v>80</v>
      </c>
      <c r="O21" s="601"/>
      <c r="P21" s="642">
        <f t="shared" si="0"/>
        <v>0</v>
      </c>
      <c r="Q21" s="642"/>
      <c r="R21" s="647">
        <v>1</v>
      </c>
      <c r="S21" s="647"/>
      <c r="T21" s="95">
        <f t="shared" si="4"/>
        <v>0</v>
      </c>
      <c r="U21" s="473">
        <f t="shared" si="5"/>
        <v>0</v>
      </c>
    </row>
    <row r="22" spans="1:21" x14ac:dyDescent="0.25">
      <c r="A22" s="578" t="s">
        <v>81</v>
      </c>
      <c r="B22" s="578"/>
      <c r="C22" s="143">
        <v>0</v>
      </c>
      <c r="D22" s="143">
        <v>0</v>
      </c>
      <c r="E22" s="116">
        <f t="shared" si="1"/>
        <v>0</v>
      </c>
      <c r="F22" s="663">
        <f>'1461'!F22:G22</f>
        <v>3.6970000000000001</v>
      </c>
      <c r="G22" s="663"/>
      <c r="H22" s="80">
        <f t="shared" si="2"/>
        <v>0</v>
      </c>
      <c r="I22" s="101">
        <f t="shared" si="3"/>
        <v>0</v>
      </c>
      <c r="N22" s="601" t="s">
        <v>81</v>
      </c>
      <c r="O22" s="601"/>
      <c r="P22" s="642">
        <f t="shared" si="0"/>
        <v>0</v>
      </c>
      <c r="Q22" s="642"/>
      <c r="R22" s="647">
        <v>1</v>
      </c>
      <c r="S22" s="647"/>
      <c r="T22" s="95">
        <f t="shared" si="4"/>
        <v>0</v>
      </c>
      <c r="U22" s="473">
        <f t="shared" si="5"/>
        <v>0</v>
      </c>
    </row>
    <row r="23" spans="1:21" x14ac:dyDescent="0.25">
      <c r="A23" s="578" t="s">
        <v>82</v>
      </c>
      <c r="B23" s="578"/>
      <c r="C23" s="143">
        <v>0</v>
      </c>
      <c r="D23" s="143">
        <v>0</v>
      </c>
      <c r="E23" s="116">
        <f t="shared" si="1"/>
        <v>0</v>
      </c>
      <c r="F23" s="663">
        <f>'1461'!F23:G23</f>
        <v>5.992</v>
      </c>
      <c r="G23" s="663"/>
      <c r="H23" s="80">
        <f t="shared" si="2"/>
        <v>0</v>
      </c>
      <c r="I23" s="101">
        <f t="shared" si="3"/>
        <v>0</v>
      </c>
      <c r="N23" s="601" t="s">
        <v>82</v>
      </c>
      <c r="O23" s="601"/>
      <c r="P23" s="642">
        <f t="shared" si="0"/>
        <v>0</v>
      </c>
      <c r="Q23" s="642"/>
      <c r="R23" s="647">
        <v>1</v>
      </c>
      <c r="S23" s="647"/>
      <c r="T23" s="95">
        <f t="shared" si="4"/>
        <v>0</v>
      </c>
      <c r="U23" s="473">
        <f t="shared" si="5"/>
        <v>0</v>
      </c>
    </row>
    <row r="24" spans="1:21" x14ac:dyDescent="0.25">
      <c r="A24" s="578" t="s">
        <v>83</v>
      </c>
      <c r="B24" s="578"/>
      <c r="C24" s="143">
        <v>0</v>
      </c>
      <c r="D24" s="143">
        <v>0</v>
      </c>
      <c r="E24" s="116">
        <f t="shared" si="1"/>
        <v>0</v>
      </c>
      <c r="F24" s="663">
        <f>'1461'!F24:G24</f>
        <v>5.992</v>
      </c>
      <c r="G24" s="663"/>
      <c r="H24" s="80">
        <f t="shared" si="2"/>
        <v>0</v>
      </c>
      <c r="I24" s="101">
        <f t="shared" si="3"/>
        <v>0</v>
      </c>
      <c r="N24" s="601" t="s">
        <v>83</v>
      </c>
      <c r="O24" s="601"/>
      <c r="P24" s="642">
        <f t="shared" si="0"/>
        <v>0</v>
      </c>
      <c r="Q24" s="642"/>
      <c r="R24" s="647">
        <v>1</v>
      </c>
      <c r="S24" s="647"/>
      <c r="T24" s="95">
        <f t="shared" si="4"/>
        <v>0</v>
      </c>
      <c r="U24" s="473">
        <f t="shared" si="5"/>
        <v>0</v>
      </c>
    </row>
    <row r="25" spans="1:21" x14ac:dyDescent="0.25">
      <c r="A25" s="578" t="s">
        <v>84</v>
      </c>
      <c r="B25" s="578"/>
      <c r="C25" s="143">
        <v>0</v>
      </c>
      <c r="D25" s="143">
        <v>0</v>
      </c>
      <c r="E25" s="116">
        <f t="shared" si="1"/>
        <v>0</v>
      </c>
      <c r="F25" s="663">
        <f>'1461'!F25:G25</f>
        <v>5.992</v>
      </c>
      <c r="G25" s="663"/>
      <c r="H25" s="80">
        <f t="shared" si="2"/>
        <v>0</v>
      </c>
      <c r="I25" s="101">
        <f t="shared" si="3"/>
        <v>0</v>
      </c>
      <c r="N25" s="601" t="s">
        <v>84</v>
      </c>
      <c r="O25" s="601"/>
      <c r="P25" s="642">
        <f t="shared" si="0"/>
        <v>0</v>
      </c>
      <c r="Q25" s="642"/>
      <c r="R25" s="647">
        <v>1</v>
      </c>
      <c r="S25" s="647"/>
      <c r="T25" s="95">
        <f t="shared" si="4"/>
        <v>0</v>
      </c>
      <c r="U25" s="473">
        <f t="shared" si="5"/>
        <v>0</v>
      </c>
    </row>
    <row r="26" spans="1:21" x14ac:dyDescent="0.25">
      <c r="A26" s="578" t="s">
        <v>85</v>
      </c>
      <c r="B26" s="578"/>
      <c r="C26" s="143">
        <v>0</v>
      </c>
      <c r="D26" s="143">
        <v>0</v>
      </c>
      <c r="E26" s="116">
        <f t="shared" si="1"/>
        <v>0</v>
      </c>
      <c r="F26" s="663">
        <f>'1461'!F26:G26</f>
        <v>1.1919999999999999</v>
      </c>
      <c r="G26" s="663"/>
      <c r="H26" s="80">
        <f t="shared" si="2"/>
        <v>0</v>
      </c>
      <c r="I26" s="101">
        <f t="shared" si="3"/>
        <v>0</v>
      </c>
      <c r="N26" s="601" t="s">
        <v>85</v>
      </c>
      <c r="O26" s="601"/>
      <c r="P26" s="642">
        <f t="shared" si="0"/>
        <v>0</v>
      </c>
      <c r="Q26" s="642"/>
      <c r="R26" s="647">
        <v>1</v>
      </c>
      <c r="S26" s="647"/>
      <c r="T26" s="95">
        <f t="shared" si="4"/>
        <v>0</v>
      </c>
      <c r="U26" s="473">
        <f t="shared" si="5"/>
        <v>0</v>
      </c>
    </row>
    <row r="27" spans="1:21" x14ac:dyDescent="0.25">
      <c r="A27" s="578" t="s">
        <v>86</v>
      </c>
      <c r="B27" s="578"/>
      <c r="C27" s="143">
        <v>0.43</v>
      </c>
      <c r="D27" s="143">
        <v>0.43</v>
      </c>
      <c r="E27" s="116">
        <f t="shared" si="1"/>
        <v>0.86</v>
      </c>
      <c r="F27" s="663">
        <f>'1461'!F27:G27</f>
        <v>1.1919999999999999</v>
      </c>
      <c r="G27" s="663"/>
      <c r="H27" s="80">
        <f t="shared" si="2"/>
        <v>1.0250999999999999</v>
      </c>
      <c r="I27" s="101">
        <f t="shared" si="3"/>
        <v>5687.75</v>
      </c>
      <c r="N27" s="601" t="s">
        <v>86</v>
      </c>
      <c r="O27" s="601"/>
      <c r="P27" s="642">
        <f t="shared" si="0"/>
        <v>0</v>
      </c>
      <c r="Q27" s="642"/>
      <c r="R27" s="647">
        <v>1</v>
      </c>
      <c r="S27" s="647"/>
      <c r="T27" s="95">
        <f t="shared" si="4"/>
        <v>0</v>
      </c>
      <c r="U27" s="473">
        <f t="shared" si="5"/>
        <v>0</v>
      </c>
    </row>
    <row r="28" spans="1:21" x14ac:dyDescent="0.25">
      <c r="A28" s="578" t="s">
        <v>87</v>
      </c>
      <c r="B28" s="578"/>
      <c r="C28" s="143">
        <v>0</v>
      </c>
      <c r="D28" s="143">
        <v>0</v>
      </c>
      <c r="E28" s="116">
        <f t="shared" si="1"/>
        <v>0</v>
      </c>
      <c r="F28" s="663">
        <f>'1461'!F28:G28</f>
        <v>1.1919999999999999</v>
      </c>
      <c r="G28" s="663"/>
      <c r="H28" s="80">
        <f t="shared" si="2"/>
        <v>0</v>
      </c>
      <c r="I28" s="101">
        <f t="shared" si="3"/>
        <v>0</v>
      </c>
      <c r="N28" s="601" t="s">
        <v>87</v>
      </c>
      <c r="O28" s="601"/>
      <c r="P28" s="642">
        <f t="shared" si="0"/>
        <v>0</v>
      </c>
      <c r="Q28" s="642"/>
      <c r="R28" s="647">
        <v>1</v>
      </c>
      <c r="S28" s="647"/>
      <c r="T28" s="95">
        <f t="shared" si="4"/>
        <v>0</v>
      </c>
      <c r="U28" s="473">
        <f t="shared" si="5"/>
        <v>0</v>
      </c>
    </row>
    <row r="29" spans="1:21" x14ac:dyDescent="0.25">
      <c r="A29" s="578" t="s">
        <v>88</v>
      </c>
      <c r="B29" s="578"/>
      <c r="C29" s="110">
        <v>0</v>
      </c>
      <c r="D29" s="110">
        <v>0</v>
      </c>
      <c r="E29" s="154">
        <f t="shared" si="1"/>
        <v>0</v>
      </c>
      <c r="F29" s="663">
        <f>'1461'!F29:G29</f>
        <v>1.079</v>
      </c>
      <c r="G29" s="663"/>
      <c r="H29" s="93">
        <f t="shared" si="2"/>
        <v>0</v>
      </c>
      <c r="I29" s="94">
        <f t="shared" si="3"/>
        <v>0</v>
      </c>
      <c r="N29" s="616" t="s">
        <v>88</v>
      </c>
      <c r="O29" s="616"/>
      <c r="P29" s="642">
        <f t="shared" si="0"/>
        <v>0</v>
      </c>
      <c r="Q29" s="642"/>
      <c r="R29" s="643">
        <v>1</v>
      </c>
      <c r="S29" s="643"/>
      <c r="T29" s="95">
        <f t="shared" si="4"/>
        <v>0</v>
      </c>
      <c r="U29" s="473">
        <f t="shared" si="5"/>
        <v>0</v>
      </c>
    </row>
    <row r="30" spans="1:21" x14ac:dyDescent="0.25">
      <c r="A30" s="590" t="s">
        <v>5</v>
      </c>
      <c r="B30" s="590"/>
      <c r="C30" s="94">
        <f>SUM(C14:C29)</f>
        <v>45.5</v>
      </c>
      <c r="D30" s="94">
        <f>SUM(D14:D29)</f>
        <v>45.21</v>
      </c>
      <c r="E30" s="94">
        <f>SUM(E14:E29)</f>
        <v>90.71</v>
      </c>
      <c r="F30" s="582"/>
      <c r="G30" s="582"/>
      <c r="H30" s="99">
        <f>SUM(H14:H29)</f>
        <v>90.875099999999989</v>
      </c>
      <c r="I30" s="94">
        <f>SUM(I14:I29)</f>
        <v>504219.03</v>
      </c>
      <c r="N30" s="644" t="s">
        <v>5</v>
      </c>
      <c r="O30" s="644"/>
      <c r="P30" s="645">
        <f>SUM(P14:P29)</f>
        <v>0</v>
      </c>
      <c r="Q30" s="645"/>
      <c r="R30" s="617"/>
      <c r="S30" s="617"/>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0" t="s">
        <v>233</v>
      </c>
      <c r="G34" s="670"/>
      <c r="H34" s="670"/>
      <c r="I34" s="101"/>
      <c r="N34" s="28"/>
      <c r="O34" s="28"/>
      <c r="P34" s="29"/>
      <c r="Q34" s="29"/>
      <c r="R34" s="30"/>
      <c r="S34" s="30"/>
      <c r="T34" s="102"/>
      <c r="U34" s="103"/>
    </row>
    <row r="35" spans="1:21" hidden="1" x14ac:dyDescent="0.25">
      <c r="A35" s="3"/>
      <c r="B35" s="69"/>
      <c r="C35" s="69"/>
      <c r="D35" s="69"/>
      <c r="E35" s="69"/>
      <c r="F35" s="670"/>
      <c r="G35" s="670"/>
      <c r="H35" s="670"/>
      <c r="I35" s="24" t="s">
        <v>61</v>
      </c>
      <c r="N35" s="627" t="s">
        <v>26</v>
      </c>
      <c r="O35" s="627"/>
      <c r="P35" s="627"/>
      <c r="Q35" s="627"/>
      <c r="R35" s="627"/>
      <c r="S35" s="627"/>
      <c r="T35" s="627"/>
      <c r="U35" s="25" t="str">
        <f>I35</f>
        <v>2015-16</v>
      </c>
    </row>
    <row r="36" spans="1:21" hidden="1" x14ac:dyDescent="0.25">
      <c r="A36" s="26"/>
      <c r="B36" s="26"/>
      <c r="C36" s="88" t="s">
        <v>93</v>
      </c>
      <c r="D36" s="88" t="s">
        <v>94</v>
      </c>
      <c r="E36" s="89" t="s">
        <v>8</v>
      </c>
      <c r="F36" s="670"/>
      <c r="G36" s="670"/>
      <c r="H36" s="670"/>
      <c r="I36" s="24" t="s">
        <v>27</v>
      </c>
      <c r="N36" s="28"/>
      <c r="O36" s="28"/>
      <c r="P36" s="29"/>
      <c r="Q36" s="29"/>
      <c r="R36" s="30"/>
      <c r="S36" s="30"/>
      <c r="T36" s="102"/>
      <c r="U36" s="25" t="s">
        <v>27</v>
      </c>
    </row>
    <row r="37" spans="1:21" ht="26.25" hidden="1" x14ac:dyDescent="0.25">
      <c r="A37" s="572" t="s">
        <v>50</v>
      </c>
      <c r="B37" s="572"/>
      <c r="C37" s="90" t="s">
        <v>2</v>
      </c>
      <c r="D37" s="90" t="s">
        <v>2</v>
      </c>
      <c r="E37" s="90" t="s">
        <v>2</v>
      </c>
      <c r="F37" s="671"/>
      <c r="G37" s="671"/>
      <c r="H37" s="671"/>
      <c r="I37" s="31" t="s">
        <v>395</v>
      </c>
      <c r="N37" s="639" t="s">
        <v>50</v>
      </c>
      <c r="O37" s="639"/>
      <c r="P37" s="640" t="s">
        <v>19</v>
      </c>
      <c r="Q37" s="640"/>
      <c r="R37" s="640"/>
      <c r="S37" s="640"/>
      <c r="T37" s="640"/>
      <c r="U37" s="19" t="str">
        <f>I37</f>
        <v>(WFTE x BSA x CWF x SDF)</v>
      </c>
    </row>
    <row r="38" spans="1:21" hidden="1" x14ac:dyDescent="0.25">
      <c r="A38" s="576" t="s">
        <v>45</v>
      </c>
      <c r="B38" s="576"/>
      <c r="C38" s="147">
        <v>0</v>
      </c>
      <c r="D38" s="147">
        <v>0</v>
      </c>
      <c r="E38" s="187">
        <f t="shared" ref="E38:E43" si="6">IF(D$44=0,C38*2,C38+D38)</f>
        <v>0</v>
      </c>
      <c r="F38" s="148"/>
      <c r="G38" s="148"/>
      <c r="H38" s="148"/>
      <c r="I38" s="111">
        <f>ROUND(ROUND(ROUND(E38*$C$8,4)*($H$8),2)*(MAX($H$9,1)),2)</f>
        <v>0</v>
      </c>
      <c r="N38" s="641" t="s">
        <v>45</v>
      </c>
      <c r="O38" s="641"/>
      <c r="P38" s="608">
        <f t="shared" ref="P38:P43" si="7">IF($H$133=1,E38,0)</f>
        <v>0</v>
      </c>
      <c r="Q38" s="608"/>
      <c r="R38" s="608"/>
      <c r="S38" s="608"/>
      <c r="T38" s="608"/>
      <c r="U38" s="98">
        <f>ROUND(ROUND(ROUND(P38*$C$8,4)*($H$8),2)*(MAX($H$9,1)),2)</f>
        <v>0</v>
      </c>
    </row>
    <row r="39" spans="1:21" hidden="1" x14ac:dyDescent="0.25">
      <c r="A39" s="578" t="s">
        <v>46</v>
      </c>
      <c r="B39" s="578"/>
      <c r="C39" s="150">
        <v>0</v>
      </c>
      <c r="D39" s="150">
        <v>0</v>
      </c>
      <c r="E39" s="116">
        <f t="shared" si="6"/>
        <v>0</v>
      </c>
      <c r="F39" s="151"/>
      <c r="G39" s="151"/>
      <c r="H39" s="151"/>
      <c r="I39" s="101">
        <f t="shared" ref="I39:I43" si="8">ROUND(ROUND(ROUND(E39*$C$8,4)*($H$8),2)*(MAX($H$9,1)),2)</f>
        <v>0</v>
      </c>
      <c r="N39" s="601" t="s">
        <v>46</v>
      </c>
      <c r="O39" s="601"/>
      <c r="P39" s="608">
        <f t="shared" si="7"/>
        <v>0</v>
      </c>
      <c r="Q39" s="608"/>
      <c r="R39" s="608"/>
      <c r="S39" s="608"/>
      <c r="T39" s="608"/>
      <c r="U39" s="98">
        <f t="shared" ref="U39:U43" si="9">ROUND(ROUND(ROUND(P39*$C$8,4)*($H$8),2)*(MAX($H$9,1)),2)</f>
        <v>0</v>
      </c>
    </row>
    <row r="40" spans="1:21" hidden="1" x14ac:dyDescent="0.25">
      <c r="A40" s="583" t="s">
        <v>47</v>
      </c>
      <c r="B40" s="583"/>
      <c r="C40" s="150">
        <v>0</v>
      </c>
      <c r="D40" s="150">
        <v>0</v>
      </c>
      <c r="E40" s="116">
        <f t="shared" si="6"/>
        <v>0</v>
      </c>
      <c r="F40" s="151"/>
      <c r="G40" s="151"/>
      <c r="H40" s="151"/>
      <c r="I40" s="101">
        <f t="shared" si="8"/>
        <v>0</v>
      </c>
      <c r="N40" s="646" t="s">
        <v>47</v>
      </c>
      <c r="O40" s="646"/>
      <c r="P40" s="608">
        <f t="shared" si="7"/>
        <v>0</v>
      </c>
      <c r="Q40" s="608"/>
      <c r="R40" s="608"/>
      <c r="S40" s="608"/>
      <c r="T40" s="608"/>
      <c r="U40" s="98">
        <f t="shared" si="9"/>
        <v>0</v>
      </c>
    </row>
    <row r="41" spans="1:21" hidden="1" x14ac:dyDescent="0.25">
      <c r="A41" s="578" t="s">
        <v>48</v>
      </c>
      <c r="B41" s="578"/>
      <c r="C41" s="150">
        <v>0</v>
      </c>
      <c r="D41" s="150">
        <v>0</v>
      </c>
      <c r="E41" s="116">
        <f t="shared" si="6"/>
        <v>0</v>
      </c>
      <c r="F41" s="151"/>
      <c r="G41" s="151"/>
      <c r="H41" s="151"/>
      <c r="I41" s="101">
        <f t="shared" si="8"/>
        <v>0</v>
      </c>
      <c r="N41" s="601" t="s">
        <v>48</v>
      </c>
      <c r="O41" s="601"/>
      <c r="P41" s="608">
        <f t="shared" si="7"/>
        <v>0</v>
      </c>
      <c r="Q41" s="608"/>
      <c r="R41" s="608"/>
      <c r="S41" s="608"/>
      <c r="T41" s="608"/>
      <c r="U41" s="98">
        <f t="shared" si="9"/>
        <v>0</v>
      </c>
    </row>
    <row r="42" spans="1:21" hidden="1" x14ac:dyDescent="0.25">
      <c r="A42" s="578" t="s">
        <v>49</v>
      </c>
      <c r="B42" s="578"/>
      <c r="C42" s="150">
        <v>0</v>
      </c>
      <c r="D42" s="150">
        <v>0</v>
      </c>
      <c r="E42" s="116">
        <f t="shared" si="6"/>
        <v>0</v>
      </c>
      <c r="F42" s="151"/>
      <c r="G42" s="151"/>
      <c r="H42" s="151"/>
      <c r="I42" s="101">
        <f t="shared" si="8"/>
        <v>0</v>
      </c>
      <c r="N42" s="601" t="s">
        <v>49</v>
      </c>
      <c r="O42" s="601"/>
      <c r="P42" s="608">
        <f t="shared" si="7"/>
        <v>0</v>
      </c>
      <c r="Q42" s="608"/>
      <c r="R42" s="608"/>
      <c r="S42" s="608"/>
      <c r="T42" s="608"/>
      <c r="U42" s="98">
        <f t="shared" si="9"/>
        <v>0</v>
      </c>
    </row>
    <row r="43" spans="1:21" hidden="1" x14ac:dyDescent="0.25">
      <c r="A43" s="578" t="s">
        <v>41</v>
      </c>
      <c r="B43" s="578"/>
      <c r="C43" s="149">
        <v>0</v>
      </c>
      <c r="D43" s="149">
        <v>0</v>
      </c>
      <c r="E43" s="154">
        <f t="shared" si="6"/>
        <v>0</v>
      </c>
      <c r="F43" s="151"/>
      <c r="G43" s="151"/>
      <c r="H43" s="151"/>
      <c r="I43" s="94">
        <f t="shared" si="8"/>
        <v>0</v>
      </c>
      <c r="N43" s="616" t="s">
        <v>41</v>
      </c>
      <c r="O43" s="616"/>
      <c r="P43" s="608">
        <f t="shared" si="7"/>
        <v>0</v>
      </c>
      <c r="Q43" s="608"/>
      <c r="R43" s="608"/>
      <c r="S43" s="608"/>
      <c r="T43" s="60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3" t="s">
        <v>43</v>
      </c>
      <c r="O44" s="603"/>
      <c r="P44" s="603"/>
      <c r="Q44" s="603"/>
      <c r="R44" s="33">
        <f>SUM(P38:R43)</f>
        <v>0</v>
      </c>
      <c r="S44" s="617" t="s">
        <v>51</v>
      </c>
      <c r="T44" s="617"/>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90.875099999999989</v>
      </c>
      <c r="F46" s="34"/>
      <c r="G46" s="106"/>
      <c r="H46" s="107" t="s">
        <v>98</v>
      </c>
      <c r="I46" s="94">
        <f>SUM(I44,I30)</f>
        <v>504219.03</v>
      </c>
      <c r="N46" s="603" t="s">
        <v>44</v>
      </c>
      <c r="O46" s="603"/>
      <c r="P46" s="603"/>
      <c r="Q46" s="603"/>
      <c r="R46" s="35">
        <f>R44+T30</f>
        <v>0</v>
      </c>
      <c r="S46" s="617" t="s">
        <v>42</v>
      </c>
      <c r="T46" s="617"/>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396</v>
      </c>
      <c r="B48" s="26"/>
      <c r="C48" s="26"/>
      <c r="D48" s="26"/>
      <c r="E48" s="26"/>
      <c r="F48" s="34"/>
      <c r="G48" s="27"/>
      <c r="H48" s="27"/>
      <c r="I48" s="101"/>
      <c r="N48" s="383" t="s">
        <v>396</v>
      </c>
      <c r="O48" s="28"/>
      <c r="P48" s="28"/>
      <c r="Q48" s="28"/>
      <c r="R48" s="35"/>
      <c r="S48" s="30"/>
      <c r="T48" s="30"/>
      <c r="U48" s="402"/>
    </row>
    <row r="49" spans="1:22" s="391" customFormat="1" ht="9" customHeight="1" x14ac:dyDescent="0.2">
      <c r="A49" s="481" t="s">
        <v>397</v>
      </c>
      <c r="F49" s="392"/>
      <c r="G49" s="393"/>
      <c r="H49" s="393"/>
      <c r="I49" s="394"/>
      <c r="N49" s="403" t="s">
        <v>397</v>
      </c>
      <c r="O49" s="395"/>
      <c r="P49" s="395"/>
      <c r="Q49" s="395"/>
      <c r="R49" s="396"/>
      <c r="S49" s="397"/>
      <c r="T49" s="397"/>
      <c r="U49" s="404"/>
    </row>
    <row r="50" spans="1:22" s="391" customFormat="1" ht="11.25" customHeight="1" x14ac:dyDescent="0.2">
      <c r="A50" s="483" t="s">
        <v>398</v>
      </c>
      <c r="F50" s="392"/>
      <c r="G50" s="393"/>
      <c r="H50" s="393"/>
      <c r="I50" s="394"/>
      <c r="N50" s="405" t="s">
        <v>398</v>
      </c>
      <c r="O50" s="395"/>
      <c r="P50" s="395"/>
      <c r="Q50" s="395"/>
      <c r="R50" s="396"/>
      <c r="S50" s="397"/>
      <c r="T50" s="397"/>
      <c r="U50" s="404"/>
    </row>
    <row r="51" spans="1:22" x14ac:dyDescent="0.25">
      <c r="A51" s="389"/>
      <c r="B51" s="399" t="s">
        <v>399</v>
      </c>
      <c r="C51" s="26"/>
      <c r="D51" s="26"/>
      <c r="E51" s="43" t="s">
        <v>400</v>
      </c>
      <c r="F51" s="400">
        <f>I46</f>
        <v>504219.03</v>
      </c>
      <c r="G51" s="109" t="s">
        <v>6</v>
      </c>
      <c r="H51" s="401">
        <v>4.5199999999999997E-2</v>
      </c>
      <c r="I51" s="101">
        <f>ROUND(F51*H51,2)</f>
        <v>22790.7</v>
      </c>
      <c r="N51" s="406"/>
      <c r="O51" s="407" t="s">
        <v>399</v>
      </c>
      <c r="P51" s="28"/>
      <c r="Q51" s="44" t="s">
        <v>400</v>
      </c>
      <c r="R51" s="408">
        <f>U30</f>
        <v>0</v>
      </c>
      <c r="S51" s="409" t="s">
        <v>6</v>
      </c>
      <c r="T51" s="410">
        <v>4.5199999999999997E-2</v>
      </c>
      <c r="U51" s="402">
        <f>ROUND(R51*T51,2)</f>
        <v>0</v>
      </c>
    </row>
    <row r="52" spans="1:22" x14ac:dyDescent="0.25">
      <c r="A52" s="26"/>
      <c r="B52" s="81" t="s">
        <v>401</v>
      </c>
      <c r="C52" s="26"/>
      <c r="D52" s="26"/>
      <c r="E52" s="43" t="s">
        <v>400</v>
      </c>
      <c r="F52" s="400">
        <f>I46</f>
        <v>504219.03</v>
      </c>
      <c r="G52" s="109" t="s">
        <v>6</v>
      </c>
      <c r="H52" s="401">
        <v>1.41E-2</v>
      </c>
      <c r="I52" s="101">
        <f>ROUND(F52*H52,2)</f>
        <v>7109.49</v>
      </c>
      <c r="N52" s="28"/>
      <c r="O52" s="383" t="s">
        <v>401</v>
      </c>
      <c r="P52" s="28"/>
      <c r="Q52" s="44" t="s">
        <v>400</v>
      </c>
      <c r="R52" s="408">
        <f>U30</f>
        <v>0</v>
      </c>
      <c r="S52" s="409" t="s">
        <v>6</v>
      </c>
      <c r="T52" s="410">
        <v>1.41E-2</v>
      </c>
      <c r="U52" s="411">
        <f>ROUND(R52*T52,2)</f>
        <v>0</v>
      </c>
    </row>
    <row r="53" spans="1:22" x14ac:dyDescent="0.25">
      <c r="A53" s="26"/>
      <c r="B53" s="81" t="s">
        <v>402</v>
      </c>
      <c r="C53" s="26"/>
      <c r="D53" s="26"/>
      <c r="E53" s="43"/>
      <c r="F53" s="400"/>
      <c r="G53" s="109"/>
      <c r="H53" s="401"/>
      <c r="I53" s="97">
        <f>SUM(I51:I52)</f>
        <v>29900.190000000002</v>
      </c>
      <c r="N53" s="28"/>
      <c r="O53" s="383" t="s">
        <v>402</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440</v>
      </c>
      <c r="G55" s="109" t="s">
        <v>441</v>
      </c>
      <c r="H55" s="454" t="s">
        <v>442</v>
      </c>
      <c r="I55" s="101"/>
      <c r="N55" s="448"/>
      <c r="O55" s="448"/>
      <c r="P55" s="464"/>
      <c r="Q55" s="465"/>
      <c r="R55" s="466"/>
      <c r="S55" s="468" t="s">
        <v>441</v>
      </c>
      <c r="T55" s="469" t="s">
        <v>442</v>
      </c>
      <c r="U55" s="467"/>
      <c r="V55" s="424"/>
    </row>
    <row r="56" spans="1:22" x14ac:dyDescent="0.25">
      <c r="A56" s="36" t="s">
        <v>443</v>
      </c>
      <c r="B56" s="36"/>
      <c r="C56" s="324" t="str">
        <f>'1461'!C56</f>
        <v>FTE</v>
      </c>
      <c r="D56" s="324" t="str">
        <f>'1461'!D56</f>
        <v>FTE</v>
      </c>
      <c r="E56" s="90" t="s">
        <v>2</v>
      </c>
      <c r="F56" s="439" t="s">
        <v>444</v>
      </c>
      <c r="G56" s="441" t="s">
        <v>444</v>
      </c>
      <c r="H56" s="455" t="s">
        <v>445</v>
      </c>
      <c r="I56" s="36"/>
      <c r="N56" s="459" t="s">
        <v>443</v>
      </c>
      <c r="O56" s="459"/>
      <c r="P56" s="620" t="s">
        <v>2</v>
      </c>
      <c r="Q56" s="620"/>
      <c r="R56" s="459" t="s">
        <v>449</v>
      </c>
      <c r="S56" s="450" t="s">
        <v>444</v>
      </c>
      <c r="T56" s="470" t="s">
        <v>445</v>
      </c>
      <c r="U56" s="459"/>
      <c r="V56" s="458"/>
    </row>
    <row r="57" spans="1:22" x14ac:dyDescent="0.25">
      <c r="A57" s="588" t="s">
        <v>447</v>
      </c>
      <c r="B57" s="588"/>
      <c r="C57" s="143">
        <v>0</v>
      </c>
      <c r="D57" s="143">
        <v>0</v>
      </c>
      <c r="E57" s="116">
        <f t="shared" ref="E57:E65" si="10">IF(D$66=0,C57*2,C57+D57)</f>
        <v>0</v>
      </c>
      <c r="F57" s="443" t="s">
        <v>439</v>
      </c>
      <c r="G57" s="443">
        <v>251</v>
      </c>
      <c r="H57" s="457">
        <f>'1461'!H57</f>
        <v>1047</v>
      </c>
      <c r="I57" s="101">
        <f>ROUND(E57*H57,2)</f>
        <v>0</v>
      </c>
      <c r="N57" s="618" t="s">
        <v>447</v>
      </c>
      <c r="O57" s="618"/>
      <c r="P57" s="621"/>
      <c r="Q57" s="621"/>
      <c r="R57" s="449" t="s">
        <v>439</v>
      </c>
      <c r="S57" s="449">
        <v>251</v>
      </c>
      <c r="T57" s="460">
        <f>H57</f>
        <v>1047</v>
      </c>
      <c r="U57" s="474">
        <f>ROUND(P57*T57,2)</f>
        <v>0</v>
      </c>
      <c r="V57" s="424"/>
    </row>
    <row r="58" spans="1:22" x14ac:dyDescent="0.25">
      <c r="A58" s="589"/>
      <c r="B58" s="589"/>
      <c r="C58" s="143">
        <v>0</v>
      </c>
      <c r="D58" s="143">
        <v>0</v>
      </c>
      <c r="E58" s="116">
        <f t="shared" si="10"/>
        <v>0</v>
      </c>
      <c r="F58" s="443" t="s">
        <v>439</v>
      </c>
      <c r="G58" s="443">
        <v>252</v>
      </c>
      <c r="H58" s="457">
        <f>'1461'!H58</f>
        <v>3380</v>
      </c>
      <c r="I58" s="101">
        <f t="shared" ref="I58:I65" si="11">ROUND(E58*H58,2)</f>
        <v>0</v>
      </c>
      <c r="N58" s="619"/>
      <c r="O58" s="619"/>
      <c r="P58" s="622"/>
      <c r="Q58" s="622"/>
      <c r="R58" s="449" t="s">
        <v>439</v>
      </c>
      <c r="S58" s="449">
        <v>252</v>
      </c>
      <c r="T58" s="460">
        <f t="shared" ref="T58:T65" si="12">H58</f>
        <v>3380</v>
      </c>
      <c r="U58" s="474">
        <f t="shared" ref="U58:U65" si="13">ROUND(P58*T58,2)</f>
        <v>0</v>
      </c>
      <c r="V58" s="424"/>
    </row>
    <row r="59" spans="1:22" x14ac:dyDescent="0.25">
      <c r="A59" s="589"/>
      <c r="B59" s="589"/>
      <c r="C59" s="143">
        <v>0</v>
      </c>
      <c r="D59" s="143">
        <v>0</v>
      </c>
      <c r="E59" s="116">
        <f t="shared" si="10"/>
        <v>0</v>
      </c>
      <c r="F59" s="443" t="s">
        <v>439</v>
      </c>
      <c r="G59" s="443">
        <v>253</v>
      </c>
      <c r="H59" s="457">
        <f>'1461'!H59</f>
        <v>6896</v>
      </c>
      <c r="I59" s="101">
        <f t="shared" si="11"/>
        <v>0</v>
      </c>
      <c r="N59" s="619"/>
      <c r="O59" s="619"/>
      <c r="P59" s="622"/>
      <c r="Q59" s="622"/>
      <c r="R59" s="449" t="s">
        <v>439</v>
      </c>
      <c r="S59" s="449">
        <v>253</v>
      </c>
      <c r="T59" s="460">
        <f t="shared" si="12"/>
        <v>6896</v>
      </c>
      <c r="U59" s="474">
        <f t="shared" si="13"/>
        <v>0</v>
      </c>
      <c r="V59" s="424"/>
    </row>
    <row r="60" spans="1:22" x14ac:dyDescent="0.25">
      <c r="A60" s="589"/>
      <c r="B60" s="589"/>
      <c r="C60" s="143">
        <v>11</v>
      </c>
      <c r="D60" s="143">
        <v>10.72</v>
      </c>
      <c r="E60" s="116">
        <f t="shared" si="10"/>
        <v>21.72</v>
      </c>
      <c r="F60" s="444" t="s">
        <v>13</v>
      </c>
      <c r="G60" s="443">
        <v>251</v>
      </c>
      <c r="H60" s="457">
        <f>'1461'!H60</f>
        <v>1173</v>
      </c>
      <c r="I60" s="101">
        <f t="shared" si="11"/>
        <v>25477.56</v>
      </c>
      <c r="N60" s="619"/>
      <c r="O60" s="619"/>
      <c r="P60" s="622"/>
      <c r="Q60" s="622"/>
      <c r="R60" s="40" t="s">
        <v>13</v>
      </c>
      <c r="S60" s="449">
        <v>251</v>
      </c>
      <c r="T60" s="460">
        <f t="shared" si="12"/>
        <v>1173</v>
      </c>
      <c r="U60" s="474">
        <f t="shared" si="13"/>
        <v>0</v>
      </c>
      <c r="V60" s="424"/>
    </row>
    <row r="61" spans="1:22" x14ac:dyDescent="0.25">
      <c r="A61" s="589"/>
      <c r="B61" s="589"/>
      <c r="C61" s="143">
        <v>0</v>
      </c>
      <c r="D61" s="143">
        <v>0</v>
      </c>
      <c r="E61" s="116">
        <f t="shared" si="10"/>
        <v>0</v>
      </c>
      <c r="F61" s="444" t="s">
        <v>13</v>
      </c>
      <c r="G61" s="443">
        <v>252</v>
      </c>
      <c r="H61" s="457">
        <f>'1461'!H61</f>
        <v>3506</v>
      </c>
      <c r="I61" s="101">
        <f t="shared" si="11"/>
        <v>0</v>
      </c>
      <c r="N61" s="619"/>
      <c r="O61" s="619"/>
      <c r="P61" s="622"/>
      <c r="Q61" s="622"/>
      <c r="R61" s="40" t="s">
        <v>13</v>
      </c>
      <c r="S61" s="449">
        <v>252</v>
      </c>
      <c r="T61" s="460">
        <f t="shared" si="12"/>
        <v>3506</v>
      </c>
      <c r="U61" s="474">
        <f t="shared" si="13"/>
        <v>0</v>
      </c>
      <c r="V61" s="424"/>
    </row>
    <row r="62" spans="1:22" x14ac:dyDescent="0.25">
      <c r="A62" s="589"/>
      <c r="B62" s="589"/>
      <c r="C62" s="143">
        <v>0</v>
      </c>
      <c r="D62" s="143">
        <v>0</v>
      </c>
      <c r="E62" s="116">
        <f t="shared" si="10"/>
        <v>0</v>
      </c>
      <c r="F62" s="444" t="s">
        <v>13</v>
      </c>
      <c r="G62" s="443">
        <v>253</v>
      </c>
      <c r="H62" s="457">
        <f>'1461'!H62</f>
        <v>7023</v>
      </c>
      <c r="I62" s="101">
        <f t="shared" si="11"/>
        <v>0</v>
      </c>
      <c r="N62" s="619"/>
      <c r="O62" s="619"/>
      <c r="P62" s="622"/>
      <c r="Q62" s="622"/>
      <c r="R62" s="40" t="s">
        <v>13</v>
      </c>
      <c r="S62" s="449">
        <v>253</v>
      </c>
      <c r="T62" s="460">
        <f t="shared" si="12"/>
        <v>7023</v>
      </c>
      <c r="U62" s="474">
        <f t="shared" si="13"/>
        <v>0</v>
      </c>
      <c r="V62" s="424"/>
    </row>
    <row r="63" spans="1:22" x14ac:dyDescent="0.25">
      <c r="A63" s="589"/>
      <c r="B63" s="589"/>
      <c r="C63" s="143">
        <v>0</v>
      </c>
      <c r="D63" s="143">
        <v>0</v>
      </c>
      <c r="E63" s="116">
        <f t="shared" si="10"/>
        <v>0</v>
      </c>
      <c r="F63" s="444" t="s">
        <v>14</v>
      </c>
      <c r="G63" s="443">
        <v>251</v>
      </c>
      <c r="H63" s="457">
        <f>'1461'!H63</f>
        <v>835</v>
      </c>
      <c r="I63" s="101">
        <f t="shared" si="11"/>
        <v>0</v>
      </c>
      <c r="N63" s="619"/>
      <c r="O63" s="619"/>
      <c r="P63" s="622"/>
      <c r="Q63" s="622"/>
      <c r="R63" s="40" t="s">
        <v>14</v>
      </c>
      <c r="S63" s="449">
        <v>251</v>
      </c>
      <c r="T63" s="460">
        <f t="shared" si="12"/>
        <v>835</v>
      </c>
      <c r="U63" s="474">
        <f t="shared" si="13"/>
        <v>0</v>
      </c>
      <c r="V63" s="424"/>
    </row>
    <row r="64" spans="1:22" x14ac:dyDescent="0.25">
      <c r="A64" s="589"/>
      <c r="B64" s="589"/>
      <c r="C64" s="143">
        <v>0</v>
      </c>
      <c r="D64" s="143">
        <v>0</v>
      </c>
      <c r="E64" s="116">
        <f t="shared" si="10"/>
        <v>0</v>
      </c>
      <c r="F64" s="444" t="s">
        <v>14</v>
      </c>
      <c r="G64" s="443">
        <v>252</v>
      </c>
      <c r="H64" s="457">
        <f>'1461'!H64</f>
        <v>3168</v>
      </c>
      <c r="I64" s="101">
        <f t="shared" si="11"/>
        <v>0</v>
      </c>
      <c r="N64" s="619"/>
      <c r="O64" s="619"/>
      <c r="P64" s="622"/>
      <c r="Q64" s="622"/>
      <c r="R64" s="40" t="s">
        <v>14</v>
      </c>
      <c r="S64" s="449">
        <v>252</v>
      </c>
      <c r="T64" s="460">
        <f t="shared" si="12"/>
        <v>3168</v>
      </c>
      <c r="U64" s="474">
        <f t="shared" si="13"/>
        <v>0</v>
      </c>
      <c r="V64" s="424"/>
    </row>
    <row r="65" spans="1:22" ht="16.5" thickBot="1" x14ac:dyDescent="0.3">
      <c r="A65" s="589"/>
      <c r="B65" s="589"/>
      <c r="C65" s="143">
        <v>0</v>
      </c>
      <c r="D65" s="143">
        <v>0</v>
      </c>
      <c r="E65" s="116">
        <f t="shared" si="10"/>
        <v>0</v>
      </c>
      <c r="F65" s="444" t="s">
        <v>14</v>
      </c>
      <c r="G65" s="443">
        <v>253</v>
      </c>
      <c r="H65" s="457">
        <f>'1461'!H65</f>
        <v>6685</v>
      </c>
      <c r="I65" s="101">
        <f t="shared" si="11"/>
        <v>0</v>
      </c>
      <c r="N65" s="619"/>
      <c r="O65" s="619"/>
      <c r="P65" s="623"/>
      <c r="Q65" s="623"/>
      <c r="R65" s="40" t="s">
        <v>14</v>
      </c>
      <c r="S65" s="449">
        <v>253</v>
      </c>
      <c r="T65" s="460">
        <f t="shared" si="12"/>
        <v>6685</v>
      </c>
      <c r="U65" s="475">
        <f t="shared" si="13"/>
        <v>0</v>
      </c>
      <c r="V65" s="424"/>
    </row>
    <row r="66" spans="1:22" ht="16.5" thickBot="1" x14ac:dyDescent="0.3">
      <c r="A66" s="440"/>
      <c r="C66" s="97">
        <f>SUM(C57:C65)</f>
        <v>11</v>
      </c>
      <c r="D66" s="97">
        <f>SUM(D57:D65)</f>
        <v>10.72</v>
      </c>
      <c r="E66" s="97">
        <f>SUM(E57:E65)</f>
        <v>21.72</v>
      </c>
      <c r="F66" s="590" t="s">
        <v>448</v>
      </c>
      <c r="G66" s="590"/>
      <c r="H66" s="590"/>
      <c r="I66" s="97">
        <f>SUM(I57:I65)</f>
        <v>25477.56</v>
      </c>
      <c r="N66" s="446"/>
      <c r="O66" s="51"/>
      <c r="P66" s="602">
        <f>SUM(P57:P65)</f>
        <v>0</v>
      </c>
      <c r="Q66" s="602"/>
      <c r="R66" s="603" t="s">
        <v>448</v>
      </c>
      <c r="S66" s="603"/>
      <c r="T66" s="603"/>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450</v>
      </c>
      <c r="N68" s="453" t="s">
        <v>458</v>
      </c>
      <c r="O68" s="51"/>
      <c r="P68" s="51"/>
      <c r="Q68" s="51"/>
      <c r="R68" s="51"/>
      <c r="S68" s="51"/>
      <c r="T68" s="51"/>
      <c r="U68" s="51"/>
    </row>
    <row r="69" spans="1:22" x14ac:dyDescent="0.25">
      <c r="A69" s="584" t="s">
        <v>403</v>
      </c>
      <c r="B69" s="578"/>
      <c r="C69" s="112">
        <f>E30</f>
        <v>90.71</v>
      </c>
      <c r="D69" s="565" t="s">
        <v>414</v>
      </c>
      <c r="E69" s="565"/>
      <c r="F69" s="565"/>
      <c r="G69" s="565"/>
      <c r="H69" s="300">
        <f>'1461'!H69</f>
        <v>210228.91</v>
      </c>
      <c r="I69" s="113"/>
      <c r="N69" s="600" t="s">
        <v>407</v>
      </c>
      <c r="O69" s="601"/>
      <c r="P69" s="41">
        <f>P30</f>
        <v>0</v>
      </c>
      <c r="Q69" s="606" t="s">
        <v>409</v>
      </c>
      <c r="R69" s="607"/>
      <c r="S69" s="607"/>
      <c r="T69" s="604">
        <f>H69</f>
        <v>210228.91</v>
      </c>
      <c r="U69" s="604"/>
    </row>
    <row r="70" spans="1:22" x14ac:dyDescent="0.25">
      <c r="B70" s="69"/>
      <c r="G70" s="42" t="s">
        <v>12</v>
      </c>
      <c r="H70" s="114">
        <f>ROUND(C69/H69,6)</f>
        <v>4.3100000000000001E-4</v>
      </c>
      <c r="I70" s="115"/>
      <c r="N70" s="601"/>
      <c r="O70" s="601"/>
      <c r="P70" s="601"/>
      <c r="Q70" s="601"/>
      <c r="R70" s="601"/>
      <c r="S70" s="601"/>
      <c r="T70" s="605">
        <f>ROUND(P69/T69,6)</f>
        <v>0</v>
      </c>
      <c r="U70" s="605"/>
    </row>
    <row r="71" spans="1:22" x14ac:dyDescent="0.25">
      <c r="A71" s="442" t="s">
        <v>451</v>
      </c>
      <c r="N71" s="453" t="s">
        <v>459</v>
      </c>
      <c r="O71" s="51"/>
      <c r="P71" s="51"/>
      <c r="Q71" s="51"/>
      <c r="R71" s="51"/>
      <c r="S71" s="51"/>
      <c r="T71" s="51"/>
      <c r="U71" s="51"/>
    </row>
    <row r="72" spans="1:22" x14ac:dyDescent="0.25">
      <c r="A72" s="584" t="s">
        <v>404</v>
      </c>
      <c r="B72" s="578"/>
      <c r="C72" s="112">
        <f>H30</f>
        <v>90.875099999999989</v>
      </c>
      <c r="D72" s="565" t="s">
        <v>415</v>
      </c>
      <c r="E72" s="565"/>
      <c r="F72" s="565"/>
      <c r="G72" s="565"/>
      <c r="H72" s="301">
        <f>'1461'!H72</f>
        <v>234891.44</v>
      </c>
      <c r="I72" s="116"/>
      <c r="N72" s="600" t="s">
        <v>408</v>
      </c>
      <c r="O72" s="601"/>
      <c r="P72" s="41">
        <f>T30</f>
        <v>0</v>
      </c>
      <c r="Q72" s="606" t="s">
        <v>410</v>
      </c>
      <c r="R72" s="607"/>
      <c r="S72" s="607"/>
      <c r="T72" s="604">
        <f>H72</f>
        <v>234891.44</v>
      </c>
      <c r="U72" s="604"/>
    </row>
    <row r="73" spans="1:22" x14ac:dyDescent="0.25">
      <c r="G73" s="42" t="s">
        <v>12</v>
      </c>
      <c r="H73" s="114">
        <f>ROUND(C72/H72,6)</f>
        <v>3.8699999999999997E-4</v>
      </c>
      <c r="I73" s="114"/>
      <c r="N73" s="601"/>
      <c r="O73" s="601"/>
      <c r="P73" s="601"/>
      <c r="Q73" s="601"/>
      <c r="R73" s="601"/>
      <c r="S73" s="601"/>
      <c r="T73" s="605">
        <f>ROUND(P72/T72,6)</f>
        <v>0</v>
      </c>
      <c r="U73" s="605"/>
    </row>
    <row r="74" spans="1:22" x14ac:dyDescent="0.25">
      <c r="A74" s="417" t="s">
        <v>452</v>
      </c>
      <c r="B74" s="414"/>
      <c r="C74" s="414"/>
      <c r="D74" s="414"/>
      <c r="E74" s="414"/>
      <c r="F74" s="414"/>
      <c r="G74" s="414"/>
      <c r="H74" s="414"/>
      <c r="I74" s="414"/>
      <c r="N74" s="416" t="s">
        <v>460</v>
      </c>
      <c r="O74" s="415"/>
      <c r="P74" s="415"/>
      <c r="Q74" s="415"/>
      <c r="R74" s="415"/>
      <c r="S74" s="415"/>
      <c r="T74" s="415"/>
      <c r="U74" s="415"/>
      <c r="V74" s="414"/>
    </row>
    <row r="75" spans="1:22" x14ac:dyDescent="0.25">
      <c r="A75" s="584" t="s">
        <v>405</v>
      </c>
      <c r="B75" s="578"/>
      <c r="C75" s="112">
        <f>E30</f>
        <v>90.71</v>
      </c>
      <c r="D75" s="557" t="s">
        <v>416</v>
      </c>
      <c r="E75" s="557"/>
      <c r="F75" s="557"/>
      <c r="G75" s="557"/>
      <c r="H75" s="300">
        <f>'1461'!H75</f>
        <v>187665.41</v>
      </c>
      <c r="I75" s="113"/>
      <c r="N75" s="600" t="s">
        <v>406</v>
      </c>
      <c r="O75" s="601"/>
      <c r="P75" s="41">
        <f>P30</f>
        <v>0</v>
      </c>
      <c r="Q75" s="636" t="s">
        <v>411</v>
      </c>
      <c r="R75" s="637"/>
      <c r="S75" s="637"/>
      <c r="T75" s="604">
        <f>H75</f>
        <v>187665.41</v>
      </c>
      <c r="U75" s="604"/>
    </row>
    <row r="76" spans="1:22" x14ac:dyDescent="0.25">
      <c r="B76" s="69"/>
      <c r="G76" s="42" t="s">
        <v>12</v>
      </c>
      <c r="H76" s="114">
        <f>ROUND(C75/H75,6)</f>
        <v>4.8299999999999998E-4</v>
      </c>
      <c r="I76" s="115"/>
      <c r="N76" s="601"/>
      <c r="O76" s="601"/>
      <c r="P76" s="601"/>
      <c r="Q76" s="601"/>
      <c r="R76" s="601"/>
      <c r="S76" s="601"/>
      <c r="T76" s="605">
        <f>ROUND(P75/T75,6)</f>
        <v>0</v>
      </c>
      <c r="U76" s="605"/>
    </row>
    <row r="77" spans="1:22" x14ac:dyDescent="0.25">
      <c r="A77" s="417" t="s">
        <v>453</v>
      </c>
      <c r="B77" s="414"/>
      <c r="C77" s="414"/>
      <c r="D77" s="414"/>
      <c r="E77" s="414"/>
      <c r="F77" s="414"/>
      <c r="G77" s="414"/>
      <c r="H77" s="414"/>
      <c r="I77" s="414"/>
      <c r="N77" s="416" t="s">
        <v>461</v>
      </c>
      <c r="O77" s="415"/>
      <c r="P77" s="415"/>
      <c r="Q77" s="415"/>
      <c r="R77" s="415"/>
      <c r="S77" s="415"/>
      <c r="T77" s="415"/>
      <c r="U77" s="415"/>
      <c r="V77" s="414"/>
    </row>
    <row r="78" spans="1:22" x14ac:dyDescent="0.25">
      <c r="A78" s="584" t="s">
        <v>405</v>
      </c>
      <c r="B78" s="578"/>
      <c r="C78" s="112">
        <f>E30</f>
        <v>90.71</v>
      </c>
      <c r="D78" s="585" t="s">
        <v>417</v>
      </c>
      <c r="E78" s="585"/>
      <c r="F78" s="585"/>
      <c r="G78" s="585"/>
      <c r="H78" s="300">
        <f>'1461'!H78</f>
        <v>209892.26</v>
      </c>
      <c r="I78" s="113"/>
      <c r="N78" s="600" t="s">
        <v>406</v>
      </c>
      <c r="O78" s="601"/>
      <c r="P78" s="41">
        <f>P30</f>
        <v>0</v>
      </c>
      <c r="Q78" s="634" t="s">
        <v>412</v>
      </c>
      <c r="R78" s="635"/>
      <c r="S78" s="635"/>
      <c r="T78" s="604">
        <f>H78</f>
        <v>209892.26</v>
      </c>
      <c r="U78" s="604"/>
    </row>
    <row r="79" spans="1:22" x14ac:dyDescent="0.25">
      <c r="B79" s="69"/>
      <c r="G79" s="42" t="s">
        <v>12</v>
      </c>
      <c r="H79" s="114">
        <f>ROUND(C78/H78,6)</f>
        <v>4.3199999999999998E-4</v>
      </c>
      <c r="I79" s="115"/>
      <c r="N79" s="601"/>
      <c r="O79" s="601"/>
      <c r="P79" s="601"/>
      <c r="Q79" s="601"/>
      <c r="R79" s="601"/>
      <c r="S79" s="601"/>
      <c r="T79" s="605">
        <f>ROUND(P78/T78,6)</f>
        <v>0</v>
      </c>
      <c r="U79" s="605"/>
    </row>
    <row r="80" spans="1:22" x14ac:dyDescent="0.25">
      <c r="A80" s="417" t="s">
        <v>454</v>
      </c>
      <c r="B80" s="414"/>
      <c r="C80" s="414"/>
      <c r="D80" s="414"/>
      <c r="E80" s="414"/>
      <c r="F80" s="414"/>
      <c r="G80" s="414"/>
      <c r="H80" s="414"/>
      <c r="I80" s="414"/>
      <c r="N80" s="416" t="s">
        <v>462</v>
      </c>
      <c r="O80" s="415"/>
      <c r="P80" s="415"/>
      <c r="Q80" s="415"/>
      <c r="R80" s="415"/>
      <c r="S80" s="415"/>
      <c r="T80" s="415"/>
      <c r="U80" s="415"/>
      <c r="V80" s="414"/>
    </row>
    <row r="81" spans="1:21" x14ac:dyDescent="0.25">
      <c r="A81" s="584" t="s">
        <v>413</v>
      </c>
      <c r="B81" s="578"/>
      <c r="C81" s="112">
        <f>E30</f>
        <v>90.71</v>
      </c>
      <c r="D81" s="557" t="s">
        <v>418</v>
      </c>
      <c r="E81" s="557"/>
      <c r="F81" s="557"/>
      <c r="G81" s="557"/>
      <c r="H81" s="300">
        <f>'1461'!H81</f>
        <v>187328.76</v>
      </c>
      <c r="I81" s="113"/>
      <c r="N81" s="600" t="s">
        <v>419</v>
      </c>
      <c r="O81" s="601"/>
      <c r="P81" s="41">
        <f>P30</f>
        <v>0</v>
      </c>
      <c r="Q81" s="636" t="s">
        <v>420</v>
      </c>
      <c r="R81" s="637"/>
      <c r="S81" s="637"/>
      <c r="T81" s="604">
        <f>H81</f>
        <v>187328.76</v>
      </c>
      <c r="U81" s="604"/>
    </row>
    <row r="82" spans="1:21" x14ac:dyDescent="0.25">
      <c r="B82" s="69"/>
      <c r="G82" s="42" t="s">
        <v>12</v>
      </c>
      <c r="H82" s="114">
        <f>ROUND(C81/H81,6)</f>
        <v>4.84E-4</v>
      </c>
      <c r="I82" s="115"/>
      <c r="N82" s="601"/>
      <c r="O82" s="601"/>
      <c r="P82" s="601"/>
      <c r="Q82" s="601"/>
      <c r="R82" s="601"/>
      <c r="S82" s="601"/>
      <c r="T82" s="605">
        <f>ROUND(P81/T81,6)</f>
        <v>0</v>
      </c>
      <c r="U82" s="605"/>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455</v>
      </c>
      <c r="D85" s="69"/>
      <c r="E85" s="43" t="s">
        <v>299</v>
      </c>
      <c r="F85" s="302">
        <f>'1461'!F85</f>
        <v>46163704</v>
      </c>
      <c r="G85" s="37" t="s">
        <v>6</v>
      </c>
      <c r="H85" s="422">
        <f>H79</f>
        <v>4.3199999999999998E-4</v>
      </c>
      <c r="I85" s="101">
        <f>ROUND(F85*H85,2)</f>
        <v>19942.72</v>
      </c>
      <c r="N85" s="453" t="s">
        <v>455</v>
      </c>
      <c r="O85" s="51"/>
      <c r="P85" s="51"/>
      <c r="Q85" s="44"/>
      <c r="R85" s="419">
        <f>F85</f>
        <v>46163704</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87" t="s">
        <v>71</v>
      </c>
      <c r="B87" s="578"/>
      <c r="C87" s="578"/>
      <c r="D87" s="69"/>
      <c r="E87" s="43"/>
      <c r="F87" s="117"/>
      <c r="G87" s="37"/>
      <c r="H87" s="422"/>
      <c r="I87" s="101"/>
      <c r="N87" s="600" t="s">
        <v>463</v>
      </c>
      <c r="O87" s="601"/>
      <c r="P87" s="601"/>
      <c r="Q87" s="51"/>
      <c r="R87" s="420"/>
      <c r="S87" s="51"/>
      <c r="T87" s="38"/>
      <c r="U87" s="478"/>
    </row>
    <row r="88" spans="1:21" x14ac:dyDescent="0.25">
      <c r="A88" s="587" t="s">
        <v>99</v>
      </c>
      <c r="B88" s="578"/>
      <c r="C88" s="578"/>
      <c r="D88" s="69"/>
      <c r="E88" s="43" t="s">
        <v>3</v>
      </c>
      <c r="F88" s="302">
        <f>'1461'!F88</f>
        <v>0</v>
      </c>
      <c r="G88" s="37" t="s">
        <v>6</v>
      </c>
      <c r="H88" s="422">
        <f>H70</f>
        <v>4.3100000000000001E-4</v>
      </c>
      <c r="I88" s="101">
        <f>ROUND(F88*H88,2)</f>
        <v>0</v>
      </c>
      <c r="N88" s="638" t="s">
        <v>99</v>
      </c>
      <c r="O88" s="601"/>
      <c r="P88" s="601"/>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456</v>
      </c>
      <c r="D90" s="69"/>
      <c r="E90" s="43" t="s">
        <v>421</v>
      </c>
      <c r="F90" s="302">
        <f>'1461'!F90</f>
        <v>19042026</v>
      </c>
      <c r="G90" s="37" t="s">
        <v>6</v>
      </c>
      <c r="H90" s="422">
        <f>H82</f>
        <v>4.84E-4</v>
      </c>
      <c r="I90" s="101">
        <f>ROUND(F90*H90,2)</f>
        <v>9216.34</v>
      </c>
      <c r="N90" s="453" t="s">
        <v>456</v>
      </c>
      <c r="O90" s="51"/>
      <c r="P90" s="51"/>
      <c r="Q90" s="44"/>
      <c r="R90" s="419">
        <f>F90</f>
        <v>19042026</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457</v>
      </c>
      <c r="D92" s="69"/>
      <c r="E92" s="43" t="s">
        <v>3</v>
      </c>
      <c r="F92" s="302">
        <f>'1461'!F92</f>
        <v>11441151</v>
      </c>
      <c r="G92" s="37" t="s">
        <v>6</v>
      </c>
      <c r="H92" s="422">
        <f>H76</f>
        <v>4.8299999999999998E-4</v>
      </c>
      <c r="I92" s="101">
        <f t="shared" ref="I92:I96" si="14">ROUND(F92*H92,2)</f>
        <v>5526.08</v>
      </c>
      <c r="N92" s="453" t="s">
        <v>457</v>
      </c>
      <c r="O92" s="51"/>
      <c r="P92" s="51"/>
      <c r="Q92" s="44"/>
      <c r="R92" s="419">
        <f t="shared" ref="R92:R96" si="15">F92</f>
        <v>11441151</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84" t="s">
        <v>422</v>
      </c>
      <c r="B94" s="578"/>
      <c r="C94" s="578"/>
      <c r="D94" s="69"/>
      <c r="E94" s="43" t="s">
        <v>4</v>
      </c>
      <c r="F94" s="302">
        <f>'1461'!F94</f>
        <v>247265670</v>
      </c>
      <c r="G94" s="37" t="s">
        <v>6</v>
      </c>
      <c r="H94" s="422">
        <f>H73</f>
        <v>3.8699999999999997E-4</v>
      </c>
      <c r="I94" s="101">
        <f t="shared" si="14"/>
        <v>95691.81</v>
      </c>
      <c r="N94" s="601" t="s">
        <v>422</v>
      </c>
      <c r="O94" s="601"/>
      <c r="P94" s="601"/>
      <c r="Q94" s="44"/>
      <c r="R94" s="419">
        <f t="shared" si="15"/>
        <v>247265670</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4" t="s">
        <v>423</v>
      </c>
      <c r="B96" s="578"/>
      <c r="C96" s="578"/>
      <c r="D96" s="69"/>
      <c r="E96" s="43" t="s">
        <v>4</v>
      </c>
      <c r="F96" s="302">
        <f>'1461'!F96</f>
        <v>0</v>
      </c>
      <c r="G96" s="37" t="s">
        <v>6</v>
      </c>
      <c r="H96" s="422">
        <f>H73</f>
        <v>3.8699999999999997E-4</v>
      </c>
      <c r="I96" s="101">
        <f t="shared" si="14"/>
        <v>0</v>
      </c>
      <c r="N96" s="600" t="s">
        <v>423</v>
      </c>
      <c r="O96" s="601"/>
      <c r="P96" s="601"/>
      <c r="Q96" s="44"/>
      <c r="R96" s="419">
        <f t="shared" si="15"/>
        <v>0</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530" t="s">
        <v>497</v>
      </c>
      <c r="B98" s="529"/>
      <c r="C98" s="529"/>
      <c r="D98" s="529"/>
      <c r="E98" s="527" t="s">
        <v>3</v>
      </c>
      <c r="F98" s="290">
        <v>0</v>
      </c>
      <c r="G98" s="528" t="s">
        <v>6</v>
      </c>
      <c r="H98" s="422">
        <f>H70</f>
        <v>4.3100000000000001E-4</v>
      </c>
      <c r="I98" s="101">
        <f t="shared" ref="I98" si="16">ROUND(F98*H98,2)</f>
        <v>0</v>
      </c>
      <c r="N98" s="533" t="s">
        <v>497</v>
      </c>
      <c r="O98" s="533"/>
      <c r="P98" s="533"/>
      <c r="Q98" s="44"/>
      <c r="R98" s="536">
        <f>F98</f>
        <v>0</v>
      </c>
      <c r="S98" s="534" t="s">
        <v>6</v>
      </c>
      <c r="T98" s="421">
        <f>T70</f>
        <v>0</v>
      </c>
      <c r="U98" s="473">
        <f>ROUND(R98*T98,2)</f>
        <v>0</v>
      </c>
    </row>
    <row r="99" spans="1:21" x14ac:dyDescent="0.25">
      <c r="A99" s="530"/>
      <c r="B99" s="529"/>
      <c r="C99" s="529"/>
      <c r="D99" s="529"/>
      <c r="E99" s="527"/>
      <c r="F99" s="276"/>
      <c r="G99" s="528"/>
      <c r="H99" s="422"/>
      <c r="I99" s="101"/>
      <c r="N99" s="533"/>
      <c r="O99" s="533"/>
      <c r="P99" s="533"/>
      <c r="Q99" s="44"/>
      <c r="R99" s="535"/>
      <c r="S99" s="534"/>
      <c r="T99" s="421"/>
      <c r="U99" s="477"/>
    </row>
    <row r="100" spans="1:21" x14ac:dyDescent="0.25">
      <c r="A100" s="530"/>
      <c r="B100" s="529"/>
      <c r="C100" s="529"/>
      <c r="D100" s="529"/>
      <c r="E100" s="527"/>
      <c r="F100" s="276"/>
      <c r="G100" s="528"/>
      <c r="H100" s="422"/>
      <c r="I100" s="101"/>
      <c r="N100" s="533"/>
      <c r="O100" s="533"/>
      <c r="P100" s="533"/>
      <c r="Q100" s="44"/>
      <c r="R100" s="420"/>
      <c r="S100" s="534"/>
      <c r="T100" s="421"/>
      <c r="U100" s="103"/>
    </row>
    <row r="101" spans="1:21" x14ac:dyDescent="0.25">
      <c r="A101" s="399" t="s">
        <v>498</v>
      </c>
      <c r="N101" s="407" t="s">
        <v>498</v>
      </c>
      <c r="O101" s="51"/>
      <c r="P101" s="51"/>
      <c r="Q101" s="51"/>
      <c r="R101" s="51"/>
      <c r="S101" s="51"/>
      <c r="T101" s="51"/>
      <c r="U101" s="51"/>
    </row>
    <row r="102" spans="1:21" x14ac:dyDescent="0.25">
      <c r="B102" s="69"/>
      <c r="C102" s="563" t="s">
        <v>60</v>
      </c>
      <c r="D102" s="563"/>
      <c r="E102" s="69"/>
      <c r="F102" s="39" t="s">
        <v>28</v>
      </c>
      <c r="G102" s="69"/>
      <c r="H102" s="69"/>
      <c r="I102" s="69"/>
      <c r="N102" s="45"/>
      <c r="O102" s="45"/>
      <c r="P102" s="45"/>
      <c r="Q102" s="45"/>
      <c r="R102" s="45"/>
      <c r="S102" s="45"/>
      <c r="T102" s="45"/>
      <c r="U102" s="45"/>
    </row>
    <row r="103" spans="1:21" x14ac:dyDescent="0.25">
      <c r="A103" s="3"/>
      <c r="B103" s="118"/>
      <c r="C103" s="564" t="s">
        <v>101</v>
      </c>
      <c r="D103" s="564"/>
      <c r="E103" s="423" t="s">
        <v>426</v>
      </c>
      <c r="F103" s="120" t="s">
        <v>106</v>
      </c>
      <c r="G103" s="121"/>
      <c r="H103" s="121"/>
      <c r="I103" s="121"/>
      <c r="N103" s="631" t="s">
        <v>35</v>
      </c>
      <c r="O103" s="631"/>
      <c r="P103" s="672" t="s">
        <v>428</v>
      </c>
      <c r="Q103" s="633"/>
      <c r="R103" s="604" t="s">
        <v>31</v>
      </c>
      <c r="S103" s="604"/>
      <c r="T103" s="604"/>
      <c r="U103" s="604"/>
    </row>
    <row r="104" spans="1:21" x14ac:dyDescent="0.25">
      <c r="A104" s="26"/>
      <c r="B104" s="52" t="s">
        <v>105</v>
      </c>
      <c r="C104" s="596">
        <f>H14+H15+H20+H23+H26</f>
        <v>0</v>
      </c>
      <c r="D104" s="596"/>
      <c r="E104" s="46">
        <f>H8</f>
        <v>1.0407999999999999</v>
      </c>
      <c r="F104" s="303">
        <f>'1461'!F104</f>
        <v>950.92</v>
      </c>
      <c r="G104" s="39" t="s">
        <v>12</v>
      </c>
      <c r="H104" s="101">
        <f>ROUND(C104*E104*F104,2)</f>
        <v>0</v>
      </c>
      <c r="I104" s="104"/>
      <c r="N104" s="28" t="s">
        <v>17</v>
      </c>
      <c r="O104" s="47">
        <f>T14+T15+T20+T23+T26</f>
        <v>0</v>
      </c>
      <c r="P104" s="611">
        <f>T8</f>
        <v>1.0407999999999999</v>
      </c>
      <c r="Q104" s="611"/>
      <c r="R104" s="48">
        <f>F104</f>
        <v>950.92</v>
      </c>
      <c r="S104" s="40" t="s">
        <v>12</v>
      </c>
      <c r="T104" s="479">
        <f>ROUND(O104*P104*R104,2)</f>
        <v>0</v>
      </c>
      <c r="U104" s="102"/>
    </row>
    <row r="105" spans="1:21" x14ac:dyDescent="0.25">
      <c r="A105" s="49"/>
      <c r="B105" s="49" t="s">
        <v>104</v>
      </c>
      <c r="C105" s="596">
        <f>H16+H17+H21+H24+H27</f>
        <v>90.875099999999989</v>
      </c>
      <c r="D105" s="596"/>
      <c r="E105" s="46">
        <f>H8</f>
        <v>1.0407999999999999</v>
      </c>
      <c r="F105" s="303">
        <f>'1461'!F105</f>
        <v>907.92</v>
      </c>
      <c r="G105" s="39" t="s">
        <v>12</v>
      </c>
      <c r="H105" s="101">
        <f>ROUND(C105*E105*F105,2)</f>
        <v>85873.62</v>
      </c>
      <c r="N105" s="50" t="s">
        <v>13</v>
      </c>
      <c r="O105" s="47">
        <f>T16+T17+T21+T24+T27</f>
        <v>0</v>
      </c>
      <c r="P105" s="611">
        <f>T8</f>
        <v>1.0407999999999999</v>
      </c>
      <c r="Q105" s="611"/>
      <c r="R105" s="48">
        <f>F105</f>
        <v>907.92</v>
      </c>
      <c r="S105" s="40" t="s">
        <v>12</v>
      </c>
      <c r="T105" s="479">
        <f>ROUND(O105*P105*R105,2)</f>
        <v>0</v>
      </c>
      <c r="U105" s="51"/>
    </row>
    <row r="106" spans="1:21" ht="16.5" thickBot="1" x14ac:dyDescent="0.3">
      <c r="A106" s="52"/>
      <c r="B106" s="52" t="s">
        <v>103</v>
      </c>
      <c r="C106" s="596">
        <f>H18+H19+H22+H25+H28+H29</f>
        <v>0</v>
      </c>
      <c r="D106" s="596"/>
      <c r="E106" s="46">
        <f>H8</f>
        <v>1.0407999999999999</v>
      </c>
      <c r="F106" s="303">
        <f>'1461'!F106</f>
        <v>910.12</v>
      </c>
      <c r="G106" s="39" t="s">
        <v>12</v>
      </c>
      <c r="H106" s="94">
        <f>ROUND(C106*E106*F106,2)</f>
        <v>0</v>
      </c>
      <c r="N106" s="53" t="s">
        <v>14</v>
      </c>
      <c r="O106" s="54">
        <f>T18+T19+T22+T25+T28+T29</f>
        <v>0</v>
      </c>
      <c r="P106" s="611">
        <f>T8</f>
        <v>1.0407999999999999</v>
      </c>
      <c r="Q106" s="611"/>
      <c r="R106" s="48">
        <f>F106</f>
        <v>910.12</v>
      </c>
      <c r="S106" s="40" t="s">
        <v>12</v>
      </c>
      <c r="T106" s="479">
        <f>ROUND(O106*P106*R106,2)</f>
        <v>0</v>
      </c>
      <c r="U106" s="51"/>
    </row>
    <row r="107" spans="1:21" ht="16.5" thickBot="1" x14ac:dyDescent="0.3">
      <c r="A107" s="55"/>
      <c r="B107" s="122" t="s">
        <v>102</v>
      </c>
      <c r="C107" s="586">
        <f>SUM(C104:C106)</f>
        <v>90.875099999999989</v>
      </c>
      <c r="D107" s="586"/>
      <c r="E107" s="123"/>
      <c r="F107" s="123"/>
      <c r="G107" s="123"/>
      <c r="H107" s="124" t="s">
        <v>100</v>
      </c>
      <c r="I107" s="101">
        <f>IF(A1=75,0,H106+H105+H104)</f>
        <v>85873.62</v>
      </c>
      <c r="N107" s="56" t="s">
        <v>89</v>
      </c>
      <c r="O107" s="57">
        <f>SUM(O104:O106)</f>
        <v>0</v>
      </c>
      <c r="P107" s="612" t="s">
        <v>16</v>
      </c>
      <c r="Q107" s="613"/>
      <c r="R107" s="613"/>
      <c r="S107" s="613"/>
      <c r="T107" s="613"/>
      <c r="U107" s="473">
        <f>IF(N1=75,0,T106+T105+T104)</f>
        <v>0</v>
      </c>
    </row>
    <row r="108" spans="1:21" ht="16.5" thickTop="1" x14ac:dyDescent="0.25">
      <c r="A108" s="555" t="s">
        <v>65</v>
      </c>
      <c r="B108" s="555"/>
      <c r="C108" s="555"/>
      <c r="D108" s="555"/>
      <c r="E108" s="555"/>
      <c r="F108" s="555"/>
      <c r="G108" s="555"/>
      <c r="H108" s="555"/>
      <c r="I108" s="555"/>
      <c r="N108" s="614" t="s">
        <v>65</v>
      </c>
      <c r="O108" s="614"/>
      <c r="P108" s="614"/>
      <c r="Q108" s="614"/>
      <c r="R108" s="614"/>
      <c r="S108" s="614"/>
      <c r="T108" s="614"/>
      <c r="U108" s="614"/>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0" t="s">
        <v>499</v>
      </c>
      <c r="C110" s="43"/>
      <c r="D110" s="69"/>
      <c r="E110" s="43" t="s">
        <v>32</v>
      </c>
      <c r="F110" s="556"/>
      <c r="G110" s="556"/>
      <c r="H110" s="556"/>
      <c r="I110" s="556"/>
      <c r="N110" s="600" t="s">
        <v>499</v>
      </c>
      <c r="O110" s="601"/>
      <c r="P110" s="601"/>
      <c r="Q110" s="615"/>
      <c r="R110" s="615"/>
      <c r="S110" s="615"/>
      <c r="T110" s="615"/>
      <c r="U110" s="103"/>
    </row>
    <row r="111" spans="1:21" x14ac:dyDescent="0.25">
      <c r="B111" s="69"/>
      <c r="C111" s="88" t="s">
        <v>494</v>
      </c>
      <c r="D111" s="333" t="s">
        <v>495</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57" t="s">
        <v>381</v>
      </c>
      <c r="B113" s="558"/>
      <c r="C113" s="143">
        <v>0</v>
      </c>
      <c r="D113" s="143">
        <v>0</v>
      </c>
      <c r="E113" s="116">
        <f>C113</f>
        <v>0</v>
      </c>
      <c r="F113" s="126" t="s">
        <v>30</v>
      </c>
      <c r="G113" s="304">
        <f>'1461'!G113</f>
        <v>576</v>
      </c>
      <c r="I113" s="101">
        <f>ROUND(G113*E113,2)</f>
        <v>0</v>
      </c>
      <c r="N113" s="630" t="s">
        <v>52</v>
      </c>
      <c r="O113" s="630"/>
      <c r="P113" s="610">
        <f>IF(H133=1,E113,0)</f>
        <v>0</v>
      </c>
      <c r="Q113" s="610"/>
      <c r="R113" s="610"/>
      <c r="S113" s="83" t="s">
        <v>30</v>
      </c>
      <c r="T113" s="58">
        <f>G113</f>
        <v>576</v>
      </c>
      <c r="U113" s="473">
        <f>ROUND(T113*P113,2)</f>
        <v>0</v>
      </c>
    </row>
    <row r="114" spans="1:21" x14ac:dyDescent="0.25">
      <c r="A114" s="557" t="s">
        <v>382</v>
      </c>
      <c r="B114" s="558"/>
      <c r="C114" s="143">
        <v>0</v>
      </c>
      <c r="D114" s="143">
        <v>0</v>
      </c>
      <c r="E114" s="116">
        <f>C114</f>
        <v>0</v>
      </c>
      <c r="F114" s="126" t="s">
        <v>30</v>
      </c>
      <c r="G114" s="304">
        <f>'1461'!G114</f>
        <v>1823</v>
      </c>
      <c r="I114" s="101">
        <f>ROUND(G114*E114,2)</f>
        <v>0</v>
      </c>
      <c r="N114" s="630" t="s">
        <v>64</v>
      </c>
      <c r="O114" s="630"/>
      <c r="P114" s="608"/>
      <c r="Q114" s="608"/>
      <c r="R114" s="608"/>
      <c r="S114" s="83" t="s">
        <v>30</v>
      </c>
      <c r="T114" s="58">
        <f>G114</f>
        <v>1823</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4" t="s">
        <v>430</v>
      </c>
      <c r="B117" s="578"/>
      <c r="C117" s="578"/>
      <c r="D117" s="69"/>
      <c r="E117" s="39" t="s">
        <v>300</v>
      </c>
      <c r="F117" s="563"/>
      <c r="G117" s="563"/>
      <c r="H117" s="563"/>
      <c r="I117" s="563"/>
      <c r="N117" s="600" t="s">
        <v>431</v>
      </c>
      <c r="O117" s="601"/>
      <c r="P117" s="601"/>
      <c r="Q117" s="601"/>
      <c r="R117" s="601"/>
      <c r="S117" s="601"/>
      <c r="T117" s="601"/>
      <c r="U117" s="601"/>
    </row>
    <row r="118" spans="1:21" hidden="1" x14ac:dyDescent="0.25">
      <c r="B118" s="69"/>
      <c r="C118" s="564" t="s">
        <v>66</v>
      </c>
      <c r="D118" s="564"/>
      <c r="E118" s="564"/>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5" t="s">
        <v>109</v>
      </c>
      <c r="G119" s="563"/>
      <c r="H119" s="37" t="s">
        <v>29</v>
      </c>
      <c r="I119" s="37"/>
      <c r="N119" s="45"/>
      <c r="O119" s="45"/>
      <c r="P119" s="45"/>
      <c r="Q119" s="45"/>
      <c r="R119" s="45"/>
      <c r="S119" s="45"/>
      <c r="T119" s="45"/>
      <c r="U119" s="45"/>
    </row>
    <row r="120" spans="1:21" hidden="1" x14ac:dyDescent="0.25">
      <c r="A120" s="564" t="s">
        <v>69</v>
      </c>
      <c r="B120" s="564"/>
      <c r="C120" s="90" t="s">
        <v>2</v>
      </c>
      <c r="D120" s="90" t="s">
        <v>2</v>
      </c>
      <c r="E120" s="59" t="s">
        <v>2</v>
      </c>
      <c r="F120" s="564" t="s">
        <v>28</v>
      </c>
      <c r="G120" s="564"/>
      <c r="H120" s="59" t="s">
        <v>28</v>
      </c>
      <c r="I120" s="59" t="s">
        <v>8</v>
      </c>
      <c r="N120" s="609" t="s">
        <v>53</v>
      </c>
      <c r="O120" s="609"/>
      <c r="P120" s="610" t="s">
        <v>66</v>
      </c>
      <c r="Q120" s="610"/>
      <c r="R120" s="609" t="s">
        <v>54</v>
      </c>
      <c r="S120" s="609"/>
      <c r="T120" s="60" t="s">
        <v>55</v>
      </c>
      <c r="U120" s="60" t="s">
        <v>8</v>
      </c>
    </row>
    <row r="121" spans="1:21" hidden="1" x14ac:dyDescent="0.25">
      <c r="A121" s="561" t="s">
        <v>56</v>
      </c>
      <c r="B121" s="561"/>
      <c r="C121" s="141">
        <v>0</v>
      </c>
      <c r="D121" s="141">
        <v>0</v>
      </c>
      <c r="E121" s="187">
        <f>IF(D30=0,C121*2,C121+D121)</f>
        <v>0</v>
      </c>
      <c r="F121" s="562">
        <v>0</v>
      </c>
      <c r="G121" s="562"/>
      <c r="H121" s="224">
        <f>IF(C121=0,0,125)</f>
        <v>0</v>
      </c>
      <c r="I121" s="101">
        <f>ROUND((H121+F121)*E121,2)</f>
        <v>0</v>
      </c>
      <c r="N121" s="601" t="s">
        <v>56</v>
      </c>
      <c r="O121" s="601"/>
      <c r="P121" s="608">
        <f>IF(H$133=1,C121,0)</f>
        <v>0</v>
      </c>
      <c r="Q121" s="608"/>
      <c r="R121" s="628">
        <f>F121</f>
        <v>0</v>
      </c>
      <c r="S121" s="628"/>
      <c r="T121" s="62">
        <f>H121</f>
        <v>0</v>
      </c>
      <c r="U121" s="96">
        <f>ROUND((T121+R121)*P121,0)</f>
        <v>0</v>
      </c>
    </row>
    <row r="122" spans="1:21" hidden="1" x14ac:dyDescent="0.25">
      <c r="A122" s="581" t="s">
        <v>57</v>
      </c>
      <c r="B122" s="581"/>
      <c r="C122" s="143">
        <v>0</v>
      </c>
      <c r="D122" s="143">
        <v>0</v>
      </c>
      <c r="E122" s="116">
        <f>IF(D31=0,C122*2,C122+D122)</f>
        <v>0</v>
      </c>
      <c r="F122" s="598">
        <f>ROUND(F121/2,2)</f>
        <v>0</v>
      </c>
      <c r="G122" s="598"/>
      <c r="H122" s="224">
        <f>IF(C122=0,0,62.5)</f>
        <v>0</v>
      </c>
      <c r="I122" s="101">
        <f>ROUND((H122+F122)*E122,2)</f>
        <v>0</v>
      </c>
      <c r="N122" s="601" t="s">
        <v>57</v>
      </c>
      <c r="O122" s="601"/>
      <c r="P122" s="608">
        <f>IF(H$133=1,C122,0)</f>
        <v>0</v>
      </c>
      <c r="Q122" s="608"/>
      <c r="R122" s="629">
        <f>ROUND(R121/2,2)</f>
        <v>0</v>
      </c>
      <c r="S122" s="629"/>
      <c r="T122" s="62">
        <f>H122</f>
        <v>0</v>
      </c>
      <c r="U122" s="96">
        <f>ROUND((T122+R122)*P122,0)</f>
        <v>0</v>
      </c>
    </row>
    <row r="123" spans="1:21" ht="16.5" hidden="1" thickBot="1" x14ac:dyDescent="0.3">
      <c r="A123" s="581" t="s">
        <v>58</v>
      </c>
      <c r="B123" s="581"/>
      <c r="C123" s="143">
        <v>0</v>
      </c>
      <c r="D123" s="143">
        <v>0</v>
      </c>
      <c r="E123" s="116">
        <f>IF(D32=0,C123*2,C123+D123)</f>
        <v>0</v>
      </c>
      <c r="F123" s="599"/>
      <c r="G123" s="599"/>
      <c r="H123" s="225">
        <f>IF(H121&gt;0,436,0)</f>
        <v>0</v>
      </c>
      <c r="I123" s="101">
        <f>ROUND(H123*E123,2)</f>
        <v>0</v>
      </c>
      <c r="N123" s="616" t="s">
        <v>58</v>
      </c>
      <c r="O123" s="616"/>
      <c r="P123" s="608">
        <f>IF(H$133=1,C123,0)</f>
        <v>0</v>
      </c>
      <c r="Q123" s="608"/>
      <c r="R123" s="609"/>
      <c r="S123" s="609"/>
      <c r="T123" s="64">
        <f>H123</f>
        <v>0</v>
      </c>
      <c r="U123" s="103">
        <f>ROUND(T123*P123,0)</f>
        <v>0</v>
      </c>
    </row>
    <row r="124" spans="1:21" ht="16.5" hidden="1" thickBot="1" x14ac:dyDescent="0.3">
      <c r="A124" s="563" t="s">
        <v>8</v>
      </c>
      <c r="B124" s="563"/>
      <c r="C124" s="65"/>
      <c r="D124" s="65"/>
      <c r="E124" s="65"/>
      <c r="F124" s="65"/>
      <c r="G124" s="65"/>
      <c r="H124" s="65"/>
      <c r="I124" s="97">
        <f>SUM(I121:I123)</f>
        <v>0</v>
      </c>
      <c r="N124" s="627" t="s">
        <v>8</v>
      </c>
      <c r="O124" s="627"/>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4" t="s">
        <v>432</v>
      </c>
      <c r="B126" s="578"/>
      <c r="C126" s="578"/>
      <c r="D126" s="69"/>
      <c r="E126" s="68" t="s">
        <v>34</v>
      </c>
      <c r="F126" s="597"/>
      <c r="G126" s="597"/>
      <c r="H126" s="597"/>
      <c r="I126" s="154">
        <v>0</v>
      </c>
      <c r="N126" s="600" t="s">
        <v>432</v>
      </c>
      <c r="O126" s="601"/>
      <c r="P126" s="601"/>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90" t="s">
        <v>8</v>
      </c>
      <c r="B128" s="590"/>
      <c r="C128" s="590"/>
      <c r="D128" s="590"/>
      <c r="E128" s="590"/>
      <c r="F128" s="590"/>
      <c r="G128" s="590"/>
      <c r="H128" s="590"/>
      <c r="I128" s="94">
        <f>SUM(I46,I66,I85,I88,I90,I92,I94,I96,I107,I113,I114,I124,I126)</f>
        <v>745947.16</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434</v>
      </c>
      <c r="B130" s="26"/>
      <c r="C130" s="26"/>
      <c r="D130" s="26"/>
      <c r="E130" s="26"/>
      <c r="F130" s="26"/>
      <c r="G130" s="26"/>
      <c r="H130" s="26"/>
      <c r="I130" s="101">
        <f>I128-I53</f>
        <v>716046.97</v>
      </c>
      <c r="N130" s="601" t="s">
        <v>434</v>
      </c>
      <c r="O130" s="601"/>
      <c r="P130" s="601"/>
      <c r="Q130" s="601"/>
      <c r="R130" s="601"/>
      <c r="S130" s="601"/>
      <c r="T130" s="601"/>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4" t="s">
        <v>502</v>
      </c>
      <c r="B132" s="578"/>
      <c r="C132" s="578"/>
      <c r="D132" s="578"/>
      <c r="E132" s="578"/>
      <c r="F132" s="578"/>
      <c r="G132" s="578"/>
      <c r="H132" s="81" t="s">
        <v>333</v>
      </c>
      <c r="I132" s="134"/>
      <c r="N132" s="600" t="s">
        <v>502</v>
      </c>
      <c r="O132" s="601"/>
      <c r="P132" s="601"/>
      <c r="Q132" s="601"/>
      <c r="R132" s="601"/>
      <c r="S132" s="601"/>
      <c r="T132" s="601"/>
      <c r="U132" s="138"/>
    </row>
    <row r="133" spans="1:21" x14ac:dyDescent="0.25">
      <c r="A133" s="578" t="s">
        <v>70</v>
      </c>
      <c r="B133" s="578"/>
      <c r="C133" s="578"/>
      <c r="D133" s="578"/>
      <c r="E133" s="578"/>
      <c r="F133" s="578"/>
      <c r="G133" s="578"/>
      <c r="H133" s="70" t="str">
        <f>IF(E30=0,"",IF((E15+E17+SUM(E19:E25))/E30&gt;0.75,1,""))</f>
        <v/>
      </c>
      <c r="I133" s="116">
        <f>U130</f>
        <v>0</v>
      </c>
      <c r="N133" s="601" t="s">
        <v>70</v>
      </c>
      <c r="O133" s="601"/>
      <c r="P133" s="601"/>
      <c r="Q133" s="601"/>
      <c r="R133" s="601"/>
      <c r="S133" s="601"/>
      <c r="T133" s="601"/>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8" t="s">
        <v>240</v>
      </c>
      <c r="H135" s="139">
        <f>IF(H133=1,I133,I130)</f>
        <v>716046.97</v>
      </c>
      <c r="I135" s="94">
        <f>ROUND(IF(E30=0,0,IF(E30&gt;250,-(((250/E30)*H135)*IF(G135="H",0.02,0.05)),IF(G135="H",-0.02*H135,-0.05*H135))),2)</f>
        <v>-14320.94</v>
      </c>
      <c r="N135" s="626"/>
      <c r="O135" s="626"/>
      <c r="P135" s="626"/>
      <c r="Q135" s="626"/>
      <c r="R135" s="626"/>
      <c r="S135" s="626"/>
      <c r="T135" s="626"/>
      <c r="U135" s="626"/>
    </row>
    <row r="136" spans="1:21" x14ac:dyDescent="0.25">
      <c r="B136" s="69"/>
      <c r="C136" s="69"/>
      <c r="D136" s="69"/>
      <c r="E136" s="69"/>
      <c r="F136" s="69"/>
      <c r="G136" s="69"/>
      <c r="H136" s="65"/>
      <c r="I136" s="101"/>
      <c r="N136" s="624" t="s">
        <v>7</v>
      </c>
      <c r="O136" s="624"/>
      <c r="P136" s="624"/>
      <c r="Q136" s="624"/>
      <c r="R136" s="624"/>
      <c r="S136" s="624"/>
      <c r="T136" s="624"/>
      <c r="U136" s="624"/>
    </row>
    <row r="137" spans="1:21" x14ac:dyDescent="0.25">
      <c r="A137" s="309" t="s">
        <v>74</v>
      </c>
      <c r="B137" s="310"/>
      <c r="C137" s="310"/>
      <c r="D137" s="310"/>
      <c r="E137" s="310"/>
      <c r="F137" s="310"/>
      <c r="G137" s="310"/>
      <c r="H137" s="311"/>
      <c r="I137" s="312">
        <f>I128+I135</f>
        <v>731626.22000000009</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Payments'!Q102</f>
        <v>0</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731626.22000000009</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60968.85</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372</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373</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374</v>
      </c>
      <c r="B155" s="252"/>
      <c r="C155" s="252"/>
      <c r="D155" s="252"/>
      <c r="E155" s="252"/>
      <c r="F155" s="252"/>
      <c r="G155" s="252"/>
      <c r="H155" s="252"/>
      <c r="I155" s="252"/>
      <c r="N155" s="625"/>
      <c r="O155" s="625"/>
      <c r="P155" s="625"/>
      <c r="Q155" s="625"/>
      <c r="R155" s="625"/>
      <c r="S155" s="625"/>
      <c r="T155" s="625"/>
      <c r="U155" s="625"/>
    </row>
    <row r="156" spans="1:21" s="76" customFormat="1" x14ac:dyDescent="0.2">
      <c r="A156" s="320" t="s">
        <v>375</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376</v>
      </c>
      <c r="B157" s="252"/>
      <c r="C157" s="252"/>
      <c r="D157" s="252"/>
      <c r="E157" s="252"/>
      <c r="F157" s="252"/>
      <c r="G157" s="252"/>
      <c r="H157" s="252"/>
      <c r="I157" s="252"/>
      <c r="N157" s="78"/>
      <c r="O157" s="79"/>
      <c r="P157" s="79"/>
      <c r="Q157" s="79"/>
      <c r="R157" s="79"/>
      <c r="S157" s="79"/>
      <c r="T157" s="79"/>
      <c r="U157" s="79"/>
    </row>
    <row r="158" spans="1:21" s="76" customFormat="1" x14ac:dyDescent="0.2">
      <c r="A158" s="320" t="s">
        <v>377</v>
      </c>
      <c r="B158" s="252"/>
      <c r="C158" s="252"/>
      <c r="D158" s="252"/>
      <c r="E158" s="252"/>
      <c r="F158" s="252"/>
      <c r="G158" s="252"/>
      <c r="H158" s="252"/>
      <c r="I158" s="252"/>
      <c r="N158" s="78"/>
    </row>
    <row r="159" spans="1:21" s="76" customFormat="1" x14ac:dyDescent="0.2">
      <c r="A159" s="320" t="s">
        <v>379</v>
      </c>
      <c r="B159" s="252"/>
      <c r="C159" s="252"/>
      <c r="D159" s="252"/>
      <c r="E159" s="252"/>
      <c r="F159" s="252"/>
      <c r="G159" s="252"/>
      <c r="H159" s="252"/>
      <c r="I159" s="252"/>
      <c r="N159" s="78"/>
    </row>
    <row r="160" spans="1:21" s="76" customFormat="1" x14ac:dyDescent="0.2">
      <c r="A160" s="385" t="s">
        <v>378</v>
      </c>
      <c r="B160" s="252"/>
      <c r="C160" s="252"/>
      <c r="D160" s="252"/>
      <c r="E160" s="252"/>
      <c r="F160" s="252"/>
      <c r="G160" s="252"/>
      <c r="H160" s="252"/>
      <c r="I160" s="252"/>
      <c r="N160" s="78"/>
    </row>
    <row r="161" spans="1:14" s="76" customFormat="1" x14ac:dyDescent="0.2">
      <c r="A161" s="320" t="s">
        <v>380</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383</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385</v>
      </c>
      <c r="B165" s="293"/>
      <c r="C165" s="293"/>
      <c r="D165" s="293"/>
      <c r="E165" s="293"/>
      <c r="F165" s="293"/>
      <c r="G165" s="293"/>
      <c r="H165" s="293"/>
      <c r="I165" s="293"/>
      <c r="N165" s="78"/>
    </row>
    <row r="166" spans="1:14" s="76" customFormat="1" ht="15.75" customHeight="1" x14ac:dyDescent="0.2">
      <c r="A166" s="351" t="s">
        <v>384</v>
      </c>
      <c r="B166" s="293"/>
      <c r="C166" s="293"/>
      <c r="D166" s="293"/>
      <c r="E166" s="293"/>
      <c r="F166" s="293"/>
      <c r="G166" s="293"/>
      <c r="H166" s="293"/>
      <c r="I166" s="293"/>
      <c r="N166" s="78"/>
    </row>
    <row r="167" spans="1:14" s="76" customFormat="1" ht="15.75" customHeight="1" x14ac:dyDescent="0.2">
      <c r="A167" s="320" t="s">
        <v>386</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388</v>
      </c>
      <c r="B169" s="343"/>
      <c r="C169" s="343"/>
      <c r="D169" s="343"/>
      <c r="E169" s="343"/>
      <c r="F169" s="343"/>
      <c r="G169" s="343"/>
      <c r="H169" s="343"/>
      <c r="I169" s="343"/>
      <c r="N169" s="78"/>
    </row>
    <row r="170" spans="1:14" s="76" customFormat="1" ht="15.75" customHeight="1" x14ac:dyDescent="0.2">
      <c r="A170" s="351" t="s">
        <v>387</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389</v>
      </c>
      <c r="B175" s="293"/>
      <c r="C175" s="293"/>
      <c r="D175" s="293"/>
      <c r="E175" s="293"/>
      <c r="F175" s="293"/>
      <c r="G175" s="293"/>
      <c r="H175" s="293"/>
      <c r="I175" s="293"/>
      <c r="J175" s="3"/>
      <c r="K175" s="3"/>
      <c r="L175" s="3"/>
      <c r="M175" s="3"/>
      <c r="N175" s="78"/>
    </row>
    <row r="176" spans="1:14" s="76" customFormat="1" ht="15.75" customHeight="1" x14ac:dyDescent="0.2">
      <c r="A176" s="361" t="s">
        <v>390</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Z116"/>
  <sheetViews>
    <sheetView topLeftCell="A29" zoomScale="80" zoomScaleNormal="80" workbookViewId="0">
      <selection activeCell="J55" sqref="J55"/>
    </sheetView>
  </sheetViews>
  <sheetFormatPr defaultColWidth="9.140625" defaultRowHeight="15" x14ac:dyDescent="0.25"/>
  <cols>
    <col min="1" max="1" width="9.140625" style="506"/>
    <col min="2" max="2" width="9.140625" style="507"/>
    <col min="3" max="3" width="43.42578125" style="506" bestFit="1" customWidth="1"/>
    <col min="4" max="4" width="15.28515625" style="508" bestFit="1" customWidth="1"/>
    <col min="5" max="5" width="14.28515625" style="508" bestFit="1" customWidth="1"/>
    <col min="6" max="9" width="14.28515625" style="506" bestFit="1" customWidth="1"/>
    <col min="10" max="10" width="16.85546875" style="506" bestFit="1" customWidth="1"/>
    <col min="11" max="11" width="14.140625" style="519" customWidth="1"/>
    <col min="12" max="16" width="14" style="506" bestFit="1" customWidth="1"/>
    <col min="17" max="17" width="15.28515625" style="506" bestFit="1" customWidth="1"/>
    <col min="18" max="18" width="15" style="506" bestFit="1" customWidth="1"/>
    <col min="19" max="16384" width="9.140625" style="506"/>
  </cols>
  <sheetData>
    <row r="1" spans="1:18" x14ac:dyDescent="0.25">
      <c r="A1" s="524" t="s">
        <v>496</v>
      </c>
    </row>
    <row r="4" spans="1:18" s="514" customFormat="1" ht="45" x14ac:dyDescent="0.25">
      <c r="A4" s="514" t="s">
        <v>310</v>
      </c>
      <c r="B4" s="515" t="s">
        <v>310</v>
      </c>
      <c r="C4" s="514" t="s">
        <v>310</v>
      </c>
      <c r="D4" s="525" t="s">
        <v>290</v>
      </c>
      <c r="E4" s="525" t="s">
        <v>477</v>
      </c>
      <c r="F4" s="515" t="s">
        <v>478</v>
      </c>
      <c r="G4" s="515" t="s">
        <v>479</v>
      </c>
      <c r="H4" s="515" t="s">
        <v>480</v>
      </c>
      <c r="I4" s="515" t="s">
        <v>481</v>
      </c>
      <c r="J4" s="515" t="s">
        <v>482</v>
      </c>
      <c r="K4" s="526" t="s">
        <v>483</v>
      </c>
      <c r="L4" s="515" t="s">
        <v>484</v>
      </c>
      <c r="M4" s="515" t="s">
        <v>485</v>
      </c>
      <c r="N4" s="515" t="s">
        <v>486</v>
      </c>
      <c r="O4" s="515" t="s">
        <v>487</v>
      </c>
      <c r="P4" s="515" t="s">
        <v>488</v>
      </c>
      <c r="Q4" s="515" t="s">
        <v>8</v>
      </c>
      <c r="R4" s="516" t="s">
        <v>490</v>
      </c>
    </row>
    <row r="5" spans="1:18" x14ac:dyDescent="0.25">
      <c r="A5" s="506">
        <v>1</v>
      </c>
      <c r="B5" s="507" t="s">
        <v>159</v>
      </c>
      <c r="C5" s="506" t="s">
        <v>191</v>
      </c>
      <c r="D5" s="508" t="e">
        <f>#REF!</f>
        <v>#REF!</v>
      </c>
      <c r="E5" s="508">
        <v>543134.93000000005</v>
      </c>
      <c r="F5" s="540"/>
      <c r="G5" s="540"/>
      <c r="H5" s="540"/>
      <c r="I5" s="540"/>
      <c r="J5" s="540"/>
      <c r="K5" s="541"/>
      <c r="L5" s="542"/>
      <c r="M5" s="542"/>
      <c r="N5" s="509"/>
      <c r="O5" s="538"/>
      <c r="P5" s="538"/>
      <c r="Q5" s="509">
        <f>SUM(E5:P5)</f>
        <v>543134.93000000005</v>
      </c>
      <c r="R5" s="520">
        <f>SUM(E5:O5)</f>
        <v>543134.93000000005</v>
      </c>
    </row>
    <row r="6" spans="1:18" x14ac:dyDescent="0.25">
      <c r="A6" s="506">
        <v>2</v>
      </c>
      <c r="B6" s="507" t="s">
        <v>160</v>
      </c>
      <c r="C6" s="506" t="s">
        <v>193</v>
      </c>
      <c r="D6" s="508" t="e">
        <f>#REF!</f>
        <v>#REF!</v>
      </c>
      <c r="E6" s="540">
        <v>744106.29</v>
      </c>
      <c r="F6" s="540"/>
      <c r="G6" s="540"/>
      <c r="H6" s="540"/>
      <c r="I6" s="540"/>
      <c r="J6" s="540"/>
      <c r="K6" s="541"/>
      <c r="L6" s="542"/>
      <c r="M6" s="542"/>
      <c r="N6" s="509"/>
      <c r="O6" s="538"/>
      <c r="P6" s="538"/>
      <c r="Q6" s="509">
        <f t="shared" ref="Q6:Q51" si="0">SUM(E6:P6)</f>
        <v>744106.29</v>
      </c>
      <c r="R6" s="520">
        <f t="shared" ref="R6:R51" si="1">SUM(E6:O6)</f>
        <v>744106.29</v>
      </c>
    </row>
    <row r="7" spans="1:18" x14ac:dyDescent="0.25">
      <c r="A7" s="506">
        <v>3</v>
      </c>
      <c r="B7" s="507" t="s">
        <v>161</v>
      </c>
      <c r="C7" s="506" t="s">
        <v>194</v>
      </c>
      <c r="D7" s="508" t="e">
        <f>#REF!</f>
        <v>#REF!</v>
      </c>
      <c r="E7" s="540">
        <v>96199.14</v>
      </c>
      <c r="F7" s="540"/>
      <c r="G7" s="540"/>
      <c r="H7" s="540"/>
      <c r="I7" s="540"/>
      <c r="J7" s="540"/>
      <c r="K7" s="541"/>
      <c r="L7" s="542"/>
      <c r="M7" s="542"/>
      <c r="N7" s="509"/>
      <c r="O7" s="538"/>
      <c r="P7" s="538"/>
      <c r="Q7" s="509">
        <f t="shared" si="0"/>
        <v>96199.14</v>
      </c>
      <c r="R7" s="520">
        <f t="shared" si="1"/>
        <v>96199.14</v>
      </c>
    </row>
    <row r="8" spans="1:18" x14ac:dyDescent="0.25">
      <c r="A8" s="506">
        <v>4</v>
      </c>
      <c r="B8" s="507" t="s">
        <v>162</v>
      </c>
      <c r="C8" s="506" t="s">
        <v>195</v>
      </c>
      <c r="D8" s="508" t="e">
        <f>#REF!</f>
        <v>#REF!</v>
      </c>
      <c r="E8" s="540">
        <v>79086.62</v>
      </c>
      <c r="F8" s="540"/>
      <c r="G8" s="540"/>
      <c r="H8" s="540"/>
      <c r="I8" s="540"/>
      <c r="J8" s="540"/>
      <c r="K8" s="541"/>
      <c r="L8" s="542"/>
      <c r="M8" s="542"/>
      <c r="N8" s="509"/>
      <c r="O8" s="538"/>
      <c r="P8" s="538"/>
      <c r="Q8" s="509">
        <f t="shared" si="0"/>
        <v>79086.62</v>
      </c>
      <c r="R8" s="520">
        <f t="shared" si="1"/>
        <v>79086.62</v>
      </c>
    </row>
    <row r="9" spans="1:18" x14ac:dyDescent="0.25">
      <c r="A9" s="506">
        <v>5</v>
      </c>
      <c r="B9" s="507" t="s">
        <v>163</v>
      </c>
      <c r="C9" s="506" t="s">
        <v>291</v>
      </c>
      <c r="D9" s="508" t="e">
        <f>#REF!</f>
        <v>#REF!</v>
      </c>
      <c r="E9" s="540">
        <v>373318.84</v>
      </c>
      <c r="F9" s="540"/>
      <c r="G9" s="540"/>
      <c r="H9" s="540"/>
      <c r="I9" s="540"/>
      <c r="J9" s="540"/>
      <c r="K9" s="541"/>
      <c r="L9" s="542"/>
      <c r="M9" s="542"/>
      <c r="N9" s="509"/>
      <c r="O9" s="538"/>
      <c r="P9" s="538"/>
      <c r="Q9" s="509">
        <f>SUM(E9:P9)</f>
        <v>373318.84</v>
      </c>
      <c r="R9" s="520">
        <f t="shared" si="1"/>
        <v>373318.84</v>
      </c>
    </row>
    <row r="10" spans="1:18" x14ac:dyDescent="0.25">
      <c r="A10" s="506">
        <v>6</v>
      </c>
      <c r="B10" s="507" t="s">
        <v>164</v>
      </c>
      <c r="C10" s="506" t="s">
        <v>359</v>
      </c>
      <c r="D10" s="508" t="e">
        <f>#REF!</f>
        <v>#REF!</v>
      </c>
      <c r="E10" s="540">
        <v>438241.71</v>
      </c>
      <c r="F10" s="540"/>
      <c r="G10" s="540"/>
      <c r="H10" s="540"/>
      <c r="I10" s="540"/>
      <c r="J10" s="540"/>
      <c r="K10" s="541"/>
      <c r="L10" s="542"/>
      <c r="M10" s="542"/>
      <c r="N10" s="509"/>
      <c r="O10" s="538"/>
      <c r="P10" s="538"/>
      <c r="Q10" s="509">
        <f t="shared" si="0"/>
        <v>438241.71</v>
      </c>
      <c r="R10" s="520">
        <f t="shared" si="1"/>
        <v>438241.71</v>
      </c>
    </row>
    <row r="11" spans="1:18" x14ac:dyDescent="0.25">
      <c r="A11" s="506">
        <v>7</v>
      </c>
      <c r="B11" s="507" t="s">
        <v>165</v>
      </c>
      <c r="C11" s="506" t="s">
        <v>197</v>
      </c>
      <c r="D11" s="508" t="e">
        <f>#REF!</f>
        <v>#REF!</v>
      </c>
      <c r="E11" s="540">
        <v>458554.15</v>
      </c>
      <c r="F11" s="540"/>
      <c r="G11" s="540"/>
      <c r="H11" s="540"/>
      <c r="I11" s="540"/>
      <c r="J11" s="540"/>
      <c r="K11" s="541"/>
      <c r="L11" s="542"/>
      <c r="M11" s="542"/>
      <c r="N11" s="509"/>
      <c r="O11" s="538"/>
      <c r="P11" s="538"/>
      <c r="Q11" s="509">
        <f t="shared" si="0"/>
        <v>458554.15</v>
      </c>
      <c r="R11" s="520">
        <f t="shared" si="1"/>
        <v>458554.15</v>
      </c>
    </row>
    <row r="12" spans="1:18" x14ac:dyDescent="0.25">
      <c r="A12" s="506">
        <v>8</v>
      </c>
      <c r="B12" s="507" t="s">
        <v>166</v>
      </c>
      <c r="C12" s="506" t="s">
        <v>198</v>
      </c>
      <c r="D12" s="508" t="e">
        <f>#REF!</f>
        <v>#REF!</v>
      </c>
      <c r="E12" s="540">
        <v>866760.71</v>
      </c>
      <c r="F12" s="540"/>
      <c r="G12" s="540"/>
      <c r="H12" s="540"/>
      <c r="I12" s="540"/>
      <c r="J12" s="540"/>
      <c r="K12" s="541"/>
      <c r="L12" s="542"/>
      <c r="M12" s="542"/>
      <c r="N12" s="509"/>
      <c r="O12" s="538"/>
      <c r="P12" s="538"/>
      <c r="Q12" s="509">
        <f t="shared" si="0"/>
        <v>866760.71</v>
      </c>
      <c r="R12" s="520">
        <f t="shared" si="1"/>
        <v>866760.71</v>
      </c>
    </row>
    <row r="13" spans="1:18" x14ac:dyDescent="0.25">
      <c r="A13" s="506">
        <v>9</v>
      </c>
      <c r="B13" s="507" t="s">
        <v>167</v>
      </c>
      <c r="C13" s="506" t="s">
        <v>366</v>
      </c>
      <c r="D13" s="508" t="e">
        <f>#REF!</f>
        <v>#REF!</v>
      </c>
      <c r="E13" s="540">
        <v>418062.5</v>
      </c>
      <c r="F13" s="540"/>
      <c r="G13" s="540"/>
      <c r="H13" s="540"/>
      <c r="I13" s="540"/>
      <c r="J13" s="540"/>
      <c r="K13" s="541"/>
      <c r="L13" s="542"/>
      <c r="M13" s="542"/>
      <c r="N13" s="509"/>
      <c r="O13" s="538"/>
      <c r="P13" s="538"/>
      <c r="Q13" s="509">
        <f t="shared" si="0"/>
        <v>418062.5</v>
      </c>
      <c r="R13" s="520">
        <f t="shared" si="1"/>
        <v>418062.5</v>
      </c>
    </row>
    <row r="14" spans="1:18" x14ac:dyDescent="0.25">
      <c r="A14" s="506">
        <v>10</v>
      </c>
      <c r="B14" s="507" t="s">
        <v>168</v>
      </c>
      <c r="C14" s="506" t="s">
        <v>365</v>
      </c>
      <c r="D14" s="508" t="e">
        <f>#REF!</f>
        <v>#REF!</v>
      </c>
      <c r="E14" s="540">
        <v>85480.95</v>
      </c>
      <c r="F14" s="540"/>
      <c r="G14" s="540"/>
      <c r="H14" s="540"/>
      <c r="I14" s="540"/>
      <c r="J14" s="540"/>
      <c r="K14" s="541"/>
      <c r="L14" s="542"/>
      <c r="M14" s="542"/>
      <c r="N14" s="509"/>
      <c r="O14" s="538"/>
      <c r="P14" s="538"/>
      <c r="Q14" s="509">
        <f t="shared" si="0"/>
        <v>85480.95</v>
      </c>
      <c r="R14" s="520">
        <f t="shared" si="1"/>
        <v>85480.95</v>
      </c>
    </row>
    <row r="15" spans="1:18" x14ac:dyDescent="0.25">
      <c r="A15" s="506">
        <v>11</v>
      </c>
      <c r="B15" s="507" t="s">
        <v>169</v>
      </c>
      <c r="C15" s="506" t="s">
        <v>201</v>
      </c>
      <c r="D15" s="508" t="e">
        <f>#REF!</f>
        <v>#REF!</v>
      </c>
      <c r="E15" s="540">
        <v>752379.59</v>
      </c>
      <c r="F15" s="540"/>
      <c r="G15" s="540"/>
      <c r="H15" s="540"/>
      <c r="I15" s="540"/>
      <c r="J15" s="540"/>
      <c r="K15" s="541"/>
      <c r="L15" s="542"/>
      <c r="M15" s="542"/>
      <c r="N15" s="509"/>
      <c r="O15" s="538"/>
      <c r="P15" s="538"/>
      <c r="Q15" s="509">
        <f t="shared" si="0"/>
        <v>752379.59</v>
      </c>
      <c r="R15" s="520">
        <f t="shared" si="1"/>
        <v>752379.59</v>
      </c>
    </row>
    <row r="16" spans="1:18" x14ac:dyDescent="0.25">
      <c r="A16" s="506">
        <v>12</v>
      </c>
      <c r="B16" s="507" t="s">
        <v>170</v>
      </c>
      <c r="C16" s="506" t="s">
        <v>203</v>
      </c>
      <c r="D16" s="508" t="e">
        <f>#REF!</f>
        <v>#REF!</v>
      </c>
      <c r="E16" s="540">
        <v>183876.95</v>
      </c>
      <c r="F16" s="540"/>
      <c r="G16" s="540"/>
      <c r="H16" s="540"/>
      <c r="I16" s="540"/>
      <c r="J16" s="540"/>
      <c r="K16" s="541"/>
      <c r="L16" s="542"/>
      <c r="M16" s="542"/>
      <c r="N16" s="509"/>
      <c r="O16" s="538"/>
      <c r="P16" s="538"/>
      <c r="Q16" s="509">
        <f t="shared" si="0"/>
        <v>183876.95</v>
      </c>
      <c r="R16" s="520">
        <f t="shared" si="1"/>
        <v>183876.95</v>
      </c>
    </row>
    <row r="17" spans="1:18" x14ac:dyDescent="0.25">
      <c r="A17" s="506">
        <v>13</v>
      </c>
      <c r="B17" s="507" t="s">
        <v>171</v>
      </c>
      <c r="C17" s="506" t="s">
        <v>205</v>
      </c>
      <c r="D17" s="508" t="e">
        <f>#REF!</f>
        <v>#REF!</v>
      </c>
      <c r="E17" s="540">
        <v>33300.01</v>
      </c>
      <c r="F17" s="540"/>
      <c r="G17" s="540"/>
      <c r="H17" s="540"/>
      <c r="I17" s="540"/>
      <c r="J17" s="540"/>
      <c r="K17" s="541"/>
      <c r="L17" s="542"/>
      <c r="M17" s="542"/>
      <c r="N17" s="509"/>
      <c r="O17" s="538"/>
      <c r="P17" s="538"/>
      <c r="Q17" s="509">
        <f t="shared" si="0"/>
        <v>33300.01</v>
      </c>
      <c r="R17" s="520">
        <f t="shared" si="1"/>
        <v>33300.01</v>
      </c>
    </row>
    <row r="18" spans="1:18" x14ac:dyDescent="0.25">
      <c r="A18" s="506">
        <v>14</v>
      </c>
      <c r="B18" s="507" t="s">
        <v>172</v>
      </c>
      <c r="C18" s="506" t="s">
        <v>206</v>
      </c>
      <c r="D18" s="508" t="e">
        <f>#REF!</f>
        <v>#REF!</v>
      </c>
      <c r="E18" s="540">
        <v>144251.51</v>
      </c>
      <c r="F18" s="540"/>
      <c r="G18" s="540"/>
      <c r="H18" s="540"/>
      <c r="I18" s="540"/>
      <c r="J18" s="540"/>
      <c r="K18" s="541"/>
      <c r="L18" s="542"/>
      <c r="M18" s="542"/>
      <c r="N18" s="509"/>
      <c r="O18" s="538"/>
      <c r="P18" s="538"/>
      <c r="Q18" s="509">
        <f t="shared" si="0"/>
        <v>144251.51</v>
      </c>
      <c r="R18" s="520">
        <f t="shared" si="1"/>
        <v>144251.51</v>
      </c>
    </row>
    <row r="19" spans="1:18" x14ac:dyDescent="0.25">
      <c r="A19" s="506">
        <v>15</v>
      </c>
      <c r="B19" s="507" t="s">
        <v>173</v>
      </c>
      <c r="C19" s="506" t="s">
        <v>292</v>
      </c>
      <c r="D19" s="508" t="e">
        <f>#REF!</f>
        <v>#REF!</v>
      </c>
      <c r="E19" s="540">
        <v>370530.88</v>
      </c>
      <c r="F19" s="540"/>
      <c r="G19" s="540"/>
      <c r="H19" s="540"/>
      <c r="I19" s="540"/>
      <c r="J19" s="540"/>
      <c r="K19" s="541"/>
      <c r="L19" s="542"/>
      <c r="M19" s="542"/>
      <c r="N19" s="509"/>
      <c r="O19" s="538"/>
      <c r="P19" s="538"/>
      <c r="Q19" s="509">
        <f t="shared" si="0"/>
        <v>370530.88</v>
      </c>
      <c r="R19" s="520">
        <f t="shared" si="1"/>
        <v>370530.88</v>
      </c>
    </row>
    <row r="20" spans="1:18" x14ac:dyDescent="0.25">
      <c r="A20" s="506">
        <v>16</v>
      </c>
      <c r="B20" s="507" t="s">
        <v>174</v>
      </c>
      <c r="C20" s="506" t="s">
        <v>228</v>
      </c>
      <c r="D20" s="508" t="e">
        <f>#REF!</f>
        <v>#REF!</v>
      </c>
      <c r="E20" s="540">
        <v>457612.31</v>
      </c>
      <c r="F20" s="540"/>
      <c r="G20" s="540"/>
      <c r="H20" s="540"/>
      <c r="I20" s="540"/>
      <c r="J20" s="540"/>
      <c r="K20" s="541"/>
      <c r="L20" s="542"/>
      <c r="M20" s="542"/>
      <c r="N20" s="509"/>
      <c r="O20" s="538"/>
      <c r="P20" s="538"/>
      <c r="Q20" s="509">
        <f t="shared" si="0"/>
        <v>457612.31</v>
      </c>
      <c r="R20" s="520">
        <f t="shared" si="1"/>
        <v>457612.31</v>
      </c>
    </row>
    <row r="21" spans="1:18" x14ac:dyDescent="0.25">
      <c r="A21" s="506">
        <v>17</v>
      </c>
      <c r="B21" s="507" t="s">
        <v>175</v>
      </c>
      <c r="C21" s="506" t="s">
        <v>196</v>
      </c>
      <c r="D21" s="508" t="e">
        <f>#REF!</f>
        <v>#REF!</v>
      </c>
      <c r="E21" s="540">
        <v>82429.48</v>
      </c>
      <c r="F21" s="540"/>
      <c r="G21" s="540"/>
      <c r="H21" s="540"/>
      <c r="I21" s="540"/>
      <c r="J21" s="540"/>
      <c r="K21" s="541"/>
      <c r="L21" s="542"/>
      <c r="M21" s="542"/>
      <c r="N21" s="509"/>
      <c r="O21" s="538"/>
      <c r="P21" s="538"/>
      <c r="Q21" s="509">
        <f t="shared" si="0"/>
        <v>82429.48</v>
      </c>
      <c r="R21" s="520">
        <f t="shared" si="1"/>
        <v>82429.48</v>
      </c>
    </row>
    <row r="22" spans="1:18" x14ac:dyDescent="0.25">
      <c r="A22" s="506">
        <v>18</v>
      </c>
      <c r="B22" s="507" t="s">
        <v>176</v>
      </c>
      <c r="C22" s="506" t="s">
        <v>190</v>
      </c>
      <c r="D22" s="508" t="e">
        <f>#REF!</f>
        <v>#REF!</v>
      </c>
      <c r="E22" s="540">
        <v>93468.86</v>
      </c>
      <c r="F22" s="540"/>
      <c r="G22" s="540"/>
      <c r="H22" s="540"/>
      <c r="I22" s="540"/>
      <c r="J22" s="540"/>
      <c r="K22" s="541"/>
      <c r="L22" s="542"/>
      <c r="M22" s="542"/>
      <c r="N22" s="509"/>
      <c r="O22" s="538"/>
      <c r="P22" s="538"/>
      <c r="Q22" s="509">
        <f t="shared" si="0"/>
        <v>93468.86</v>
      </c>
      <c r="R22" s="520">
        <f t="shared" si="1"/>
        <v>93468.86</v>
      </c>
    </row>
    <row r="23" spans="1:18" x14ac:dyDescent="0.25">
      <c r="A23" s="506">
        <v>19</v>
      </c>
      <c r="B23" s="507" t="s">
        <v>177</v>
      </c>
      <c r="C23" s="506" t="s">
        <v>207</v>
      </c>
      <c r="D23" s="508" t="e">
        <f>#REF!</f>
        <v>#REF!</v>
      </c>
      <c r="E23" s="540">
        <v>261804.23</v>
      </c>
      <c r="F23" s="540"/>
      <c r="G23" s="540"/>
      <c r="H23" s="540"/>
      <c r="I23" s="540"/>
      <c r="J23" s="540"/>
      <c r="K23" s="541"/>
      <c r="L23" s="542"/>
      <c r="M23" s="542"/>
      <c r="N23" s="509"/>
      <c r="O23" s="538"/>
      <c r="P23" s="538"/>
      <c r="Q23" s="509">
        <f t="shared" si="0"/>
        <v>261804.23</v>
      </c>
      <c r="R23" s="520">
        <f t="shared" si="1"/>
        <v>261804.23</v>
      </c>
    </row>
    <row r="24" spans="1:18" x14ac:dyDescent="0.25">
      <c r="A24" s="506">
        <v>20</v>
      </c>
      <c r="B24" s="507" t="s">
        <v>178</v>
      </c>
      <c r="C24" s="506" t="s">
        <v>208</v>
      </c>
      <c r="D24" s="508" t="e">
        <f>#REF!</f>
        <v>#REF!</v>
      </c>
      <c r="E24" s="540">
        <v>271329</v>
      </c>
      <c r="F24" s="540"/>
      <c r="G24" s="540"/>
      <c r="H24" s="540"/>
      <c r="I24" s="540"/>
      <c r="J24" s="540"/>
      <c r="K24" s="541"/>
      <c r="L24" s="542"/>
      <c r="M24" s="542"/>
      <c r="N24" s="509"/>
      <c r="O24" s="538"/>
      <c r="P24" s="538"/>
      <c r="Q24" s="509">
        <f t="shared" si="0"/>
        <v>271329</v>
      </c>
      <c r="R24" s="520">
        <f t="shared" si="1"/>
        <v>271329</v>
      </c>
    </row>
    <row r="25" spans="1:18" x14ac:dyDescent="0.25">
      <c r="A25" s="506">
        <v>21</v>
      </c>
      <c r="B25" s="507" t="s">
        <v>179</v>
      </c>
      <c r="C25" s="506" t="s">
        <v>209</v>
      </c>
      <c r="D25" s="508" t="e">
        <f>#REF!</f>
        <v>#REF!</v>
      </c>
      <c r="E25" s="540">
        <v>269507.71999999997</v>
      </c>
      <c r="F25" s="540"/>
      <c r="G25" s="540"/>
      <c r="H25" s="540"/>
      <c r="I25" s="540"/>
      <c r="J25" s="540"/>
      <c r="K25" s="541"/>
      <c r="L25" s="542"/>
      <c r="M25" s="542"/>
      <c r="N25" s="509"/>
      <c r="O25" s="538"/>
      <c r="P25" s="538"/>
      <c r="Q25" s="509">
        <f t="shared" si="0"/>
        <v>269507.71999999997</v>
      </c>
      <c r="R25" s="520">
        <f t="shared" si="1"/>
        <v>269507.71999999997</v>
      </c>
    </row>
    <row r="26" spans="1:18" x14ac:dyDescent="0.25">
      <c r="A26" s="506">
        <v>22</v>
      </c>
      <c r="B26" s="507" t="s">
        <v>180</v>
      </c>
      <c r="C26" s="506" t="s">
        <v>211</v>
      </c>
      <c r="D26" s="508" t="e">
        <f>#REF!</f>
        <v>#REF!</v>
      </c>
      <c r="E26" s="540">
        <v>702850.13</v>
      </c>
      <c r="F26" s="540"/>
      <c r="G26" s="540"/>
      <c r="H26" s="540"/>
      <c r="I26" s="540"/>
      <c r="J26" s="540"/>
      <c r="K26" s="541"/>
      <c r="L26" s="542"/>
      <c r="M26" s="542"/>
      <c r="N26" s="509"/>
      <c r="O26" s="538"/>
      <c r="P26" s="538"/>
      <c r="Q26" s="509">
        <f t="shared" si="0"/>
        <v>702850.13</v>
      </c>
      <c r="R26" s="520">
        <f t="shared" si="1"/>
        <v>702850.13</v>
      </c>
    </row>
    <row r="27" spans="1:18" x14ac:dyDescent="0.25">
      <c r="A27" s="506">
        <v>23</v>
      </c>
      <c r="B27" s="507">
        <v>3441</v>
      </c>
      <c r="C27" s="506" t="s">
        <v>229</v>
      </c>
      <c r="D27" s="508" t="e">
        <f>#REF!</f>
        <v>#REF!</v>
      </c>
      <c r="E27" s="540">
        <v>362240.2</v>
      </c>
      <c r="F27" s="540"/>
      <c r="G27" s="540"/>
      <c r="H27" s="540"/>
      <c r="I27" s="540"/>
      <c r="J27" s="540"/>
      <c r="K27" s="541"/>
      <c r="L27" s="542"/>
      <c r="M27" s="542"/>
      <c r="N27" s="509"/>
      <c r="O27" s="538"/>
      <c r="P27" s="538"/>
      <c r="Q27" s="509">
        <f t="shared" si="0"/>
        <v>362240.2</v>
      </c>
      <c r="R27" s="520">
        <f t="shared" si="1"/>
        <v>362240.2</v>
      </c>
    </row>
    <row r="28" spans="1:18" x14ac:dyDescent="0.25">
      <c r="A28" s="506">
        <v>24</v>
      </c>
      <c r="B28" s="507">
        <v>3924</v>
      </c>
      <c r="C28" s="506" t="s">
        <v>358</v>
      </c>
      <c r="D28" s="508" t="e">
        <f>#REF!</f>
        <v>#REF!</v>
      </c>
      <c r="E28" s="540">
        <v>321097.51</v>
      </c>
      <c r="F28" s="540"/>
      <c r="G28" s="540"/>
      <c r="H28" s="540"/>
      <c r="I28" s="540"/>
      <c r="J28" s="540"/>
      <c r="K28" s="541"/>
      <c r="L28" s="542"/>
      <c r="M28" s="542"/>
      <c r="N28" s="509"/>
      <c r="O28" s="538"/>
      <c r="P28" s="538"/>
      <c r="Q28" s="509">
        <f t="shared" si="0"/>
        <v>321097.51</v>
      </c>
      <c r="R28" s="520">
        <f t="shared" si="1"/>
        <v>321097.51</v>
      </c>
    </row>
    <row r="29" spans="1:18" x14ac:dyDescent="0.25">
      <c r="A29" s="506">
        <v>25</v>
      </c>
      <c r="B29" s="507" t="s">
        <v>181</v>
      </c>
      <c r="C29" s="506" t="s">
        <v>192</v>
      </c>
      <c r="D29" s="508" t="e">
        <f>#REF!</f>
        <v>#REF!</v>
      </c>
      <c r="E29" s="540">
        <v>183588.24</v>
      </c>
      <c r="F29" s="540"/>
      <c r="G29" s="540"/>
      <c r="H29" s="540"/>
      <c r="I29" s="540"/>
      <c r="J29" s="540"/>
      <c r="K29" s="541"/>
      <c r="L29" s="542"/>
      <c r="M29" s="542"/>
      <c r="N29" s="509"/>
      <c r="O29" s="538"/>
      <c r="P29" s="538"/>
      <c r="Q29" s="509">
        <f t="shared" si="0"/>
        <v>183588.24</v>
      </c>
      <c r="R29" s="520">
        <f t="shared" si="1"/>
        <v>183588.24</v>
      </c>
    </row>
    <row r="30" spans="1:18" x14ac:dyDescent="0.25">
      <c r="A30" s="506">
        <v>26</v>
      </c>
      <c r="B30" s="507" t="s">
        <v>182</v>
      </c>
      <c r="C30" s="506" t="s">
        <v>202</v>
      </c>
      <c r="D30" s="508" t="e">
        <f>#REF!</f>
        <v>#REF!</v>
      </c>
      <c r="E30" s="540">
        <v>227226.19</v>
      </c>
      <c r="F30" s="540"/>
      <c r="G30" s="540"/>
      <c r="H30" s="540"/>
      <c r="I30" s="540"/>
      <c r="J30" s="540"/>
      <c r="K30" s="541"/>
      <c r="L30" s="542"/>
      <c r="M30" s="542"/>
      <c r="N30" s="509"/>
      <c r="O30" s="538"/>
      <c r="P30" s="538"/>
      <c r="Q30" s="509">
        <f t="shared" si="0"/>
        <v>227226.19</v>
      </c>
      <c r="R30" s="520">
        <f t="shared" si="1"/>
        <v>227226.19</v>
      </c>
    </row>
    <row r="31" spans="1:18" x14ac:dyDescent="0.25">
      <c r="A31" s="506">
        <v>27</v>
      </c>
      <c r="B31" s="507" t="s">
        <v>183</v>
      </c>
      <c r="C31" s="506" t="s">
        <v>323</v>
      </c>
      <c r="D31" s="508" t="e">
        <f>#REF!</f>
        <v>#REF!</v>
      </c>
      <c r="E31" s="540">
        <v>458603.06</v>
      </c>
      <c r="F31" s="540"/>
      <c r="G31" s="540"/>
      <c r="H31" s="540"/>
      <c r="I31" s="540"/>
      <c r="J31" s="540"/>
      <c r="K31" s="541"/>
      <c r="L31" s="542"/>
      <c r="M31" s="542"/>
      <c r="N31" s="509"/>
      <c r="O31" s="538"/>
      <c r="P31" s="538"/>
      <c r="Q31" s="509">
        <f t="shared" si="0"/>
        <v>458603.06</v>
      </c>
      <c r="R31" s="520">
        <f t="shared" si="1"/>
        <v>458603.06</v>
      </c>
    </row>
    <row r="32" spans="1:18" x14ac:dyDescent="0.25">
      <c r="A32" s="506">
        <v>28</v>
      </c>
      <c r="B32" s="507" t="s">
        <v>184</v>
      </c>
      <c r="C32" s="506" t="s">
        <v>220</v>
      </c>
      <c r="D32" s="508" t="e">
        <f>#REF!</f>
        <v>#REF!</v>
      </c>
      <c r="E32" s="540">
        <v>501572.04</v>
      </c>
      <c r="F32" s="540"/>
      <c r="G32" s="540"/>
      <c r="H32" s="540"/>
      <c r="I32" s="540"/>
      <c r="J32" s="540"/>
      <c r="K32" s="541"/>
      <c r="L32" s="542"/>
      <c r="M32" s="542"/>
      <c r="N32" s="509"/>
      <c r="O32" s="538"/>
      <c r="P32" s="538"/>
      <c r="Q32" s="509">
        <f t="shared" si="0"/>
        <v>501572.04</v>
      </c>
      <c r="R32" s="520">
        <f t="shared" si="1"/>
        <v>501572.04</v>
      </c>
    </row>
    <row r="33" spans="1:26" x14ac:dyDescent="0.25">
      <c r="A33" s="506">
        <v>29</v>
      </c>
      <c r="B33" s="507">
        <v>4002</v>
      </c>
      <c r="C33" s="506" t="s">
        <v>219</v>
      </c>
      <c r="D33" s="508" t="e">
        <f>#REF!</f>
        <v>#REF!</v>
      </c>
      <c r="E33" s="540">
        <v>777532.13</v>
      </c>
      <c r="F33" s="540"/>
      <c r="G33" s="540"/>
      <c r="H33" s="540"/>
      <c r="I33" s="540"/>
      <c r="J33" s="540"/>
      <c r="K33" s="541"/>
      <c r="L33" s="542"/>
      <c r="M33" s="542"/>
      <c r="N33" s="509"/>
      <c r="O33" s="538"/>
      <c r="P33" s="538"/>
      <c r="Q33" s="509">
        <f t="shared" si="0"/>
        <v>777532.13</v>
      </c>
      <c r="R33" s="520">
        <f t="shared" si="1"/>
        <v>777532.13</v>
      </c>
    </row>
    <row r="34" spans="1:26" x14ac:dyDescent="0.25">
      <c r="A34" s="506">
        <v>30</v>
      </c>
      <c r="B34" s="507">
        <v>4012</v>
      </c>
      <c r="C34" s="506" t="s">
        <v>222</v>
      </c>
      <c r="D34" s="508" t="e">
        <f>#REF!</f>
        <v>#REF!</v>
      </c>
      <c r="E34" s="540">
        <v>442138</v>
      </c>
      <c r="F34" s="540"/>
      <c r="G34" s="540"/>
      <c r="H34" s="540"/>
      <c r="I34" s="540"/>
      <c r="J34" s="540"/>
      <c r="K34" s="541"/>
      <c r="L34" s="542"/>
      <c r="M34" s="542"/>
      <c r="N34" s="509"/>
      <c r="O34" s="538"/>
      <c r="P34" s="538"/>
      <c r="Q34" s="509">
        <f t="shared" si="0"/>
        <v>442138</v>
      </c>
      <c r="R34" s="520">
        <f t="shared" si="1"/>
        <v>442138</v>
      </c>
    </row>
    <row r="35" spans="1:26" x14ac:dyDescent="0.25">
      <c r="A35" s="506">
        <v>31</v>
      </c>
      <c r="B35" s="507">
        <v>4013</v>
      </c>
      <c r="C35" s="506" t="s">
        <v>224</v>
      </c>
      <c r="D35" s="508" t="e">
        <f>#REF!</f>
        <v>#REF!</v>
      </c>
      <c r="E35" s="540">
        <v>654398.57999999996</v>
      </c>
      <c r="F35" s="540"/>
      <c r="G35" s="540"/>
      <c r="H35" s="540"/>
      <c r="I35" s="540"/>
      <c r="J35" s="540"/>
      <c r="K35" s="541"/>
      <c r="L35" s="542"/>
      <c r="M35" s="542"/>
      <c r="N35" s="509"/>
      <c r="O35" s="538"/>
      <c r="P35" s="538"/>
      <c r="Q35" s="509">
        <f t="shared" si="0"/>
        <v>654398.57999999996</v>
      </c>
      <c r="R35" s="520">
        <f t="shared" si="1"/>
        <v>654398.57999999996</v>
      </c>
    </row>
    <row r="36" spans="1:26" x14ac:dyDescent="0.25">
      <c r="A36" s="506">
        <v>32</v>
      </c>
      <c r="B36" s="507">
        <v>4020</v>
      </c>
      <c r="C36" s="506" t="s">
        <v>329</v>
      </c>
      <c r="D36" s="508" t="e">
        <f>#REF!</f>
        <v>#REF!</v>
      </c>
      <c r="E36" s="540">
        <v>848921.99</v>
      </c>
      <c r="F36" s="540"/>
      <c r="G36" s="540"/>
      <c r="H36" s="540"/>
      <c r="I36" s="540"/>
      <c r="J36" s="540"/>
      <c r="K36" s="541"/>
      <c r="L36" s="542"/>
      <c r="M36" s="542"/>
      <c r="N36" s="509"/>
      <c r="O36" s="538"/>
      <c r="P36" s="538"/>
      <c r="Q36" s="509">
        <f t="shared" si="0"/>
        <v>848921.99</v>
      </c>
      <c r="R36" s="520">
        <f t="shared" si="1"/>
        <v>848921.99</v>
      </c>
    </row>
    <row r="37" spans="1:26" x14ac:dyDescent="0.25">
      <c r="A37" s="506">
        <v>33</v>
      </c>
      <c r="B37" s="507">
        <v>4030</v>
      </c>
      <c r="C37" s="506" t="s">
        <v>317</v>
      </c>
      <c r="D37" s="508" t="e">
        <f>#REF!</f>
        <v>#REF!</v>
      </c>
      <c r="E37" s="540">
        <v>227815.64</v>
      </c>
      <c r="F37" s="540"/>
      <c r="G37" s="540"/>
      <c r="H37" s="540"/>
      <c r="I37" s="540"/>
      <c r="J37" s="540"/>
      <c r="K37" s="541"/>
      <c r="L37" s="542"/>
      <c r="M37" s="542"/>
      <c r="N37" s="509"/>
      <c r="O37" s="538"/>
      <c r="P37" s="538"/>
      <c r="Q37" s="509">
        <f t="shared" si="0"/>
        <v>227815.64</v>
      </c>
      <c r="R37" s="520">
        <f t="shared" si="1"/>
        <v>227815.64</v>
      </c>
    </row>
    <row r="38" spans="1:26" x14ac:dyDescent="0.25">
      <c r="A38" s="506">
        <v>34</v>
      </c>
      <c r="B38" s="507">
        <v>4031</v>
      </c>
      <c r="C38" s="506" t="s">
        <v>334</v>
      </c>
      <c r="D38" s="508" t="e">
        <f>#REF!</f>
        <v>#REF!</v>
      </c>
      <c r="E38" s="540">
        <v>375586.71</v>
      </c>
      <c r="F38" s="540"/>
      <c r="G38" s="540"/>
      <c r="H38" s="540"/>
      <c r="I38" s="540"/>
      <c r="J38" s="540"/>
      <c r="K38" s="541"/>
      <c r="L38" s="542"/>
      <c r="M38" s="542"/>
      <c r="N38" s="509"/>
      <c r="O38" s="538"/>
      <c r="P38" s="538"/>
      <c r="Q38" s="509">
        <f t="shared" si="0"/>
        <v>375586.71</v>
      </c>
      <c r="R38" s="520">
        <f t="shared" si="1"/>
        <v>375586.71</v>
      </c>
    </row>
    <row r="39" spans="1:26" x14ac:dyDescent="0.25">
      <c r="A39" s="506">
        <v>35</v>
      </c>
      <c r="B39" s="507">
        <v>4041</v>
      </c>
      <c r="C39" s="506" t="s">
        <v>226</v>
      </c>
      <c r="D39" s="508" t="e">
        <f>#REF!</f>
        <v>#REF!</v>
      </c>
      <c r="E39" s="540">
        <v>60968.85</v>
      </c>
      <c r="F39" s="540"/>
      <c r="G39" s="540"/>
      <c r="H39" s="540"/>
      <c r="I39" s="540"/>
      <c r="J39" s="540"/>
      <c r="K39" s="541"/>
      <c r="L39" s="542"/>
      <c r="M39" s="542"/>
      <c r="N39" s="509"/>
      <c r="O39" s="538"/>
      <c r="P39" s="538"/>
      <c r="Q39" s="509">
        <f t="shared" si="0"/>
        <v>60968.85</v>
      </c>
      <c r="R39" s="520">
        <f t="shared" si="1"/>
        <v>60968.85</v>
      </c>
    </row>
    <row r="40" spans="1:26" x14ac:dyDescent="0.25">
      <c r="A40" s="506">
        <v>36</v>
      </c>
      <c r="B40" s="507">
        <v>4050</v>
      </c>
      <c r="C40" s="506" t="s">
        <v>217</v>
      </c>
      <c r="D40" s="508" t="e">
        <f>#REF!</f>
        <v>#REF!</v>
      </c>
      <c r="E40" s="540">
        <v>547951.48</v>
      </c>
      <c r="F40" s="540"/>
      <c r="G40" s="540"/>
      <c r="H40" s="540"/>
      <c r="I40" s="540"/>
      <c r="J40" s="540"/>
      <c r="K40" s="541"/>
      <c r="L40" s="542"/>
      <c r="M40" s="542"/>
      <c r="N40" s="509"/>
      <c r="O40" s="538"/>
      <c r="P40" s="538"/>
      <c r="Q40" s="509">
        <f t="shared" si="0"/>
        <v>547951.48</v>
      </c>
      <c r="R40" s="520">
        <f t="shared" si="1"/>
        <v>547951.48</v>
      </c>
    </row>
    <row r="41" spans="1:26" x14ac:dyDescent="0.25">
      <c r="A41" s="506">
        <v>37</v>
      </c>
      <c r="B41" s="507">
        <v>4051</v>
      </c>
      <c r="C41" s="506" t="s">
        <v>215</v>
      </c>
      <c r="D41" s="508" t="e">
        <f>#REF!</f>
        <v>#REF!</v>
      </c>
      <c r="E41" s="540">
        <v>601326.9</v>
      </c>
      <c r="F41" s="540"/>
      <c r="G41" s="540"/>
      <c r="H41" s="540"/>
      <c r="I41" s="540"/>
      <c r="J41" s="540"/>
      <c r="K41" s="541"/>
      <c r="L41" s="542"/>
      <c r="M41" s="542"/>
      <c r="N41" s="509"/>
      <c r="O41" s="538"/>
      <c r="P41" s="538"/>
      <c r="Q41" s="509">
        <f t="shared" si="0"/>
        <v>601326.9</v>
      </c>
      <c r="R41" s="520">
        <f t="shared" si="1"/>
        <v>601326.9</v>
      </c>
    </row>
    <row r="42" spans="1:26" x14ac:dyDescent="0.25">
      <c r="A42" s="506">
        <v>38</v>
      </c>
      <c r="B42" s="507">
        <v>4061</v>
      </c>
      <c r="C42" s="506" t="s">
        <v>331</v>
      </c>
      <c r="D42" s="508" t="e">
        <f>#REF!</f>
        <v>#REF!</v>
      </c>
      <c r="E42" s="540">
        <v>685584.55</v>
      </c>
      <c r="F42" s="540"/>
      <c r="G42" s="540"/>
      <c r="H42" s="540"/>
      <c r="I42" s="540"/>
      <c r="J42" s="540"/>
      <c r="K42" s="541"/>
      <c r="L42" s="542"/>
      <c r="M42" s="542"/>
      <c r="N42" s="509"/>
      <c r="O42" s="538"/>
      <c r="P42" s="538"/>
      <c r="Q42" s="509">
        <f>SUM(E42:P42)</f>
        <v>685584.55</v>
      </c>
      <c r="R42" s="520">
        <f t="shared" si="1"/>
        <v>685584.55</v>
      </c>
    </row>
    <row r="43" spans="1:26" x14ac:dyDescent="0.25">
      <c r="A43" s="506">
        <v>39</v>
      </c>
      <c r="B43" s="507">
        <v>4080</v>
      </c>
      <c r="C43" s="506" t="s">
        <v>238</v>
      </c>
      <c r="D43" s="508" t="e">
        <f>#REF!</f>
        <v>#REF!</v>
      </c>
      <c r="E43" s="540">
        <v>191555.8</v>
      </c>
      <c r="F43" s="540"/>
      <c r="G43" s="540"/>
      <c r="H43" s="540"/>
      <c r="I43" s="540"/>
      <c r="J43" s="540"/>
      <c r="K43" s="541"/>
      <c r="L43" s="542"/>
      <c r="M43" s="542"/>
      <c r="N43" s="509"/>
      <c r="O43" s="538"/>
      <c r="P43" s="538"/>
      <c r="Q43" s="509">
        <f t="shared" si="0"/>
        <v>191555.8</v>
      </c>
      <c r="R43" s="520">
        <f t="shared" si="1"/>
        <v>191555.8</v>
      </c>
    </row>
    <row r="44" spans="1:26" x14ac:dyDescent="0.25">
      <c r="A44" s="506">
        <v>40</v>
      </c>
      <c r="B44" s="507">
        <v>4081</v>
      </c>
      <c r="C44" s="506" t="s">
        <v>235</v>
      </c>
      <c r="D44" s="508" t="e">
        <f>#REF!</f>
        <v>#REF!</v>
      </c>
      <c r="E44" s="540">
        <v>80762.73</v>
      </c>
      <c r="F44" s="540"/>
      <c r="G44" s="540"/>
      <c r="H44" s="540"/>
      <c r="I44" s="540"/>
      <c r="J44" s="540"/>
      <c r="K44" s="541"/>
      <c r="L44" s="542"/>
      <c r="M44" s="542"/>
      <c r="N44" s="509"/>
      <c r="O44" s="538"/>
      <c r="P44" s="538"/>
      <c r="Q44" s="509">
        <f t="shared" si="0"/>
        <v>80762.73</v>
      </c>
      <c r="R44" s="520">
        <f t="shared" si="1"/>
        <v>80762.73</v>
      </c>
    </row>
    <row r="45" spans="1:26" x14ac:dyDescent="0.25">
      <c r="A45" s="506">
        <v>41</v>
      </c>
      <c r="B45" s="507">
        <v>4090</v>
      </c>
      <c r="C45" s="506" t="s">
        <v>293</v>
      </c>
      <c r="D45" s="508" t="e">
        <f>#REF!</f>
        <v>#REF!</v>
      </c>
      <c r="E45" s="540">
        <v>224404.48000000001</v>
      </c>
      <c r="F45" s="540"/>
      <c r="G45" s="540"/>
      <c r="H45" s="540"/>
      <c r="I45" s="540"/>
      <c r="J45" s="540"/>
      <c r="K45" s="541"/>
      <c r="L45" s="542"/>
      <c r="M45" s="542"/>
      <c r="N45" s="509"/>
      <c r="O45" s="538"/>
      <c r="P45" s="538"/>
      <c r="Q45" s="509">
        <f t="shared" si="0"/>
        <v>224404.48000000001</v>
      </c>
      <c r="R45" s="520">
        <f t="shared" si="1"/>
        <v>224404.48000000001</v>
      </c>
    </row>
    <row r="46" spans="1:26" x14ac:dyDescent="0.25">
      <c r="A46" s="506">
        <v>42</v>
      </c>
      <c r="B46" s="507">
        <v>4091</v>
      </c>
      <c r="C46" s="506" t="s">
        <v>276</v>
      </c>
      <c r="D46" s="508" t="e">
        <f>#REF!</f>
        <v>#REF!</v>
      </c>
      <c r="E46" s="540">
        <v>299464.48</v>
      </c>
      <c r="F46" s="540"/>
      <c r="G46" s="540"/>
      <c r="H46" s="540"/>
      <c r="I46" s="540"/>
      <c r="J46" s="540"/>
      <c r="K46" s="541"/>
      <c r="L46" s="542"/>
      <c r="M46" s="542"/>
      <c r="N46" s="509"/>
      <c r="O46" s="538"/>
      <c r="P46" s="538"/>
      <c r="Q46" s="509">
        <f t="shared" si="0"/>
        <v>299464.48</v>
      </c>
      <c r="R46" s="520">
        <f t="shared" si="1"/>
        <v>299464.48</v>
      </c>
    </row>
    <row r="47" spans="1:26" x14ac:dyDescent="0.25">
      <c r="A47" s="506">
        <v>43</v>
      </c>
      <c r="B47" s="507">
        <v>4100</v>
      </c>
      <c r="C47" s="506" t="s">
        <v>294</v>
      </c>
      <c r="D47" s="508" t="e">
        <f>#REF!</f>
        <v>#REF!</v>
      </c>
      <c r="E47" s="540">
        <v>267680.53000000003</v>
      </c>
      <c r="F47" s="540"/>
      <c r="G47" s="540"/>
      <c r="H47" s="540"/>
      <c r="I47" s="540"/>
      <c r="J47" s="540"/>
      <c r="K47" s="541"/>
      <c r="L47" s="542"/>
      <c r="M47" s="542"/>
      <c r="N47" s="509"/>
      <c r="O47" s="538"/>
      <c r="P47" s="538"/>
      <c r="Q47" s="509">
        <f t="shared" si="0"/>
        <v>267680.53000000003</v>
      </c>
      <c r="R47" s="520">
        <f t="shared" si="1"/>
        <v>267680.53000000003</v>
      </c>
    </row>
    <row r="48" spans="1:26" x14ac:dyDescent="0.25">
      <c r="A48" s="506">
        <v>44</v>
      </c>
      <c r="B48" s="548">
        <v>4102</v>
      </c>
      <c r="C48" s="546" t="s">
        <v>295</v>
      </c>
      <c r="D48" s="508" t="e">
        <f>#REF!</f>
        <v>#REF!</v>
      </c>
      <c r="E48" s="545">
        <v>83913.03</v>
      </c>
      <c r="F48" s="540"/>
      <c r="G48" s="540"/>
      <c r="H48" s="540"/>
      <c r="I48" s="540"/>
      <c r="J48" s="540"/>
      <c r="K48" s="541"/>
      <c r="L48" s="542"/>
      <c r="M48" s="542"/>
      <c r="N48" s="509"/>
      <c r="O48" s="538"/>
      <c r="P48" s="538"/>
      <c r="Q48" s="509">
        <f t="shared" si="0"/>
        <v>83913.03</v>
      </c>
      <c r="R48" s="520">
        <f t="shared" si="1"/>
        <v>83913.03</v>
      </c>
      <c r="S48" s="547" t="s">
        <v>517</v>
      </c>
      <c r="T48" s="546"/>
      <c r="U48" s="546"/>
      <c r="V48" s="546"/>
      <c r="W48" s="546"/>
      <c r="X48" s="546"/>
      <c r="Y48" s="546"/>
      <c r="Z48" s="546"/>
    </row>
    <row r="49" spans="1:18" x14ac:dyDescent="0.25">
      <c r="A49" s="506">
        <v>45</v>
      </c>
      <c r="B49" s="507">
        <v>4103</v>
      </c>
      <c r="C49" s="506" t="s">
        <v>307</v>
      </c>
      <c r="D49" s="508" t="e">
        <f>#REF!</f>
        <v>#REF!</v>
      </c>
      <c r="E49" s="540">
        <v>703538.19</v>
      </c>
      <c r="F49" s="540"/>
      <c r="G49" s="540"/>
      <c r="H49" s="540"/>
      <c r="I49" s="540"/>
      <c r="J49" s="540"/>
      <c r="K49" s="541"/>
      <c r="L49" s="542"/>
      <c r="M49" s="542"/>
      <c r="N49" s="520"/>
      <c r="O49" s="542"/>
      <c r="P49" s="542"/>
      <c r="Q49" s="520">
        <f t="shared" si="0"/>
        <v>703538.19</v>
      </c>
      <c r="R49" s="520">
        <f t="shared" si="1"/>
        <v>703538.19</v>
      </c>
    </row>
    <row r="50" spans="1:18" x14ac:dyDescent="0.25">
      <c r="A50" s="506">
        <v>46</v>
      </c>
      <c r="B50" s="507">
        <v>4111</v>
      </c>
      <c r="C50" s="506" t="s">
        <v>324</v>
      </c>
      <c r="D50" s="508" t="e">
        <f>#REF!</f>
        <v>#REF!</v>
      </c>
      <c r="E50" s="540">
        <v>202038.36</v>
      </c>
      <c r="F50" s="540"/>
      <c r="G50" s="540"/>
      <c r="H50" s="540"/>
      <c r="I50" s="540"/>
      <c r="J50" s="540"/>
      <c r="K50" s="541"/>
      <c r="L50" s="542"/>
      <c r="M50" s="542"/>
      <c r="N50" s="509"/>
      <c r="O50" s="538"/>
      <c r="P50" s="538"/>
      <c r="Q50" s="509">
        <f t="shared" si="0"/>
        <v>202038.36</v>
      </c>
      <c r="R50" s="520">
        <f t="shared" si="1"/>
        <v>202038.36</v>
      </c>
    </row>
    <row r="51" spans="1:18" x14ac:dyDescent="0.25">
      <c r="A51" s="506">
        <v>47</v>
      </c>
      <c r="B51" s="507">
        <v>4131</v>
      </c>
      <c r="C51" s="506" t="s">
        <v>356</v>
      </c>
      <c r="D51" s="508" t="e">
        <f>#REF!</f>
        <v>#REF!</v>
      </c>
      <c r="E51" s="540">
        <v>44299.33</v>
      </c>
      <c r="F51" s="540"/>
      <c r="G51" s="540"/>
      <c r="H51" s="540"/>
      <c r="I51" s="540"/>
      <c r="J51" s="540"/>
      <c r="K51" s="541"/>
      <c r="L51" s="542"/>
      <c r="M51" s="542"/>
      <c r="N51" s="509"/>
      <c r="O51" s="538"/>
      <c r="P51" s="538"/>
      <c r="Q51" s="509">
        <f t="shared" si="0"/>
        <v>44299.33</v>
      </c>
      <c r="R51" s="520">
        <f t="shared" si="1"/>
        <v>44299.33</v>
      </c>
    </row>
    <row r="53" spans="1:18" x14ac:dyDescent="0.25">
      <c r="D53" s="508" t="e">
        <f t="shared" ref="D53:R53" si="2">SUM(D5:D52)</f>
        <v>#REF!</v>
      </c>
      <c r="E53" s="508">
        <f t="shared" si="2"/>
        <v>17100495.510000002</v>
      </c>
      <c r="F53" s="508">
        <f t="shared" si="2"/>
        <v>0</v>
      </c>
      <c r="G53" s="508">
        <f t="shared" si="2"/>
        <v>0</v>
      </c>
      <c r="H53" s="508">
        <f t="shared" si="2"/>
        <v>0</v>
      </c>
      <c r="I53" s="508">
        <f t="shared" si="2"/>
        <v>0</v>
      </c>
      <c r="J53" s="508">
        <f t="shared" si="2"/>
        <v>0</v>
      </c>
      <c r="K53" s="521">
        <f t="shared" si="2"/>
        <v>0</v>
      </c>
      <c r="L53" s="508">
        <f t="shared" si="2"/>
        <v>0</v>
      </c>
      <c r="M53" s="508">
        <f t="shared" si="2"/>
        <v>0</v>
      </c>
      <c r="N53" s="508">
        <f t="shared" si="2"/>
        <v>0</v>
      </c>
      <c r="O53" s="508">
        <f t="shared" si="2"/>
        <v>0</v>
      </c>
      <c r="P53" s="508">
        <f t="shared" si="2"/>
        <v>0</v>
      </c>
      <c r="Q53" s="508">
        <f t="shared" si="2"/>
        <v>17100495.510000002</v>
      </c>
      <c r="R53" s="508">
        <f t="shared" si="2"/>
        <v>17100495.510000002</v>
      </c>
    </row>
    <row r="55" spans="1:18" x14ac:dyDescent="0.25">
      <c r="I55" s="517" t="s">
        <v>290</v>
      </c>
      <c r="J55" s="510" t="e">
        <f>#REF!</f>
        <v>#REF!</v>
      </c>
      <c r="L55" s="511"/>
    </row>
    <row r="56" spans="1:18" x14ac:dyDescent="0.25">
      <c r="I56" s="517" t="s">
        <v>491</v>
      </c>
      <c r="J56" s="513" t="e">
        <f>D53</f>
        <v>#REF!</v>
      </c>
      <c r="L56" s="511"/>
    </row>
    <row r="57" spans="1:18" x14ac:dyDescent="0.25">
      <c r="I57" s="517" t="s">
        <v>492</v>
      </c>
      <c r="J57" s="512" t="e">
        <f>J56/12</f>
        <v>#REF!</v>
      </c>
      <c r="K57" s="522"/>
      <c r="L57" s="511"/>
    </row>
    <row r="58" spans="1:18" x14ac:dyDescent="0.25">
      <c r="I58" s="517" t="s">
        <v>493</v>
      </c>
      <c r="J58" s="513">
        <f>E53</f>
        <v>17100495.510000002</v>
      </c>
      <c r="L58" s="511"/>
    </row>
    <row r="59" spans="1:18" x14ac:dyDescent="0.25">
      <c r="J59" s="512" t="e">
        <f>J57-J58</f>
        <v>#REF!</v>
      </c>
      <c r="K59" s="519" t="s">
        <v>489</v>
      </c>
      <c r="L59" s="511"/>
    </row>
    <row r="60" spans="1:18" x14ac:dyDescent="0.25">
      <c r="J60" s="511"/>
      <c r="L60" s="511"/>
    </row>
    <row r="61" spans="1:18" x14ac:dyDescent="0.25">
      <c r="D61" s="523"/>
      <c r="J61" s="511"/>
      <c r="L61" s="511"/>
    </row>
    <row r="65" spans="1:18" x14ac:dyDescent="0.25">
      <c r="N65" s="539" t="s">
        <v>510</v>
      </c>
    </row>
    <row r="67" spans="1:18" ht="45" x14ac:dyDescent="0.25">
      <c r="A67" s="514" t="s">
        <v>310</v>
      </c>
      <c r="B67" s="515" t="s">
        <v>310</v>
      </c>
      <c r="C67" s="514" t="s">
        <v>310</v>
      </c>
      <c r="D67" s="525" t="s">
        <v>290</v>
      </c>
      <c r="E67" s="525" t="s">
        <v>477</v>
      </c>
      <c r="F67" s="515" t="s">
        <v>478</v>
      </c>
      <c r="G67" s="515" t="s">
        <v>479</v>
      </c>
      <c r="H67" s="515" t="s">
        <v>480</v>
      </c>
      <c r="I67" s="515" t="s">
        <v>481</v>
      </c>
      <c r="J67" s="515" t="s">
        <v>482</v>
      </c>
      <c r="K67" s="526" t="s">
        <v>483</v>
      </c>
      <c r="L67" s="515" t="s">
        <v>484</v>
      </c>
      <c r="M67" s="515" t="s">
        <v>485</v>
      </c>
      <c r="N67" s="515" t="s">
        <v>486</v>
      </c>
      <c r="O67" s="515" t="s">
        <v>487</v>
      </c>
      <c r="P67" s="515" t="s">
        <v>488</v>
      </c>
      <c r="Q67" s="515" t="s">
        <v>8</v>
      </c>
      <c r="R67" s="516" t="s">
        <v>490</v>
      </c>
    </row>
    <row r="68" spans="1:18" x14ac:dyDescent="0.25">
      <c r="A68" s="506">
        <v>1</v>
      </c>
      <c r="B68" s="507" t="s">
        <v>159</v>
      </c>
      <c r="C68" s="506" t="s">
        <v>191</v>
      </c>
      <c r="D68" s="508">
        <v>8926878.6900000013</v>
      </c>
      <c r="E68" s="540"/>
      <c r="F68" s="540"/>
      <c r="G68" s="540"/>
      <c r="H68" s="540"/>
      <c r="I68" s="540"/>
      <c r="J68" s="540"/>
      <c r="K68" s="541"/>
      <c r="L68" s="542"/>
      <c r="M68" s="542"/>
      <c r="N68" s="520"/>
      <c r="O68" s="538"/>
      <c r="Q68" s="509">
        <f>SUM(E68:P68)</f>
        <v>0</v>
      </c>
      <c r="R68" s="520">
        <f>SUM(E68:M68)</f>
        <v>0</v>
      </c>
    </row>
    <row r="69" spans="1:18" x14ac:dyDescent="0.25">
      <c r="A69" s="506">
        <v>2</v>
      </c>
      <c r="B69" s="507" t="s">
        <v>160</v>
      </c>
      <c r="C69" s="506" t="s">
        <v>193</v>
      </c>
      <c r="D69" s="508">
        <v>1154174.5099999998</v>
      </c>
      <c r="E69" s="540"/>
      <c r="F69" s="540"/>
      <c r="G69" s="540"/>
      <c r="H69" s="540"/>
      <c r="I69" s="540"/>
      <c r="J69" s="540"/>
      <c r="K69" s="541"/>
      <c r="L69" s="542"/>
      <c r="M69" s="542"/>
      <c r="N69" s="520"/>
      <c r="O69" s="538"/>
      <c r="Q69" s="509">
        <f t="shared" ref="Q69:Q71" si="3">SUM(E69:P69)</f>
        <v>0</v>
      </c>
      <c r="R69" s="520">
        <f t="shared" ref="R69:R113" si="4">SUM(E69:M69)</f>
        <v>0</v>
      </c>
    </row>
    <row r="70" spans="1:18" x14ac:dyDescent="0.25">
      <c r="A70" s="506">
        <v>3</v>
      </c>
      <c r="B70" s="507" t="s">
        <v>161</v>
      </c>
      <c r="C70" s="506" t="s">
        <v>194</v>
      </c>
      <c r="D70" s="508">
        <v>949039.49000000011</v>
      </c>
      <c r="E70" s="540"/>
      <c r="F70" s="540"/>
      <c r="G70" s="540"/>
      <c r="H70" s="540"/>
      <c r="I70" s="540"/>
      <c r="J70" s="540"/>
      <c r="K70" s="541"/>
      <c r="L70" s="542"/>
      <c r="M70" s="542"/>
      <c r="N70" s="520"/>
      <c r="O70" s="538"/>
      <c r="Q70" s="509">
        <f t="shared" si="3"/>
        <v>0</v>
      </c>
      <c r="R70" s="520">
        <f t="shared" si="4"/>
        <v>0</v>
      </c>
    </row>
    <row r="71" spans="1:18" x14ac:dyDescent="0.25">
      <c r="A71" s="506">
        <v>4</v>
      </c>
      <c r="B71" s="507" t="s">
        <v>162</v>
      </c>
      <c r="C71" s="506" t="s">
        <v>195</v>
      </c>
      <c r="D71" s="508">
        <v>4479826.0900000008</v>
      </c>
      <c r="E71" s="540"/>
      <c r="F71" s="540"/>
      <c r="G71" s="540"/>
      <c r="H71" s="540"/>
      <c r="I71" s="540"/>
      <c r="J71" s="540"/>
      <c r="K71" s="541"/>
      <c r="L71" s="542"/>
      <c r="M71" s="542"/>
      <c r="N71" s="520"/>
      <c r="O71" s="538"/>
      <c r="Q71" s="509">
        <f t="shared" si="3"/>
        <v>0</v>
      </c>
      <c r="R71" s="520">
        <f t="shared" si="4"/>
        <v>0</v>
      </c>
    </row>
    <row r="72" spans="1:18" x14ac:dyDescent="0.25">
      <c r="A72" s="506">
        <v>5</v>
      </c>
      <c r="B72" s="507" t="s">
        <v>163</v>
      </c>
      <c r="C72" s="506" t="s">
        <v>291</v>
      </c>
      <c r="D72" s="508">
        <v>5258900.4700000007</v>
      </c>
      <c r="E72" s="540"/>
      <c r="F72" s="540"/>
      <c r="G72" s="540"/>
      <c r="H72" s="540"/>
      <c r="I72" s="540"/>
      <c r="J72" s="540"/>
      <c r="K72" s="541"/>
      <c r="L72" s="542"/>
      <c r="M72" s="542"/>
      <c r="N72" s="520"/>
      <c r="O72" s="538"/>
      <c r="Q72" s="509">
        <f>SUM(E72:P72)</f>
        <v>0</v>
      </c>
      <c r="R72" s="520">
        <f t="shared" si="4"/>
        <v>0</v>
      </c>
    </row>
    <row r="73" spans="1:18" x14ac:dyDescent="0.25">
      <c r="A73" s="506">
        <v>6</v>
      </c>
      <c r="B73" s="507" t="s">
        <v>164</v>
      </c>
      <c r="C73" s="506" t="s">
        <v>359</v>
      </c>
      <c r="D73" s="508">
        <v>5502649.79</v>
      </c>
      <c r="E73" s="540"/>
      <c r="F73" s="540"/>
      <c r="G73" s="540"/>
      <c r="H73" s="540"/>
      <c r="I73" s="540"/>
      <c r="J73" s="540"/>
      <c r="K73" s="541"/>
      <c r="L73" s="542"/>
      <c r="M73" s="542"/>
      <c r="N73" s="520"/>
      <c r="O73" s="538"/>
      <c r="Q73" s="509">
        <f t="shared" ref="Q73:Q104" si="5">SUM(E73:P73)</f>
        <v>0</v>
      </c>
      <c r="R73" s="520">
        <f t="shared" si="4"/>
        <v>0</v>
      </c>
    </row>
    <row r="74" spans="1:18" x14ac:dyDescent="0.25">
      <c r="A74" s="506">
        <v>7</v>
      </c>
      <c r="B74" s="507" t="s">
        <v>165</v>
      </c>
      <c r="C74" s="506" t="s">
        <v>197</v>
      </c>
      <c r="D74" s="508">
        <v>10400240.92</v>
      </c>
      <c r="E74" s="540"/>
      <c r="F74" s="540"/>
      <c r="G74" s="540"/>
      <c r="H74" s="540"/>
      <c r="I74" s="540"/>
      <c r="J74" s="540"/>
      <c r="K74" s="541"/>
      <c r="L74" s="542"/>
      <c r="M74" s="542"/>
      <c r="N74" s="520"/>
      <c r="O74" s="538"/>
      <c r="Q74" s="509">
        <f t="shared" si="5"/>
        <v>0</v>
      </c>
      <c r="R74" s="520">
        <f t="shared" si="4"/>
        <v>0</v>
      </c>
    </row>
    <row r="75" spans="1:18" x14ac:dyDescent="0.25">
      <c r="A75" s="506">
        <v>8</v>
      </c>
      <c r="B75" s="507" t="s">
        <v>166</v>
      </c>
      <c r="C75" s="506" t="s">
        <v>198</v>
      </c>
      <c r="D75" s="508">
        <v>5015430.88</v>
      </c>
      <c r="E75" s="540"/>
      <c r="F75" s="540"/>
      <c r="G75" s="540"/>
      <c r="H75" s="540"/>
      <c r="I75" s="540"/>
      <c r="J75" s="540"/>
      <c r="K75" s="541"/>
      <c r="L75" s="542"/>
      <c r="M75" s="542"/>
      <c r="N75" s="520"/>
      <c r="O75" s="538"/>
      <c r="Q75" s="509">
        <f t="shared" si="5"/>
        <v>0</v>
      </c>
      <c r="R75" s="520">
        <f t="shared" si="4"/>
        <v>0</v>
      </c>
    </row>
    <row r="76" spans="1:18" x14ac:dyDescent="0.25">
      <c r="A76" s="506">
        <v>9</v>
      </c>
      <c r="B76" s="507" t="s">
        <v>167</v>
      </c>
      <c r="C76" s="506" t="s">
        <v>366</v>
      </c>
      <c r="D76" s="508">
        <v>1025617.4299999999</v>
      </c>
      <c r="E76" s="540"/>
      <c r="F76" s="540"/>
      <c r="G76" s="540"/>
      <c r="H76" s="540"/>
      <c r="I76" s="540"/>
      <c r="J76" s="540"/>
      <c r="K76" s="541"/>
      <c r="L76" s="542"/>
      <c r="M76" s="542"/>
      <c r="N76" s="520"/>
      <c r="O76" s="538"/>
      <c r="Q76" s="509">
        <f t="shared" si="5"/>
        <v>0</v>
      </c>
      <c r="R76" s="520">
        <f t="shared" si="4"/>
        <v>0</v>
      </c>
    </row>
    <row r="77" spans="1:18" x14ac:dyDescent="0.25">
      <c r="A77" s="506">
        <v>10</v>
      </c>
      <c r="B77" s="507" t="s">
        <v>168</v>
      </c>
      <c r="C77" s="506" t="s">
        <v>365</v>
      </c>
      <c r="D77" s="508">
        <v>9028555.0899999999</v>
      </c>
      <c r="E77" s="540"/>
      <c r="F77" s="540"/>
      <c r="G77" s="540"/>
      <c r="H77" s="540"/>
      <c r="I77" s="540"/>
      <c r="J77" s="540"/>
      <c r="K77" s="541"/>
      <c r="L77" s="542"/>
      <c r="M77" s="542"/>
      <c r="N77" s="520"/>
      <c r="O77" s="538"/>
      <c r="Q77" s="509">
        <f t="shared" si="5"/>
        <v>0</v>
      </c>
      <c r="R77" s="520">
        <f t="shared" si="4"/>
        <v>0</v>
      </c>
    </row>
    <row r="78" spans="1:18" x14ac:dyDescent="0.25">
      <c r="A78" s="506">
        <v>11</v>
      </c>
      <c r="B78" s="507" t="s">
        <v>169</v>
      </c>
      <c r="C78" s="506" t="s">
        <v>201</v>
      </c>
      <c r="D78" s="508">
        <v>2206523.36</v>
      </c>
      <c r="E78" s="540"/>
      <c r="F78" s="540"/>
      <c r="G78" s="540"/>
      <c r="H78" s="540"/>
      <c r="I78" s="540"/>
      <c r="J78" s="540"/>
      <c r="K78" s="541"/>
      <c r="L78" s="542"/>
      <c r="M78" s="542"/>
      <c r="N78" s="520"/>
      <c r="O78" s="538"/>
      <c r="Q78" s="509">
        <f t="shared" si="5"/>
        <v>0</v>
      </c>
      <c r="R78" s="520">
        <f t="shared" si="4"/>
        <v>0</v>
      </c>
    </row>
    <row r="79" spans="1:18" x14ac:dyDescent="0.25">
      <c r="A79" s="506">
        <v>12</v>
      </c>
      <c r="B79" s="507" t="s">
        <v>170</v>
      </c>
      <c r="C79" s="506" t="s">
        <v>203</v>
      </c>
      <c r="D79" s="508">
        <v>399534.59</v>
      </c>
      <c r="E79" s="540"/>
      <c r="F79" s="540"/>
      <c r="G79" s="540"/>
      <c r="H79" s="540"/>
      <c r="I79" s="540"/>
      <c r="J79" s="540"/>
      <c r="K79" s="541"/>
      <c r="L79" s="542"/>
      <c r="M79" s="542"/>
      <c r="N79" s="520"/>
      <c r="O79" s="538"/>
      <c r="Q79" s="509">
        <f t="shared" si="5"/>
        <v>0</v>
      </c>
      <c r="R79" s="520">
        <f t="shared" si="4"/>
        <v>0</v>
      </c>
    </row>
    <row r="80" spans="1:18" x14ac:dyDescent="0.25">
      <c r="A80" s="506">
        <v>13</v>
      </c>
      <c r="B80" s="507" t="s">
        <v>171</v>
      </c>
      <c r="C80" s="506" t="s">
        <v>205</v>
      </c>
      <c r="D80" s="508">
        <v>1731018.0599999998</v>
      </c>
      <c r="E80" s="540"/>
      <c r="F80" s="540"/>
      <c r="G80" s="540"/>
      <c r="H80" s="540"/>
      <c r="I80" s="540"/>
      <c r="J80" s="540"/>
      <c r="K80" s="541"/>
      <c r="L80" s="542"/>
      <c r="M80" s="542"/>
      <c r="N80" s="520"/>
      <c r="O80" s="538"/>
      <c r="Q80" s="509">
        <f t="shared" si="5"/>
        <v>0</v>
      </c>
      <c r="R80" s="520">
        <f t="shared" si="4"/>
        <v>0</v>
      </c>
    </row>
    <row r="81" spans="1:18" x14ac:dyDescent="0.25">
      <c r="A81" s="506">
        <v>14</v>
      </c>
      <c r="B81" s="507" t="s">
        <v>172</v>
      </c>
      <c r="C81" s="506" t="s">
        <v>206</v>
      </c>
      <c r="D81" s="508">
        <v>4446370.5199999996</v>
      </c>
      <c r="E81" s="540"/>
      <c r="F81" s="540"/>
      <c r="G81" s="540"/>
      <c r="H81" s="540"/>
      <c r="I81" s="540"/>
      <c r="J81" s="540"/>
      <c r="K81" s="541"/>
      <c r="L81" s="542"/>
      <c r="M81" s="542"/>
      <c r="N81" s="520"/>
      <c r="O81" s="538"/>
      <c r="Q81" s="509">
        <f t="shared" si="5"/>
        <v>0</v>
      </c>
      <c r="R81" s="520">
        <f t="shared" si="4"/>
        <v>0</v>
      </c>
    </row>
    <row r="82" spans="1:18" x14ac:dyDescent="0.25">
      <c r="A82" s="506">
        <v>15</v>
      </c>
      <c r="B82" s="507" t="s">
        <v>173</v>
      </c>
      <c r="C82" s="506" t="s">
        <v>292</v>
      </c>
      <c r="D82" s="508">
        <v>5489842.3899999997</v>
      </c>
      <c r="E82" s="540"/>
      <c r="F82" s="540"/>
      <c r="G82" s="540"/>
      <c r="H82" s="540"/>
      <c r="I82" s="540"/>
      <c r="J82" s="540"/>
      <c r="K82" s="541"/>
      <c r="L82" s="542"/>
      <c r="M82" s="542"/>
      <c r="N82" s="520"/>
      <c r="O82" s="538"/>
      <c r="Q82" s="509">
        <f t="shared" si="5"/>
        <v>0</v>
      </c>
      <c r="R82" s="520">
        <f t="shared" si="4"/>
        <v>0</v>
      </c>
    </row>
    <row r="83" spans="1:18" x14ac:dyDescent="0.25">
      <c r="A83" s="506">
        <v>16</v>
      </c>
      <c r="B83" s="507" t="s">
        <v>174</v>
      </c>
      <c r="C83" s="506" t="s">
        <v>228</v>
      </c>
      <c r="D83" s="508">
        <v>988918.09000000008</v>
      </c>
      <c r="E83" s="540"/>
      <c r="F83" s="540"/>
      <c r="G83" s="540"/>
      <c r="H83" s="540"/>
      <c r="I83" s="540"/>
      <c r="J83" s="540"/>
      <c r="K83" s="541"/>
      <c r="L83" s="542"/>
      <c r="M83" s="542"/>
      <c r="N83" s="520"/>
      <c r="O83" s="538"/>
      <c r="Q83" s="509">
        <f t="shared" si="5"/>
        <v>0</v>
      </c>
      <c r="R83" s="520">
        <f t="shared" si="4"/>
        <v>0</v>
      </c>
    </row>
    <row r="84" spans="1:18" x14ac:dyDescent="0.25">
      <c r="A84" s="506">
        <v>17</v>
      </c>
      <c r="B84" s="507" t="s">
        <v>175</v>
      </c>
      <c r="C84" s="506" t="s">
        <v>196</v>
      </c>
      <c r="D84" s="508">
        <v>1121427.1400000001</v>
      </c>
      <c r="E84" s="540"/>
      <c r="F84" s="540"/>
      <c r="G84" s="540"/>
      <c r="H84" s="540"/>
      <c r="I84" s="540"/>
      <c r="J84" s="540"/>
      <c r="K84" s="541"/>
      <c r="L84" s="542"/>
      <c r="M84" s="542"/>
      <c r="N84" s="520"/>
      <c r="O84" s="538"/>
      <c r="Q84" s="509">
        <f t="shared" si="5"/>
        <v>0</v>
      </c>
      <c r="R84" s="520">
        <f t="shared" si="4"/>
        <v>0</v>
      </c>
    </row>
    <row r="85" spans="1:18" x14ac:dyDescent="0.25">
      <c r="A85" s="506">
        <v>18</v>
      </c>
      <c r="B85" s="507" t="s">
        <v>176</v>
      </c>
      <c r="C85" s="506" t="s">
        <v>190</v>
      </c>
      <c r="D85" s="508">
        <v>3140812.21</v>
      </c>
      <c r="E85" s="540"/>
      <c r="F85" s="540"/>
      <c r="G85" s="540"/>
      <c r="H85" s="540"/>
      <c r="I85" s="540"/>
      <c r="J85" s="540"/>
      <c r="K85" s="541"/>
      <c r="L85" s="542"/>
      <c r="M85" s="542"/>
      <c r="N85" s="520"/>
      <c r="O85" s="538"/>
      <c r="Q85" s="509">
        <f t="shared" si="5"/>
        <v>0</v>
      </c>
      <c r="R85" s="520">
        <f t="shared" si="4"/>
        <v>0</v>
      </c>
    </row>
    <row r="86" spans="1:18" x14ac:dyDescent="0.25">
      <c r="A86" s="506">
        <v>19</v>
      </c>
      <c r="B86" s="507" t="s">
        <v>177</v>
      </c>
      <c r="C86" s="506" t="s">
        <v>207</v>
      </c>
      <c r="D86" s="508">
        <v>3255948.0100000002</v>
      </c>
      <c r="E86" s="540"/>
      <c r="F86" s="540"/>
      <c r="G86" s="540"/>
      <c r="H86" s="540"/>
      <c r="I86" s="540"/>
      <c r="J86" s="540"/>
      <c r="K86" s="541"/>
      <c r="L86" s="542"/>
      <c r="M86" s="542"/>
      <c r="N86" s="520"/>
      <c r="O86" s="538"/>
      <c r="Q86" s="509">
        <f t="shared" si="5"/>
        <v>0</v>
      </c>
      <c r="R86" s="520">
        <f t="shared" si="4"/>
        <v>0</v>
      </c>
    </row>
    <row r="87" spans="1:18" x14ac:dyDescent="0.25">
      <c r="A87" s="506">
        <v>20</v>
      </c>
      <c r="B87" s="507" t="s">
        <v>178</v>
      </c>
      <c r="C87" s="506" t="s">
        <v>208</v>
      </c>
      <c r="D87" s="508">
        <v>3233199.14</v>
      </c>
      <c r="E87" s="540"/>
      <c r="F87" s="540"/>
      <c r="G87" s="540"/>
      <c r="H87" s="540"/>
      <c r="I87" s="540"/>
      <c r="J87" s="540"/>
      <c r="K87" s="541"/>
      <c r="L87" s="542"/>
      <c r="M87" s="542"/>
      <c r="N87" s="520"/>
      <c r="O87" s="538"/>
      <c r="Q87" s="509">
        <f t="shared" si="5"/>
        <v>0</v>
      </c>
      <c r="R87" s="520">
        <f t="shared" si="4"/>
        <v>0</v>
      </c>
    </row>
    <row r="88" spans="1:18" x14ac:dyDescent="0.25">
      <c r="A88" s="506">
        <v>21</v>
      </c>
      <c r="B88" s="507" t="s">
        <v>179</v>
      </c>
      <c r="C88" s="506" t="s">
        <v>209</v>
      </c>
      <c r="D88" s="508">
        <v>8434201.5500000007</v>
      </c>
      <c r="E88" s="540"/>
      <c r="F88" s="540"/>
      <c r="G88" s="540"/>
      <c r="H88" s="540"/>
      <c r="I88" s="540"/>
      <c r="J88" s="540"/>
      <c r="K88" s="541"/>
      <c r="L88" s="542"/>
      <c r="M88" s="542"/>
      <c r="N88" s="520"/>
      <c r="O88" s="538"/>
      <c r="Q88" s="509">
        <f t="shared" si="5"/>
        <v>0</v>
      </c>
      <c r="R88" s="520">
        <f t="shared" si="4"/>
        <v>0</v>
      </c>
    </row>
    <row r="89" spans="1:18" x14ac:dyDescent="0.25">
      <c r="A89" s="506">
        <v>22</v>
      </c>
      <c r="B89" s="507" t="s">
        <v>180</v>
      </c>
      <c r="C89" s="506" t="s">
        <v>211</v>
      </c>
      <c r="D89" s="508">
        <v>4346882.37</v>
      </c>
      <c r="E89" s="540"/>
      <c r="F89" s="540"/>
      <c r="G89" s="540"/>
      <c r="H89" s="540"/>
      <c r="I89" s="540"/>
      <c r="J89" s="540"/>
      <c r="K89" s="541"/>
      <c r="L89" s="542"/>
      <c r="M89" s="542"/>
      <c r="N89" s="520"/>
      <c r="O89" s="538"/>
      <c r="Q89" s="509">
        <f t="shared" si="5"/>
        <v>0</v>
      </c>
      <c r="R89" s="520">
        <f t="shared" si="4"/>
        <v>0</v>
      </c>
    </row>
    <row r="90" spans="1:18" x14ac:dyDescent="0.25">
      <c r="A90" s="506">
        <v>23</v>
      </c>
      <c r="B90" s="507">
        <v>3441</v>
      </c>
      <c r="C90" s="506" t="s">
        <v>229</v>
      </c>
      <c r="D90" s="508">
        <v>3852834.8000000007</v>
      </c>
      <c r="E90" s="540"/>
      <c r="F90" s="540"/>
      <c r="G90" s="540"/>
      <c r="H90" s="540"/>
      <c r="I90" s="540"/>
      <c r="J90" s="540"/>
      <c r="K90" s="541"/>
      <c r="L90" s="542"/>
      <c r="M90" s="542"/>
      <c r="N90" s="520"/>
      <c r="O90" s="538"/>
      <c r="Q90" s="509">
        <f t="shared" si="5"/>
        <v>0</v>
      </c>
      <c r="R90" s="520">
        <f t="shared" si="4"/>
        <v>0</v>
      </c>
    </row>
    <row r="91" spans="1:18" x14ac:dyDescent="0.25">
      <c r="A91" s="506">
        <v>24</v>
      </c>
      <c r="B91" s="507">
        <v>3924</v>
      </c>
      <c r="C91" s="506" t="s">
        <v>358</v>
      </c>
      <c r="D91" s="508">
        <v>2203058.8699999996</v>
      </c>
      <c r="E91" s="540"/>
      <c r="F91" s="540"/>
      <c r="G91" s="540"/>
      <c r="H91" s="540"/>
      <c r="I91" s="540"/>
      <c r="J91" s="540"/>
      <c r="K91" s="541"/>
      <c r="L91" s="542"/>
      <c r="M91" s="542"/>
      <c r="N91" s="520"/>
      <c r="O91" s="538"/>
      <c r="Q91" s="509">
        <f t="shared" si="5"/>
        <v>0</v>
      </c>
      <c r="R91" s="520">
        <f t="shared" si="4"/>
        <v>0</v>
      </c>
    </row>
    <row r="92" spans="1:18" x14ac:dyDescent="0.25">
      <c r="A92" s="506">
        <v>25</v>
      </c>
      <c r="B92" s="507" t="s">
        <v>181</v>
      </c>
      <c r="C92" s="506" t="s">
        <v>192</v>
      </c>
      <c r="D92" s="508">
        <v>2726714.2399999998</v>
      </c>
      <c r="E92" s="540"/>
      <c r="F92" s="540"/>
      <c r="G92" s="540"/>
      <c r="H92" s="540"/>
      <c r="I92" s="540"/>
      <c r="J92" s="540"/>
      <c r="K92" s="541"/>
      <c r="L92" s="542"/>
      <c r="M92" s="542"/>
      <c r="N92" s="520"/>
      <c r="O92" s="538"/>
      <c r="Q92" s="509">
        <f t="shared" si="5"/>
        <v>0</v>
      </c>
      <c r="R92" s="520">
        <f t="shared" si="4"/>
        <v>0</v>
      </c>
    </row>
    <row r="93" spans="1:18" x14ac:dyDescent="0.25">
      <c r="A93" s="506">
        <v>26</v>
      </c>
      <c r="B93" s="507" t="s">
        <v>182</v>
      </c>
      <c r="C93" s="506" t="s">
        <v>202</v>
      </c>
      <c r="D93" s="508">
        <v>5501746.0200000014</v>
      </c>
      <c r="E93" s="540"/>
      <c r="F93" s="540"/>
      <c r="G93" s="540"/>
      <c r="H93" s="540"/>
      <c r="I93" s="540"/>
      <c r="J93" s="540"/>
      <c r="K93" s="541"/>
      <c r="L93" s="542"/>
      <c r="M93" s="542"/>
      <c r="N93" s="520"/>
      <c r="O93" s="538"/>
      <c r="Q93" s="509">
        <f t="shared" si="5"/>
        <v>0</v>
      </c>
      <c r="R93" s="520">
        <f t="shared" si="4"/>
        <v>0</v>
      </c>
    </row>
    <row r="94" spans="1:18" x14ac:dyDescent="0.25">
      <c r="A94" s="506">
        <v>27</v>
      </c>
      <c r="B94" s="507" t="s">
        <v>183</v>
      </c>
      <c r="C94" s="506" t="s">
        <v>323</v>
      </c>
      <c r="D94" s="508">
        <v>6018864.4300000016</v>
      </c>
      <c r="E94" s="540"/>
      <c r="F94" s="540"/>
      <c r="G94" s="540"/>
      <c r="H94" s="540"/>
      <c r="I94" s="540"/>
      <c r="J94" s="540"/>
      <c r="K94" s="541"/>
      <c r="L94" s="542"/>
      <c r="M94" s="542"/>
      <c r="N94" s="520"/>
      <c r="O94" s="538"/>
      <c r="Q94" s="509">
        <f t="shared" si="5"/>
        <v>0</v>
      </c>
      <c r="R94" s="520">
        <f t="shared" si="4"/>
        <v>0</v>
      </c>
    </row>
    <row r="95" spans="1:18" x14ac:dyDescent="0.25">
      <c r="A95" s="506">
        <v>28</v>
      </c>
      <c r="B95" s="507" t="s">
        <v>184</v>
      </c>
      <c r="C95" s="506" t="s">
        <v>220</v>
      </c>
      <c r="D95" s="508">
        <v>9330385.5299999993</v>
      </c>
      <c r="E95" s="540"/>
      <c r="F95" s="540"/>
      <c r="G95" s="540"/>
      <c r="H95" s="540"/>
      <c r="I95" s="540"/>
      <c r="J95" s="540"/>
      <c r="K95" s="541"/>
      <c r="L95" s="542"/>
      <c r="M95" s="542"/>
      <c r="N95" s="520"/>
      <c r="O95" s="538"/>
      <c r="Q95" s="509">
        <f t="shared" si="5"/>
        <v>0</v>
      </c>
      <c r="R95" s="520">
        <f t="shared" si="4"/>
        <v>0</v>
      </c>
    </row>
    <row r="96" spans="1:18" x14ac:dyDescent="0.25">
      <c r="A96" s="506">
        <v>29</v>
      </c>
      <c r="B96" s="507">
        <v>4002</v>
      </c>
      <c r="C96" s="506" t="s">
        <v>219</v>
      </c>
      <c r="D96" s="508">
        <v>5305656.01</v>
      </c>
      <c r="E96" s="540"/>
      <c r="F96" s="540"/>
      <c r="G96" s="540"/>
      <c r="H96" s="540"/>
      <c r="I96" s="540"/>
      <c r="J96" s="540"/>
      <c r="K96" s="541"/>
      <c r="L96" s="542"/>
      <c r="M96" s="542"/>
      <c r="N96" s="520"/>
      <c r="O96" s="538"/>
      <c r="Q96" s="509">
        <f t="shared" si="5"/>
        <v>0</v>
      </c>
      <c r="R96" s="520">
        <f t="shared" si="4"/>
        <v>0</v>
      </c>
    </row>
    <row r="97" spans="1:18" x14ac:dyDescent="0.25">
      <c r="A97" s="506">
        <v>30</v>
      </c>
      <c r="B97" s="507">
        <v>4012</v>
      </c>
      <c r="C97" s="506" t="s">
        <v>222</v>
      </c>
      <c r="D97" s="508">
        <v>7850538.3399999999</v>
      </c>
      <c r="E97" s="540"/>
      <c r="F97" s="540"/>
      <c r="G97" s="540"/>
      <c r="H97" s="540"/>
      <c r="I97" s="540"/>
      <c r="J97" s="540"/>
      <c r="K97" s="541"/>
      <c r="L97" s="542"/>
      <c r="M97" s="542"/>
      <c r="N97" s="520"/>
      <c r="O97" s="538"/>
      <c r="Q97" s="509">
        <f t="shared" si="5"/>
        <v>0</v>
      </c>
      <c r="R97" s="520">
        <f t="shared" si="4"/>
        <v>0</v>
      </c>
    </row>
    <row r="98" spans="1:18" x14ac:dyDescent="0.25">
      <c r="A98" s="506">
        <v>31</v>
      </c>
      <c r="B98" s="507">
        <v>4013</v>
      </c>
      <c r="C98" s="506" t="s">
        <v>224</v>
      </c>
      <c r="D98" s="508">
        <v>10187063.860000001</v>
      </c>
      <c r="E98" s="540"/>
      <c r="F98" s="540"/>
      <c r="G98" s="540"/>
      <c r="H98" s="540"/>
      <c r="I98" s="540"/>
      <c r="J98" s="540"/>
      <c r="K98" s="541"/>
      <c r="L98" s="542"/>
      <c r="M98" s="542"/>
      <c r="N98" s="520"/>
      <c r="O98" s="538"/>
      <c r="Q98" s="509">
        <f t="shared" si="5"/>
        <v>0</v>
      </c>
      <c r="R98" s="520">
        <f t="shared" si="4"/>
        <v>0</v>
      </c>
    </row>
    <row r="99" spans="1:18" x14ac:dyDescent="0.25">
      <c r="A99" s="506">
        <v>32</v>
      </c>
      <c r="B99" s="507">
        <v>4020</v>
      </c>
      <c r="C99" s="506" t="s">
        <v>329</v>
      </c>
      <c r="D99" s="508">
        <v>2733787.6899999995</v>
      </c>
      <c r="E99" s="540"/>
      <c r="F99" s="540"/>
      <c r="G99" s="540"/>
      <c r="H99" s="540"/>
      <c r="I99" s="540"/>
      <c r="J99" s="540"/>
      <c r="K99" s="541"/>
      <c r="L99" s="542"/>
      <c r="M99" s="542"/>
      <c r="N99" s="520"/>
      <c r="O99" s="538"/>
      <c r="Q99" s="509">
        <f t="shared" si="5"/>
        <v>0</v>
      </c>
      <c r="R99" s="520">
        <f t="shared" si="4"/>
        <v>0</v>
      </c>
    </row>
    <row r="100" spans="1:18" x14ac:dyDescent="0.25">
      <c r="A100" s="506">
        <v>33</v>
      </c>
      <c r="B100" s="507">
        <v>4030</v>
      </c>
      <c r="C100" s="506" t="s">
        <v>317</v>
      </c>
      <c r="D100" s="508">
        <v>4507040.57</v>
      </c>
      <c r="E100" s="540"/>
      <c r="F100" s="540"/>
      <c r="G100" s="540"/>
      <c r="H100" s="540"/>
      <c r="I100" s="540"/>
      <c r="J100" s="540"/>
      <c r="K100" s="541"/>
      <c r="L100" s="542"/>
      <c r="M100" s="542"/>
      <c r="N100" s="520"/>
      <c r="O100" s="538"/>
      <c r="Q100" s="509">
        <f t="shared" si="5"/>
        <v>0</v>
      </c>
      <c r="R100" s="520">
        <f t="shared" si="4"/>
        <v>0</v>
      </c>
    </row>
    <row r="101" spans="1:18" x14ac:dyDescent="0.25">
      <c r="A101" s="506">
        <v>34</v>
      </c>
      <c r="B101" s="507">
        <v>4031</v>
      </c>
      <c r="C101" s="506" t="s">
        <v>334</v>
      </c>
      <c r="D101" s="508">
        <v>731626.22000000009</v>
      </c>
      <c r="E101" s="540"/>
      <c r="F101" s="540"/>
      <c r="G101" s="540"/>
      <c r="H101" s="540"/>
      <c r="I101" s="540"/>
      <c r="J101" s="540"/>
      <c r="K101" s="541"/>
      <c r="L101" s="542"/>
      <c r="M101" s="542"/>
      <c r="N101" s="520"/>
      <c r="O101" s="538"/>
      <c r="Q101" s="509">
        <f t="shared" si="5"/>
        <v>0</v>
      </c>
      <c r="R101" s="520">
        <f t="shared" si="4"/>
        <v>0</v>
      </c>
    </row>
    <row r="102" spans="1:18" x14ac:dyDescent="0.25">
      <c r="A102" s="506">
        <v>35</v>
      </c>
      <c r="B102" s="507">
        <v>4041</v>
      </c>
      <c r="C102" s="506" t="s">
        <v>226</v>
      </c>
      <c r="D102" s="508">
        <v>6575417.7600000016</v>
      </c>
      <c r="E102" s="540"/>
      <c r="F102" s="540"/>
      <c r="G102" s="540"/>
      <c r="H102" s="540"/>
      <c r="I102" s="540"/>
      <c r="J102" s="540"/>
      <c r="K102" s="541"/>
      <c r="L102" s="542"/>
      <c r="M102" s="542"/>
      <c r="N102" s="520"/>
      <c r="O102" s="538"/>
      <c r="Q102" s="509">
        <f t="shared" si="5"/>
        <v>0</v>
      </c>
      <c r="R102" s="520">
        <f t="shared" si="4"/>
        <v>0</v>
      </c>
    </row>
    <row r="103" spans="1:18" x14ac:dyDescent="0.25">
      <c r="A103" s="506">
        <v>36</v>
      </c>
      <c r="B103" s="507">
        <v>4050</v>
      </c>
      <c r="C103" s="506" t="s">
        <v>217</v>
      </c>
      <c r="D103" s="508">
        <v>7215922.8099999996</v>
      </c>
      <c r="E103" s="540"/>
      <c r="F103" s="540"/>
      <c r="G103" s="540"/>
      <c r="H103" s="540"/>
      <c r="I103" s="540"/>
      <c r="J103" s="540"/>
      <c r="K103" s="541"/>
      <c r="L103" s="542"/>
      <c r="M103" s="542"/>
      <c r="N103" s="520"/>
      <c r="O103" s="538"/>
      <c r="Q103" s="509">
        <f t="shared" si="5"/>
        <v>0</v>
      </c>
      <c r="R103" s="520">
        <f t="shared" si="4"/>
        <v>0</v>
      </c>
    </row>
    <row r="104" spans="1:18" x14ac:dyDescent="0.25">
      <c r="A104" s="506">
        <v>37</v>
      </c>
      <c r="B104" s="507">
        <v>4051</v>
      </c>
      <c r="C104" s="506" t="s">
        <v>215</v>
      </c>
      <c r="D104" s="508">
        <v>8227014.5800000001</v>
      </c>
      <c r="E104" s="540"/>
      <c r="F104" s="540"/>
      <c r="G104" s="540"/>
      <c r="H104" s="540"/>
      <c r="I104" s="540"/>
      <c r="J104" s="540"/>
      <c r="K104" s="541"/>
      <c r="L104" s="542"/>
      <c r="M104" s="542"/>
      <c r="N104" s="520"/>
      <c r="O104" s="538"/>
      <c r="Q104" s="509">
        <f t="shared" si="5"/>
        <v>0</v>
      </c>
      <c r="R104" s="520">
        <f t="shared" si="4"/>
        <v>0</v>
      </c>
    </row>
    <row r="105" spans="1:18" x14ac:dyDescent="0.25">
      <c r="A105" s="506">
        <v>38</v>
      </c>
      <c r="B105" s="507">
        <v>4061</v>
      </c>
      <c r="C105" s="506" t="s">
        <v>331</v>
      </c>
      <c r="D105" s="508">
        <v>2298669.5699999998</v>
      </c>
      <c r="E105" s="540"/>
      <c r="F105" s="540"/>
      <c r="G105" s="540"/>
      <c r="H105" s="540"/>
      <c r="I105" s="540"/>
      <c r="J105" s="540"/>
      <c r="K105" s="541"/>
      <c r="L105" s="542"/>
      <c r="M105" s="542"/>
      <c r="N105" s="520"/>
      <c r="O105" s="538"/>
      <c r="Q105" s="509">
        <f>SUM(E105:P105)</f>
        <v>0</v>
      </c>
      <c r="R105" s="520">
        <f t="shared" si="4"/>
        <v>0</v>
      </c>
    </row>
    <row r="106" spans="1:18" x14ac:dyDescent="0.25">
      <c r="A106" s="506">
        <v>39</v>
      </c>
      <c r="B106" s="507">
        <v>4080</v>
      </c>
      <c r="C106" s="506" t="s">
        <v>238</v>
      </c>
      <c r="D106" s="508">
        <v>968884.11</v>
      </c>
      <c r="E106" s="540"/>
      <c r="F106" s="540"/>
      <c r="G106" s="540"/>
      <c r="H106" s="540"/>
      <c r="I106" s="540"/>
      <c r="J106" s="540"/>
      <c r="K106" s="541"/>
      <c r="L106" s="542"/>
      <c r="M106" s="542"/>
      <c r="N106" s="520"/>
      <c r="O106" s="538"/>
      <c r="Q106" s="509">
        <f t="shared" ref="Q106:Q114" si="6">SUM(E106:P106)</f>
        <v>0</v>
      </c>
      <c r="R106" s="520">
        <f t="shared" si="4"/>
        <v>0</v>
      </c>
    </row>
    <row r="107" spans="1:18" x14ac:dyDescent="0.25">
      <c r="A107" s="506">
        <v>40</v>
      </c>
      <c r="B107" s="507">
        <v>4081</v>
      </c>
      <c r="C107" s="506" t="s">
        <v>235</v>
      </c>
      <c r="D107" s="508">
        <v>2692853.7199999997</v>
      </c>
      <c r="E107" s="540"/>
      <c r="F107" s="540"/>
      <c r="G107" s="540"/>
      <c r="H107" s="540"/>
      <c r="I107" s="540"/>
      <c r="J107" s="540"/>
      <c r="K107" s="541"/>
      <c r="L107" s="542"/>
      <c r="M107" s="542"/>
      <c r="N107" s="520"/>
      <c r="O107" s="538"/>
      <c r="Q107" s="509">
        <f t="shared" si="6"/>
        <v>0</v>
      </c>
      <c r="R107" s="520">
        <f t="shared" si="4"/>
        <v>0</v>
      </c>
    </row>
    <row r="108" spans="1:18" x14ac:dyDescent="0.25">
      <c r="A108" s="506">
        <v>41</v>
      </c>
      <c r="B108" s="507">
        <v>4090</v>
      </c>
      <c r="C108" s="506" t="s">
        <v>293</v>
      </c>
      <c r="D108" s="508">
        <v>3593573.81</v>
      </c>
      <c r="E108" s="540"/>
      <c r="F108" s="540"/>
      <c r="G108" s="540"/>
      <c r="H108" s="540"/>
      <c r="I108" s="540"/>
      <c r="J108" s="540"/>
      <c r="K108" s="541"/>
      <c r="L108" s="542"/>
      <c r="M108" s="542"/>
      <c r="N108" s="520"/>
      <c r="O108" s="538"/>
      <c r="Q108" s="509">
        <f t="shared" si="6"/>
        <v>0</v>
      </c>
      <c r="R108" s="520">
        <f t="shared" si="4"/>
        <v>0</v>
      </c>
    </row>
    <row r="109" spans="1:18" x14ac:dyDescent="0.25">
      <c r="A109" s="506">
        <v>42</v>
      </c>
      <c r="B109" s="507">
        <v>4091</v>
      </c>
      <c r="C109" s="506" t="s">
        <v>276</v>
      </c>
      <c r="D109" s="508">
        <v>3212166.41</v>
      </c>
      <c r="E109" s="540"/>
      <c r="F109" s="540"/>
      <c r="G109" s="540"/>
      <c r="H109" s="540"/>
      <c r="I109" s="540"/>
      <c r="J109" s="540"/>
      <c r="K109" s="541"/>
      <c r="L109" s="542"/>
      <c r="M109" s="542"/>
      <c r="N109" s="520"/>
      <c r="O109" s="538"/>
      <c r="Q109" s="509">
        <f t="shared" si="6"/>
        <v>0</v>
      </c>
      <c r="R109" s="520">
        <f t="shared" si="4"/>
        <v>0</v>
      </c>
    </row>
    <row r="110" spans="1:18" x14ac:dyDescent="0.25">
      <c r="A110" s="506">
        <v>43</v>
      </c>
      <c r="B110" s="507">
        <v>4100</v>
      </c>
      <c r="C110" s="506" t="s">
        <v>294</v>
      </c>
      <c r="D110" s="508">
        <v>1006956.53</v>
      </c>
      <c r="E110" s="540"/>
      <c r="F110" s="540"/>
      <c r="G110" s="540"/>
      <c r="H110" s="540"/>
      <c r="I110" s="540"/>
      <c r="J110" s="540"/>
      <c r="K110" s="541"/>
      <c r="L110" s="542"/>
      <c r="M110" s="542"/>
      <c r="N110" s="520"/>
      <c r="O110" s="538"/>
      <c r="Q110" s="509">
        <f t="shared" si="6"/>
        <v>0</v>
      </c>
      <c r="R110" s="520">
        <f t="shared" si="4"/>
        <v>0</v>
      </c>
    </row>
    <row r="111" spans="1:18" x14ac:dyDescent="0.25">
      <c r="A111" s="506">
        <v>44</v>
      </c>
      <c r="B111" s="507">
        <v>4102</v>
      </c>
      <c r="C111" s="506" t="s">
        <v>295</v>
      </c>
      <c r="D111" s="508">
        <v>8441217.4500000011</v>
      </c>
      <c r="E111" s="540"/>
      <c r="F111" s="540"/>
      <c r="G111" s="540"/>
      <c r="H111" s="540"/>
      <c r="I111" s="540"/>
      <c r="J111" s="540"/>
      <c r="K111" s="541"/>
      <c r="L111" s="542"/>
      <c r="M111" s="542"/>
      <c r="N111" s="520"/>
      <c r="O111" s="538"/>
      <c r="Q111" s="509">
        <f t="shared" si="6"/>
        <v>0</v>
      </c>
      <c r="R111" s="520">
        <f t="shared" si="4"/>
        <v>0</v>
      </c>
    </row>
    <row r="112" spans="1:18" x14ac:dyDescent="0.25">
      <c r="A112" s="506">
        <v>45</v>
      </c>
      <c r="B112" s="507">
        <v>4103</v>
      </c>
      <c r="C112" s="506" t="s">
        <v>307</v>
      </c>
      <c r="D112" s="508">
        <v>2423772.1199999996</v>
      </c>
      <c r="E112" s="540"/>
      <c r="F112" s="540"/>
      <c r="G112" s="540"/>
      <c r="H112" s="540"/>
      <c r="I112" s="540"/>
      <c r="J112" s="540"/>
      <c r="K112" s="541"/>
      <c r="L112" s="542"/>
      <c r="M112" s="542"/>
      <c r="N112" s="520"/>
      <c r="O112" s="538"/>
      <c r="Q112" s="509">
        <f t="shared" si="6"/>
        <v>0</v>
      </c>
      <c r="R112" s="520">
        <f t="shared" si="4"/>
        <v>0</v>
      </c>
    </row>
    <row r="113" spans="1:18" x14ac:dyDescent="0.25">
      <c r="A113" s="506">
        <v>46</v>
      </c>
      <c r="B113" s="507">
        <v>4111</v>
      </c>
      <c r="C113" s="506" t="s">
        <v>324</v>
      </c>
      <c r="D113" s="508">
        <v>531441</v>
      </c>
      <c r="E113" s="540"/>
      <c r="F113" s="540"/>
      <c r="G113" s="540"/>
      <c r="H113" s="540"/>
      <c r="I113" s="540"/>
      <c r="J113" s="540"/>
      <c r="K113" s="541"/>
      <c r="L113" s="542"/>
      <c r="M113" s="542"/>
      <c r="N113" s="520"/>
      <c r="O113" s="538"/>
      <c r="Q113" s="509">
        <f t="shared" si="6"/>
        <v>0</v>
      </c>
      <c r="R113" s="520">
        <f t="shared" si="4"/>
        <v>0</v>
      </c>
    </row>
    <row r="114" spans="1:18" x14ac:dyDescent="0.25">
      <c r="A114" s="506">
        <v>47</v>
      </c>
      <c r="B114" s="507">
        <v>4131</v>
      </c>
      <c r="C114" s="506" t="s">
        <v>356</v>
      </c>
      <c r="E114" s="540"/>
      <c r="F114" s="540"/>
      <c r="G114" s="540"/>
      <c r="H114" s="540"/>
      <c r="I114" s="540"/>
      <c r="J114" s="540"/>
      <c r="K114" s="541"/>
      <c r="L114" s="542"/>
      <c r="M114" s="542"/>
      <c r="N114" s="520"/>
      <c r="O114" s="538"/>
      <c r="Q114" s="509">
        <f t="shared" si="6"/>
        <v>0</v>
      </c>
      <c r="R114" s="520">
        <f>SUM(E114:M114)</f>
        <v>0</v>
      </c>
    </row>
    <row r="116" spans="1:18" x14ac:dyDescent="0.25">
      <c r="D116" s="508">
        <f t="shared" ref="D116:R116" si="7">SUM(D68:D115)</f>
        <v>198673197.24000001</v>
      </c>
      <c r="E116" s="508">
        <f t="shared" si="7"/>
        <v>0</v>
      </c>
      <c r="F116" s="508">
        <f t="shared" si="7"/>
        <v>0</v>
      </c>
      <c r="G116" s="508">
        <f t="shared" si="7"/>
        <v>0</v>
      </c>
      <c r="H116" s="508">
        <f t="shared" si="7"/>
        <v>0</v>
      </c>
      <c r="I116" s="508">
        <f t="shared" si="7"/>
        <v>0</v>
      </c>
      <c r="J116" s="508">
        <f t="shared" si="7"/>
        <v>0</v>
      </c>
      <c r="K116" s="521">
        <f t="shared" si="7"/>
        <v>0</v>
      </c>
      <c r="L116" s="508">
        <f t="shared" si="7"/>
        <v>0</v>
      </c>
      <c r="M116" s="508">
        <f t="shared" si="7"/>
        <v>0</v>
      </c>
      <c r="N116" s="508">
        <f t="shared" si="7"/>
        <v>0</v>
      </c>
      <c r="O116" s="508">
        <f t="shared" si="7"/>
        <v>0</v>
      </c>
      <c r="P116" s="508">
        <f t="shared" si="7"/>
        <v>0</v>
      </c>
      <c r="Q116" s="508">
        <f t="shared" si="7"/>
        <v>0</v>
      </c>
      <c r="R116" s="508">
        <f t="shared" si="7"/>
        <v>0</v>
      </c>
    </row>
  </sheetData>
  <pageMargins left="0.7" right="0.7" top="0.75" bottom="0.75" header="0.3" footer="0.3"/>
  <pageSetup scale="48" fitToHeight="0" orientation="landscape" r:id="rId1"/>
  <ignoredErrors>
    <ignoredError sqref="Q6:Q50 Q69:R114" formulaRange="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9">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6" t="s">
        <v>15</v>
      </c>
      <c r="C1" s="567"/>
      <c r="D1" s="567"/>
      <c r="E1" s="567"/>
      <c r="F1" s="567"/>
      <c r="G1" s="567"/>
      <c r="H1" s="567"/>
      <c r="I1" s="567"/>
      <c r="J1" s="135"/>
      <c r="K1" s="135"/>
      <c r="L1" s="135"/>
      <c r="N1" s="82">
        <f>A1</f>
        <v>0</v>
      </c>
      <c r="O1" s="658" t="s">
        <v>15</v>
      </c>
      <c r="P1" s="659"/>
      <c r="Q1" s="659"/>
      <c r="R1" s="659"/>
      <c r="S1" s="659"/>
      <c r="T1" s="659"/>
      <c r="U1" s="659"/>
    </row>
    <row r="2" spans="1:21" ht="21" x14ac:dyDescent="0.35">
      <c r="A2" s="1" t="s">
        <v>134</v>
      </c>
      <c r="B2" s="2"/>
      <c r="C2" s="2"/>
      <c r="D2" s="2"/>
      <c r="E2" s="2"/>
      <c r="F2" s="2"/>
      <c r="G2" s="2"/>
      <c r="H2" s="2"/>
      <c r="I2" s="2"/>
      <c r="N2" s="660" t="s">
        <v>18</v>
      </c>
      <c r="O2" s="660"/>
      <c r="P2" s="660"/>
      <c r="Q2" s="660"/>
      <c r="R2" s="660"/>
      <c r="S2" s="660"/>
      <c r="T2" s="660"/>
      <c r="U2" s="660"/>
    </row>
    <row r="3" spans="1:21" x14ac:dyDescent="0.25">
      <c r="A3" s="81" t="str">
        <f>'1461'!A3</f>
        <v>Based on the FLDOE 2024-25 Conference Calculation</v>
      </c>
      <c r="N3" s="627" t="str">
        <f>A3</f>
        <v>Based on the FLDOE 2024-25 Conference Calculation</v>
      </c>
      <c r="O3" s="627"/>
      <c r="P3" s="627"/>
      <c r="Q3" s="627"/>
      <c r="R3" s="627"/>
      <c r="S3" s="627"/>
      <c r="T3" s="627"/>
      <c r="U3" s="627"/>
    </row>
    <row r="4" spans="1:21" x14ac:dyDescent="0.25">
      <c r="A4" s="568" t="s">
        <v>0</v>
      </c>
      <c r="B4" s="568"/>
      <c r="C4" s="569" t="s">
        <v>9</v>
      </c>
      <c r="D4" s="569"/>
      <c r="E4" s="569"/>
      <c r="F4" s="4" t="str">
        <f>'1461'!F4</f>
        <v>July 2024</v>
      </c>
      <c r="G4" s="4"/>
      <c r="H4" s="4"/>
      <c r="I4" s="4"/>
      <c r="N4" s="661" t="s">
        <v>0</v>
      </c>
      <c r="O4" s="661"/>
      <c r="P4" s="662" t="str">
        <f>C4</f>
        <v>Palm Beach</v>
      </c>
      <c r="Q4" s="662"/>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70" t="s">
        <v>433</v>
      </c>
      <c r="B7" s="664"/>
      <c r="C7" s="664"/>
      <c r="D7" s="664"/>
      <c r="E7" s="664"/>
      <c r="F7" s="664"/>
      <c r="G7" s="664"/>
      <c r="H7" s="664"/>
      <c r="I7" s="664"/>
      <c r="N7" s="661" t="str">
        <f>A7</f>
        <v>1A.   2023-24 FEFP State and Local Funding</v>
      </c>
      <c r="O7" s="661"/>
      <c r="P7" s="661"/>
      <c r="Q7" s="661"/>
      <c r="R7" s="661"/>
      <c r="S7" s="661"/>
      <c r="T7" s="661"/>
      <c r="U7" s="661"/>
    </row>
    <row r="8" spans="1:21" x14ac:dyDescent="0.25">
      <c r="A8" s="84"/>
      <c r="B8" s="85" t="s">
        <v>92</v>
      </c>
      <c r="C8" s="299">
        <f>'1461'!C8</f>
        <v>5330.98</v>
      </c>
      <c r="D8" s="86"/>
      <c r="E8" s="87"/>
      <c r="F8" s="84"/>
      <c r="G8" s="85" t="s">
        <v>393</v>
      </c>
      <c r="H8" s="287">
        <f>'1461'!H8</f>
        <v>1.0407999999999999</v>
      </c>
      <c r="I8" s="75"/>
      <c r="N8" s="665" t="s">
        <v>10</v>
      </c>
      <c r="O8" s="665"/>
      <c r="P8" s="666">
        <f>C8</f>
        <v>5330.98</v>
      </c>
      <c r="Q8" s="666"/>
      <c r="R8" s="648" t="s">
        <v>394</v>
      </c>
      <c r="S8" s="649"/>
      <c r="T8" s="650">
        <f>H8</f>
        <v>1.0407999999999999</v>
      </c>
      <c r="U8" s="650"/>
    </row>
    <row r="9" spans="1:21" x14ac:dyDescent="0.25">
      <c r="A9" s="84"/>
      <c r="B9" s="85"/>
      <c r="C9" s="222"/>
      <c r="D9" s="86"/>
      <c r="E9" s="87"/>
      <c r="F9" s="84"/>
      <c r="G9" s="85" t="s">
        <v>391</v>
      </c>
      <c r="H9" s="287">
        <f>'1461'!H9</f>
        <v>1</v>
      </c>
      <c r="I9" s="75"/>
      <c r="N9" s="12"/>
      <c r="O9" s="12"/>
      <c r="P9" s="13"/>
      <c r="Q9" s="13"/>
      <c r="R9" s="387" t="s">
        <v>392</v>
      </c>
      <c r="S9" s="384"/>
      <c r="T9" s="650">
        <f>H9</f>
        <v>1</v>
      </c>
      <c r="U9" s="650"/>
    </row>
    <row r="10" spans="1:21" x14ac:dyDescent="0.25">
      <c r="A10" s="7"/>
      <c r="B10" s="42" t="s">
        <v>310</v>
      </c>
      <c r="C10" s="456" t="str">
        <f>'1461'!C10</f>
        <v xml:space="preserve"> </v>
      </c>
      <c r="D10" s="88" t="str">
        <f>'1461'!D10</f>
        <v xml:space="preserve"> </v>
      </c>
      <c r="E10" s="8"/>
      <c r="F10" s="9"/>
      <c r="G10" s="9"/>
      <c r="H10" s="10"/>
      <c r="I10" s="305" t="str">
        <f>'1461'!I10</f>
        <v>2024-25</v>
      </c>
      <c r="N10" s="12"/>
      <c r="O10" s="12"/>
      <c r="P10" s="13"/>
      <c r="Q10" s="13"/>
      <c r="R10" s="14"/>
      <c r="S10" s="14"/>
      <c r="T10" s="15"/>
      <c r="U10" s="366" t="str">
        <f>I10</f>
        <v>2024-25</v>
      </c>
    </row>
    <row r="11" spans="1:21" x14ac:dyDescent="0.25">
      <c r="A11" s="7"/>
      <c r="B11" s="7"/>
      <c r="C11" s="88" t="str">
        <f>'1461'!C11</f>
        <v>Oct 2023</v>
      </c>
      <c r="D11" s="333" t="str">
        <f>'1461'!D11</f>
        <v>Feb 2024</v>
      </c>
      <c r="E11" s="89" t="s">
        <v>8</v>
      </c>
      <c r="F11" s="571" t="s">
        <v>1</v>
      </c>
      <c r="G11" s="571"/>
      <c r="H11" s="10" t="s">
        <v>60</v>
      </c>
      <c r="I11" s="11" t="s">
        <v>27</v>
      </c>
      <c r="N11" s="12"/>
      <c r="O11" s="12"/>
      <c r="P11" s="13"/>
      <c r="Q11" s="13"/>
      <c r="R11" s="651" t="s">
        <v>1</v>
      </c>
      <c r="S11" s="651"/>
      <c r="T11" s="15" t="s">
        <v>60</v>
      </c>
      <c r="U11" s="16" t="s">
        <v>27</v>
      </c>
    </row>
    <row r="12" spans="1:21" ht="15.75" customHeight="1" x14ac:dyDescent="0.25">
      <c r="A12" s="572" t="s">
        <v>1</v>
      </c>
      <c r="B12" s="572"/>
      <c r="C12" s="324" t="str">
        <f>'1461'!C12</f>
        <v>FTE</v>
      </c>
      <c r="D12" s="324" t="str">
        <f>'1461'!D12</f>
        <v>FTE</v>
      </c>
      <c r="E12" s="324" t="s">
        <v>2</v>
      </c>
      <c r="F12" s="573" t="s">
        <v>63</v>
      </c>
      <c r="G12" s="573"/>
      <c r="H12" s="17" t="s">
        <v>59</v>
      </c>
      <c r="I12" s="388" t="s">
        <v>395</v>
      </c>
      <c r="N12" s="639" t="s">
        <v>1</v>
      </c>
      <c r="O12" s="639"/>
      <c r="P12" s="652" t="s">
        <v>19</v>
      </c>
      <c r="Q12" s="652"/>
      <c r="R12" s="653" t="s">
        <v>63</v>
      </c>
      <c r="S12" s="653"/>
      <c r="T12" s="18" t="s">
        <v>59</v>
      </c>
      <c r="U12" s="19" t="str">
        <f>I12</f>
        <v>(WFTE x BSA x CWF x SDF)</v>
      </c>
    </row>
    <row r="13" spans="1:21" x14ac:dyDescent="0.25">
      <c r="A13" s="574" t="s">
        <v>36</v>
      </c>
      <c r="B13" s="574"/>
      <c r="C13" s="91"/>
      <c r="D13" s="91"/>
      <c r="E13" s="92" t="s">
        <v>37</v>
      </c>
      <c r="F13" s="575" t="s">
        <v>38</v>
      </c>
      <c r="G13" s="575"/>
      <c r="H13" s="20" t="s">
        <v>39</v>
      </c>
      <c r="I13" s="21" t="s">
        <v>40</v>
      </c>
      <c r="N13" s="654" t="s">
        <v>36</v>
      </c>
      <c r="O13" s="654"/>
      <c r="P13" s="655" t="s">
        <v>37</v>
      </c>
      <c r="Q13" s="655"/>
      <c r="R13" s="656" t="s">
        <v>38</v>
      </c>
      <c r="S13" s="656"/>
      <c r="T13" s="22" t="s">
        <v>39</v>
      </c>
      <c r="U13" s="23" t="s">
        <v>40</v>
      </c>
    </row>
    <row r="14" spans="1:21" x14ac:dyDescent="0.25">
      <c r="A14" s="576" t="s">
        <v>20</v>
      </c>
      <c r="B14" s="576"/>
      <c r="C14" s="143">
        <v>142.62</v>
      </c>
      <c r="D14" s="141">
        <v>141.31</v>
      </c>
      <c r="E14" s="187">
        <f>IF(D$30=0,C14*2,C14+D14)</f>
        <v>283.93</v>
      </c>
      <c r="F14" s="667">
        <f>'1461'!F14:G14</f>
        <v>1.1180000000000001</v>
      </c>
      <c r="G14" s="667"/>
      <c r="H14" s="145">
        <f>ROUND(E14*F14,4)</f>
        <v>317.43369999999999</v>
      </c>
      <c r="I14" s="111">
        <f>ROUND(ROUND(ROUND(H14*$C$8,4)*($H$8),2)*(MAX($H$9,1)),2)</f>
        <v>1761275.8</v>
      </c>
      <c r="N14" s="641" t="s">
        <v>20</v>
      </c>
      <c r="O14" s="641"/>
      <c r="P14" s="642">
        <f t="shared" ref="P14:P29" si="0">IF($H$133=1,E14,0)</f>
        <v>0</v>
      </c>
      <c r="Q14" s="642"/>
      <c r="R14" s="657">
        <v>1</v>
      </c>
      <c r="S14" s="657"/>
      <c r="T14" s="95">
        <f>ROUND(P14*R14,4)</f>
        <v>0</v>
      </c>
      <c r="U14" s="473">
        <f>ROUND(ROUND(ROUND(T14*$C$8,4)*($H$8),2)*(MAX($H$9,1)),2)</f>
        <v>0</v>
      </c>
    </row>
    <row r="15" spans="1:21" x14ac:dyDescent="0.25">
      <c r="A15" s="578" t="s">
        <v>21</v>
      </c>
      <c r="B15" s="578"/>
      <c r="C15" s="143">
        <v>10.5</v>
      </c>
      <c r="D15" s="143">
        <v>9.51</v>
      </c>
      <c r="E15" s="116">
        <f t="shared" ref="E15:E29" si="1">IF(D$30=0,C15*2,C15+D15)</f>
        <v>20.009999999999998</v>
      </c>
      <c r="F15" s="663">
        <f>'1461'!F15:G15</f>
        <v>1.1180000000000001</v>
      </c>
      <c r="G15" s="663"/>
      <c r="H15" s="80">
        <f t="shared" ref="H15:H29" si="2">ROUND(E15*F15,4)</f>
        <v>22.371200000000002</v>
      </c>
      <c r="I15" s="101">
        <f t="shared" ref="I15:I29" si="3">ROUND(ROUND(ROUND(H15*$C$8,4)*($H$8),2)*(MAX($H$9,1)),2)</f>
        <v>124126.24</v>
      </c>
      <c r="J15" s="65" t="str">
        <f>IF(ROUND(E15,2)=ROUND(SUM(E57:E59),2)," ","CHECK PK-3 LINES BELOW")</f>
        <v xml:space="preserve"> </v>
      </c>
      <c r="N15" s="601" t="s">
        <v>21</v>
      </c>
      <c r="O15" s="601"/>
      <c r="P15" s="642">
        <f t="shared" si="0"/>
        <v>0</v>
      </c>
      <c r="Q15" s="642"/>
      <c r="R15" s="647">
        <v>1</v>
      </c>
      <c r="S15" s="647"/>
      <c r="T15" s="95">
        <f t="shared" ref="T15:T29" si="4">ROUND(P15*R15,4)</f>
        <v>0</v>
      </c>
      <c r="U15" s="473">
        <f t="shared" ref="U15:U29" si="5">ROUND(ROUND(ROUND(T15*$C$8,4)*($H$8),2)*(MAX($H$9,1)),2)</f>
        <v>0</v>
      </c>
    </row>
    <row r="16" spans="1:21" x14ac:dyDescent="0.25">
      <c r="A16" s="578" t="s">
        <v>22</v>
      </c>
      <c r="B16" s="578"/>
      <c r="C16" s="143">
        <v>178.85</v>
      </c>
      <c r="D16" s="143">
        <v>180.65</v>
      </c>
      <c r="E16" s="116">
        <f t="shared" si="1"/>
        <v>359.5</v>
      </c>
      <c r="F16" s="663">
        <f>'1461'!F16:G16</f>
        <v>1</v>
      </c>
      <c r="G16" s="663"/>
      <c r="H16" s="80">
        <f t="shared" si="2"/>
        <v>359.5</v>
      </c>
      <c r="I16" s="101">
        <f t="shared" si="3"/>
        <v>1994679.99</v>
      </c>
      <c r="N16" s="601" t="s">
        <v>22</v>
      </c>
      <c r="O16" s="601"/>
      <c r="P16" s="642">
        <f t="shared" si="0"/>
        <v>0</v>
      </c>
      <c r="Q16" s="642"/>
      <c r="R16" s="647">
        <v>1</v>
      </c>
      <c r="S16" s="647"/>
      <c r="T16" s="95">
        <f t="shared" si="4"/>
        <v>0</v>
      </c>
      <c r="U16" s="473">
        <f t="shared" si="5"/>
        <v>0</v>
      </c>
    </row>
    <row r="17" spans="1:21" x14ac:dyDescent="0.25">
      <c r="A17" s="578" t="s">
        <v>23</v>
      </c>
      <c r="B17" s="578"/>
      <c r="C17" s="143">
        <v>20.5</v>
      </c>
      <c r="D17" s="143">
        <v>20.23</v>
      </c>
      <c r="E17" s="116">
        <f t="shared" si="1"/>
        <v>40.730000000000004</v>
      </c>
      <c r="F17" s="663">
        <f>'1461'!F17:G17</f>
        <v>1</v>
      </c>
      <c r="G17" s="663"/>
      <c r="H17" s="80">
        <f t="shared" si="2"/>
        <v>40.729999999999997</v>
      </c>
      <c r="I17" s="101">
        <f t="shared" si="3"/>
        <v>225989.75</v>
      </c>
      <c r="J17" s="65" t="str">
        <f>IF(ROUND(E17,2)=ROUND(SUM(E60:E62),2)," ","CHECK 4-8 LINES BELOW")</f>
        <v xml:space="preserve"> </v>
      </c>
      <c r="N17" s="601" t="s">
        <v>23</v>
      </c>
      <c r="O17" s="601"/>
      <c r="P17" s="642">
        <f t="shared" si="0"/>
        <v>0</v>
      </c>
      <c r="Q17" s="642"/>
      <c r="R17" s="647">
        <v>1</v>
      </c>
      <c r="S17" s="647"/>
      <c r="T17" s="95">
        <f t="shared" si="4"/>
        <v>0</v>
      </c>
      <c r="U17" s="473">
        <f t="shared" si="5"/>
        <v>0</v>
      </c>
    </row>
    <row r="18" spans="1:21" x14ac:dyDescent="0.25">
      <c r="A18" s="578" t="s">
        <v>24</v>
      </c>
      <c r="B18" s="578"/>
      <c r="C18" s="143">
        <v>0</v>
      </c>
      <c r="D18" s="143">
        <v>0</v>
      </c>
      <c r="E18" s="116">
        <f t="shared" si="1"/>
        <v>0</v>
      </c>
      <c r="F18" s="663">
        <f>'1461'!F18:G18</f>
        <v>0.97799999999999998</v>
      </c>
      <c r="G18" s="663"/>
      <c r="H18" s="80">
        <f t="shared" si="2"/>
        <v>0</v>
      </c>
      <c r="I18" s="101">
        <f t="shared" si="3"/>
        <v>0</v>
      </c>
      <c r="N18" s="601" t="s">
        <v>24</v>
      </c>
      <c r="O18" s="601"/>
      <c r="P18" s="642">
        <f t="shared" si="0"/>
        <v>0</v>
      </c>
      <c r="Q18" s="642"/>
      <c r="R18" s="647">
        <v>1</v>
      </c>
      <c r="S18" s="647"/>
      <c r="T18" s="95">
        <f t="shared" si="4"/>
        <v>0</v>
      </c>
      <c r="U18" s="473">
        <f t="shared" si="5"/>
        <v>0</v>
      </c>
    </row>
    <row r="19" spans="1:21" x14ac:dyDescent="0.25">
      <c r="A19" s="578" t="s">
        <v>25</v>
      </c>
      <c r="B19" s="578"/>
      <c r="C19" s="143">
        <v>0</v>
      </c>
      <c r="D19" s="143">
        <v>0</v>
      </c>
      <c r="E19" s="116">
        <f t="shared" si="1"/>
        <v>0</v>
      </c>
      <c r="F19" s="663">
        <f>'1461'!F19:G19</f>
        <v>0.97799999999999998</v>
      </c>
      <c r="G19" s="663"/>
      <c r="H19" s="80">
        <f t="shared" si="2"/>
        <v>0</v>
      </c>
      <c r="I19" s="101">
        <f t="shared" si="3"/>
        <v>0</v>
      </c>
      <c r="J19" s="65" t="str">
        <f>IF(ROUND(E19,2)=ROUND(SUM(E63:E65),2)," ","CHECK 4-8 LINES BELOW")</f>
        <v xml:space="preserve"> </v>
      </c>
      <c r="N19" s="601" t="s">
        <v>25</v>
      </c>
      <c r="O19" s="601"/>
      <c r="P19" s="642">
        <f t="shared" si="0"/>
        <v>0</v>
      </c>
      <c r="Q19" s="642"/>
      <c r="R19" s="647">
        <v>1</v>
      </c>
      <c r="S19" s="647"/>
      <c r="T19" s="95">
        <f t="shared" si="4"/>
        <v>0</v>
      </c>
      <c r="U19" s="472">
        <f t="shared" si="5"/>
        <v>0</v>
      </c>
    </row>
    <row r="20" spans="1:21" x14ac:dyDescent="0.25">
      <c r="A20" s="578" t="s">
        <v>79</v>
      </c>
      <c r="B20" s="578"/>
      <c r="C20" s="143">
        <v>0</v>
      </c>
      <c r="D20" s="143">
        <v>0</v>
      </c>
      <c r="E20" s="116">
        <f t="shared" si="1"/>
        <v>0</v>
      </c>
      <c r="F20" s="663">
        <f>'1461'!F20:G20</f>
        <v>3.6970000000000001</v>
      </c>
      <c r="G20" s="663"/>
      <c r="H20" s="80">
        <f t="shared" si="2"/>
        <v>0</v>
      </c>
      <c r="I20" s="101">
        <f t="shared" si="3"/>
        <v>0</v>
      </c>
      <c r="N20" s="601" t="s">
        <v>79</v>
      </c>
      <c r="O20" s="601"/>
      <c r="P20" s="642">
        <f t="shared" si="0"/>
        <v>0</v>
      </c>
      <c r="Q20" s="642"/>
      <c r="R20" s="647">
        <v>1</v>
      </c>
      <c r="S20" s="647"/>
      <c r="T20" s="95">
        <f t="shared" si="4"/>
        <v>0</v>
      </c>
      <c r="U20" s="473">
        <f t="shared" si="5"/>
        <v>0</v>
      </c>
    </row>
    <row r="21" spans="1:21" x14ac:dyDescent="0.25">
      <c r="A21" s="578" t="s">
        <v>80</v>
      </c>
      <c r="B21" s="578"/>
      <c r="C21" s="143">
        <v>0</v>
      </c>
      <c r="D21" s="143">
        <v>0</v>
      </c>
      <c r="E21" s="116">
        <f t="shared" si="1"/>
        <v>0</v>
      </c>
      <c r="F21" s="663">
        <f>'1461'!F21:G21</f>
        <v>3.6970000000000001</v>
      </c>
      <c r="G21" s="663"/>
      <c r="H21" s="80">
        <f t="shared" si="2"/>
        <v>0</v>
      </c>
      <c r="I21" s="101">
        <f t="shared" si="3"/>
        <v>0</v>
      </c>
      <c r="N21" s="601" t="s">
        <v>80</v>
      </c>
      <c r="O21" s="601"/>
      <c r="P21" s="642">
        <f t="shared" si="0"/>
        <v>0</v>
      </c>
      <c r="Q21" s="642"/>
      <c r="R21" s="647">
        <v>1</v>
      </c>
      <c r="S21" s="647"/>
      <c r="T21" s="95">
        <f t="shared" si="4"/>
        <v>0</v>
      </c>
      <c r="U21" s="473">
        <f t="shared" si="5"/>
        <v>0</v>
      </c>
    </row>
    <row r="22" spans="1:21" x14ac:dyDescent="0.25">
      <c r="A22" s="578" t="s">
        <v>81</v>
      </c>
      <c r="B22" s="578"/>
      <c r="C22" s="143">
        <v>0</v>
      </c>
      <c r="D22" s="143">
        <v>0</v>
      </c>
      <c r="E22" s="116">
        <f t="shared" si="1"/>
        <v>0</v>
      </c>
      <c r="F22" s="663">
        <f>'1461'!F22:G22</f>
        <v>3.6970000000000001</v>
      </c>
      <c r="G22" s="663"/>
      <c r="H22" s="80">
        <f t="shared" si="2"/>
        <v>0</v>
      </c>
      <c r="I22" s="101">
        <f t="shared" si="3"/>
        <v>0</v>
      </c>
      <c r="N22" s="601" t="s">
        <v>81</v>
      </c>
      <c r="O22" s="601"/>
      <c r="P22" s="642">
        <f t="shared" si="0"/>
        <v>0</v>
      </c>
      <c r="Q22" s="642"/>
      <c r="R22" s="647">
        <v>1</v>
      </c>
      <c r="S22" s="647"/>
      <c r="T22" s="95">
        <f t="shared" si="4"/>
        <v>0</v>
      </c>
      <c r="U22" s="473">
        <f t="shared" si="5"/>
        <v>0</v>
      </c>
    </row>
    <row r="23" spans="1:21" x14ac:dyDescent="0.25">
      <c r="A23" s="578" t="s">
        <v>82</v>
      </c>
      <c r="B23" s="578"/>
      <c r="C23" s="143">
        <v>0</v>
      </c>
      <c r="D23" s="143">
        <v>0</v>
      </c>
      <c r="E23" s="116">
        <f t="shared" si="1"/>
        <v>0</v>
      </c>
      <c r="F23" s="663">
        <f>'1461'!F23:G23</f>
        <v>5.992</v>
      </c>
      <c r="G23" s="663"/>
      <c r="H23" s="80">
        <f t="shared" si="2"/>
        <v>0</v>
      </c>
      <c r="I23" s="101">
        <f t="shared" si="3"/>
        <v>0</v>
      </c>
      <c r="N23" s="601" t="s">
        <v>82</v>
      </c>
      <c r="O23" s="601"/>
      <c r="P23" s="642">
        <f t="shared" si="0"/>
        <v>0</v>
      </c>
      <c r="Q23" s="642"/>
      <c r="R23" s="647">
        <v>1</v>
      </c>
      <c r="S23" s="647"/>
      <c r="T23" s="95">
        <f t="shared" si="4"/>
        <v>0</v>
      </c>
      <c r="U23" s="473">
        <f t="shared" si="5"/>
        <v>0</v>
      </c>
    </row>
    <row r="24" spans="1:21" x14ac:dyDescent="0.25">
      <c r="A24" s="578" t="s">
        <v>83</v>
      </c>
      <c r="B24" s="578"/>
      <c r="C24" s="143">
        <v>0</v>
      </c>
      <c r="D24" s="143">
        <v>0</v>
      </c>
      <c r="E24" s="116">
        <f t="shared" si="1"/>
        <v>0</v>
      </c>
      <c r="F24" s="663">
        <f>'1461'!F24:G24</f>
        <v>5.992</v>
      </c>
      <c r="G24" s="663"/>
      <c r="H24" s="80">
        <f t="shared" si="2"/>
        <v>0</v>
      </c>
      <c r="I24" s="101">
        <f t="shared" si="3"/>
        <v>0</v>
      </c>
      <c r="N24" s="601" t="s">
        <v>83</v>
      </c>
      <c r="O24" s="601"/>
      <c r="P24" s="642">
        <f t="shared" si="0"/>
        <v>0</v>
      </c>
      <c r="Q24" s="642"/>
      <c r="R24" s="647">
        <v>1</v>
      </c>
      <c r="S24" s="647"/>
      <c r="T24" s="95">
        <f t="shared" si="4"/>
        <v>0</v>
      </c>
      <c r="U24" s="473">
        <f t="shared" si="5"/>
        <v>0</v>
      </c>
    </row>
    <row r="25" spans="1:21" x14ac:dyDescent="0.25">
      <c r="A25" s="578" t="s">
        <v>84</v>
      </c>
      <c r="B25" s="578"/>
      <c r="C25" s="143">
        <v>0</v>
      </c>
      <c r="D25" s="143">
        <v>0</v>
      </c>
      <c r="E25" s="116">
        <f t="shared" si="1"/>
        <v>0</v>
      </c>
      <c r="F25" s="663">
        <f>'1461'!F25:G25</f>
        <v>5.992</v>
      </c>
      <c r="G25" s="663"/>
      <c r="H25" s="80">
        <f t="shared" si="2"/>
        <v>0</v>
      </c>
      <c r="I25" s="101">
        <f t="shared" si="3"/>
        <v>0</v>
      </c>
      <c r="N25" s="601" t="s">
        <v>84</v>
      </c>
      <c r="O25" s="601"/>
      <c r="P25" s="642">
        <f t="shared" si="0"/>
        <v>0</v>
      </c>
      <c r="Q25" s="642"/>
      <c r="R25" s="647">
        <v>1</v>
      </c>
      <c r="S25" s="647"/>
      <c r="T25" s="95">
        <f t="shared" si="4"/>
        <v>0</v>
      </c>
      <c r="U25" s="473">
        <f t="shared" si="5"/>
        <v>0</v>
      </c>
    </row>
    <row r="26" spans="1:21" x14ac:dyDescent="0.25">
      <c r="A26" s="578" t="s">
        <v>85</v>
      </c>
      <c r="B26" s="578"/>
      <c r="C26" s="143">
        <v>22.88</v>
      </c>
      <c r="D26" s="143">
        <v>19.68</v>
      </c>
      <c r="E26" s="116">
        <f t="shared" si="1"/>
        <v>42.56</v>
      </c>
      <c r="F26" s="663">
        <f>'1461'!F26:G26</f>
        <v>1.1919999999999999</v>
      </c>
      <c r="G26" s="663"/>
      <c r="H26" s="80">
        <f t="shared" si="2"/>
        <v>50.731499999999997</v>
      </c>
      <c r="I26" s="101">
        <f t="shared" si="3"/>
        <v>281482.92</v>
      </c>
      <c r="N26" s="601" t="s">
        <v>85</v>
      </c>
      <c r="O26" s="601"/>
      <c r="P26" s="642">
        <f t="shared" si="0"/>
        <v>0</v>
      </c>
      <c r="Q26" s="642"/>
      <c r="R26" s="647">
        <v>1</v>
      </c>
      <c r="S26" s="647"/>
      <c r="T26" s="95">
        <f t="shared" si="4"/>
        <v>0</v>
      </c>
      <c r="U26" s="473">
        <f t="shared" si="5"/>
        <v>0</v>
      </c>
    </row>
    <row r="27" spans="1:21" x14ac:dyDescent="0.25">
      <c r="A27" s="578" t="s">
        <v>86</v>
      </c>
      <c r="B27" s="578"/>
      <c r="C27" s="143">
        <v>18.82</v>
      </c>
      <c r="D27" s="143">
        <v>15.22</v>
      </c>
      <c r="E27" s="116">
        <f t="shared" si="1"/>
        <v>34.04</v>
      </c>
      <c r="F27" s="663">
        <f>'1461'!F27:G27</f>
        <v>1.1919999999999999</v>
      </c>
      <c r="G27" s="663"/>
      <c r="H27" s="80">
        <f t="shared" si="2"/>
        <v>40.575699999999998</v>
      </c>
      <c r="I27" s="101">
        <f t="shared" si="3"/>
        <v>225133.62</v>
      </c>
      <c r="N27" s="601" t="s">
        <v>86</v>
      </c>
      <c r="O27" s="601"/>
      <c r="P27" s="642">
        <f t="shared" si="0"/>
        <v>0</v>
      </c>
      <c r="Q27" s="642"/>
      <c r="R27" s="647">
        <v>1</v>
      </c>
      <c r="S27" s="647"/>
      <c r="T27" s="95">
        <f t="shared" si="4"/>
        <v>0</v>
      </c>
      <c r="U27" s="473">
        <f t="shared" si="5"/>
        <v>0</v>
      </c>
    </row>
    <row r="28" spans="1:21" x14ac:dyDescent="0.25">
      <c r="A28" s="578" t="s">
        <v>87</v>
      </c>
      <c r="B28" s="578"/>
      <c r="C28" s="143">
        <v>0</v>
      </c>
      <c r="D28" s="143">
        <v>0</v>
      </c>
      <c r="E28" s="116">
        <f t="shared" si="1"/>
        <v>0</v>
      </c>
      <c r="F28" s="663">
        <f>'1461'!F28:G28</f>
        <v>1.1919999999999999</v>
      </c>
      <c r="G28" s="663"/>
      <c r="H28" s="80">
        <f t="shared" si="2"/>
        <v>0</v>
      </c>
      <c r="I28" s="101">
        <f t="shared" si="3"/>
        <v>0</v>
      </c>
      <c r="N28" s="601" t="s">
        <v>87</v>
      </c>
      <c r="O28" s="601"/>
      <c r="P28" s="642">
        <f t="shared" si="0"/>
        <v>0</v>
      </c>
      <c r="Q28" s="642"/>
      <c r="R28" s="647">
        <v>1</v>
      </c>
      <c r="S28" s="647"/>
      <c r="T28" s="95">
        <f t="shared" si="4"/>
        <v>0</v>
      </c>
      <c r="U28" s="473">
        <f t="shared" si="5"/>
        <v>0</v>
      </c>
    </row>
    <row r="29" spans="1:21" x14ac:dyDescent="0.25">
      <c r="A29" s="578" t="s">
        <v>88</v>
      </c>
      <c r="B29" s="578"/>
      <c r="C29" s="110">
        <v>0</v>
      </c>
      <c r="D29" s="110">
        <v>0</v>
      </c>
      <c r="E29" s="154">
        <f t="shared" si="1"/>
        <v>0</v>
      </c>
      <c r="F29" s="663">
        <f>'1461'!F29:G29</f>
        <v>1.079</v>
      </c>
      <c r="G29" s="663"/>
      <c r="H29" s="93">
        <f t="shared" si="2"/>
        <v>0</v>
      </c>
      <c r="I29" s="94">
        <f t="shared" si="3"/>
        <v>0</v>
      </c>
      <c r="N29" s="616" t="s">
        <v>88</v>
      </c>
      <c r="O29" s="616"/>
      <c r="P29" s="642">
        <f t="shared" si="0"/>
        <v>0</v>
      </c>
      <c r="Q29" s="642"/>
      <c r="R29" s="643">
        <v>1</v>
      </c>
      <c r="S29" s="643"/>
      <c r="T29" s="95">
        <f t="shared" si="4"/>
        <v>0</v>
      </c>
      <c r="U29" s="473">
        <f t="shared" si="5"/>
        <v>0</v>
      </c>
    </row>
    <row r="30" spans="1:21" x14ac:dyDescent="0.25">
      <c r="A30" s="590" t="s">
        <v>5</v>
      </c>
      <c r="B30" s="590"/>
      <c r="C30" s="94">
        <f>SUM(C14:C29)</f>
        <v>394.17</v>
      </c>
      <c r="D30" s="94">
        <f>SUM(D14:D29)</f>
        <v>386.60000000000008</v>
      </c>
      <c r="E30" s="94">
        <f>SUM(E14:E29)</f>
        <v>780.77</v>
      </c>
      <c r="F30" s="582"/>
      <c r="G30" s="582"/>
      <c r="H30" s="99">
        <f>SUM(H14:H29)</f>
        <v>831.34209999999996</v>
      </c>
      <c r="I30" s="94">
        <f>SUM(I14:I29)</f>
        <v>4612688.32</v>
      </c>
      <c r="N30" s="644" t="s">
        <v>5</v>
      </c>
      <c r="O30" s="644"/>
      <c r="P30" s="645">
        <f>SUM(P14:P29)</f>
        <v>0</v>
      </c>
      <c r="Q30" s="645"/>
      <c r="R30" s="617"/>
      <c r="S30" s="617"/>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0" t="s">
        <v>233</v>
      </c>
      <c r="G34" s="670"/>
      <c r="H34" s="670"/>
      <c r="I34" s="101"/>
      <c r="N34" s="28"/>
      <c r="O34" s="28"/>
      <c r="P34" s="29"/>
      <c r="Q34" s="29"/>
      <c r="R34" s="30"/>
      <c r="S34" s="30"/>
      <c r="T34" s="102"/>
      <c r="U34" s="103"/>
    </row>
    <row r="35" spans="1:21" hidden="1" x14ac:dyDescent="0.25">
      <c r="A35" s="3"/>
      <c r="B35" s="69"/>
      <c r="C35" s="69"/>
      <c r="D35" s="69"/>
      <c r="E35" s="69"/>
      <c r="F35" s="670"/>
      <c r="G35" s="670"/>
      <c r="H35" s="670"/>
      <c r="I35" s="24" t="s">
        <v>61</v>
      </c>
      <c r="N35" s="627" t="s">
        <v>26</v>
      </c>
      <c r="O35" s="627"/>
      <c r="P35" s="627"/>
      <c r="Q35" s="627"/>
      <c r="R35" s="627"/>
      <c r="S35" s="627"/>
      <c r="T35" s="627"/>
      <c r="U35" s="25" t="str">
        <f>I35</f>
        <v>2015-16</v>
      </c>
    </row>
    <row r="36" spans="1:21" hidden="1" x14ac:dyDescent="0.25">
      <c r="A36" s="26"/>
      <c r="B36" s="26"/>
      <c r="C36" s="88" t="s">
        <v>93</v>
      </c>
      <c r="D36" s="88" t="s">
        <v>94</v>
      </c>
      <c r="E36" s="89" t="s">
        <v>8</v>
      </c>
      <c r="F36" s="670"/>
      <c r="G36" s="670"/>
      <c r="H36" s="670"/>
      <c r="I36" s="24" t="s">
        <v>27</v>
      </c>
      <c r="N36" s="28"/>
      <c r="O36" s="28"/>
      <c r="P36" s="29"/>
      <c r="Q36" s="29"/>
      <c r="R36" s="30"/>
      <c r="S36" s="30"/>
      <c r="T36" s="102"/>
      <c r="U36" s="25" t="s">
        <v>27</v>
      </c>
    </row>
    <row r="37" spans="1:21" ht="26.25" hidden="1" x14ac:dyDescent="0.25">
      <c r="A37" s="572" t="s">
        <v>50</v>
      </c>
      <c r="B37" s="572"/>
      <c r="C37" s="90" t="s">
        <v>2</v>
      </c>
      <c r="D37" s="90" t="s">
        <v>2</v>
      </c>
      <c r="E37" s="90" t="s">
        <v>2</v>
      </c>
      <c r="F37" s="671"/>
      <c r="G37" s="671"/>
      <c r="H37" s="671"/>
      <c r="I37" s="31" t="s">
        <v>395</v>
      </c>
      <c r="N37" s="639" t="s">
        <v>50</v>
      </c>
      <c r="O37" s="639"/>
      <c r="P37" s="640" t="s">
        <v>19</v>
      </c>
      <c r="Q37" s="640"/>
      <c r="R37" s="640"/>
      <c r="S37" s="640"/>
      <c r="T37" s="640"/>
      <c r="U37" s="19" t="str">
        <f>I37</f>
        <v>(WFTE x BSA x CWF x SDF)</v>
      </c>
    </row>
    <row r="38" spans="1:21" hidden="1" x14ac:dyDescent="0.25">
      <c r="A38" s="576" t="s">
        <v>45</v>
      </c>
      <c r="B38" s="576"/>
      <c r="C38" s="147">
        <v>0</v>
      </c>
      <c r="D38" s="147">
        <v>0</v>
      </c>
      <c r="E38" s="187">
        <f t="shared" ref="E38:E43" si="6">IF(D$44=0,C38*2,C38+D38)</f>
        <v>0</v>
      </c>
      <c r="F38" s="148"/>
      <c r="G38" s="148"/>
      <c r="H38" s="148"/>
      <c r="I38" s="111">
        <f>ROUND(ROUND(ROUND(E38*$C$8,4)*($H$8),2)*(MAX($H$9,1)),2)</f>
        <v>0</v>
      </c>
      <c r="N38" s="641" t="s">
        <v>45</v>
      </c>
      <c r="O38" s="641"/>
      <c r="P38" s="608">
        <f t="shared" ref="P38:P43" si="7">IF($H$133=1,E38,0)</f>
        <v>0</v>
      </c>
      <c r="Q38" s="608"/>
      <c r="R38" s="608"/>
      <c r="S38" s="608"/>
      <c r="T38" s="608"/>
      <c r="U38" s="98">
        <f>ROUND(ROUND(ROUND(P38*$C$8,4)*($H$8),2)*(MAX($H$9,1)),2)</f>
        <v>0</v>
      </c>
    </row>
    <row r="39" spans="1:21" hidden="1" x14ac:dyDescent="0.25">
      <c r="A39" s="578" t="s">
        <v>46</v>
      </c>
      <c r="B39" s="578"/>
      <c r="C39" s="150">
        <v>0</v>
      </c>
      <c r="D39" s="150">
        <v>0</v>
      </c>
      <c r="E39" s="116">
        <f t="shared" si="6"/>
        <v>0</v>
      </c>
      <c r="F39" s="151"/>
      <c r="G39" s="151"/>
      <c r="H39" s="151"/>
      <c r="I39" s="101">
        <f t="shared" ref="I39:I43" si="8">ROUND(ROUND(ROUND(E39*$C$8,4)*($H$8),2)*(MAX($H$9,1)),2)</f>
        <v>0</v>
      </c>
      <c r="N39" s="601" t="s">
        <v>46</v>
      </c>
      <c r="O39" s="601"/>
      <c r="P39" s="608">
        <f t="shared" si="7"/>
        <v>0</v>
      </c>
      <c r="Q39" s="608"/>
      <c r="R39" s="608"/>
      <c r="S39" s="608"/>
      <c r="T39" s="608"/>
      <c r="U39" s="98">
        <f t="shared" ref="U39:U43" si="9">ROUND(ROUND(ROUND(P39*$C$8,4)*($H$8),2)*(MAX($H$9,1)),2)</f>
        <v>0</v>
      </c>
    </row>
    <row r="40" spans="1:21" hidden="1" x14ac:dyDescent="0.25">
      <c r="A40" s="583" t="s">
        <v>47</v>
      </c>
      <c r="B40" s="583"/>
      <c r="C40" s="150">
        <v>0</v>
      </c>
      <c r="D40" s="150">
        <v>0</v>
      </c>
      <c r="E40" s="116">
        <f t="shared" si="6"/>
        <v>0</v>
      </c>
      <c r="F40" s="151"/>
      <c r="G40" s="151"/>
      <c r="H40" s="151"/>
      <c r="I40" s="101">
        <f t="shared" si="8"/>
        <v>0</v>
      </c>
      <c r="N40" s="646" t="s">
        <v>47</v>
      </c>
      <c r="O40" s="646"/>
      <c r="P40" s="608">
        <f t="shared" si="7"/>
        <v>0</v>
      </c>
      <c r="Q40" s="608"/>
      <c r="R40" s="608"/>
      <c r="S40" s="608"/>
      <c r="T40" s="608"/>
      <c r="U40" s="98">
        <f t="shared" si="9"/>
        <v>0</v>
      </c>
    </row>
    <row r="41" spans="1:21" hidden="1" x14ac:dyDescent="0.25">
      <c r="A41" s="578" t="s">
        <v>48</v>
      </c>
      <c r="B41" s="578"/>
      <c r="C41" s="150">
        <v>0</v>
      </c>
      <c r="D41" s="150">
        <v>0</v>
      </c>
      <c r="E41" s="116">
        <f t="shared" si="6"/>
        <v>0</v>
      </c>
      <c r="F41" s="151"/>
      <c r="G41" s="151"/>
      <c r="H41" s="151"/>
      <c r="I41" s="101">
        <f t="shared" si="8"/>
        <v>0</v>
      </c>
      <c r="N41" s="601" t="s">
        <v>48</v>
      </c>
      <c r="O41" s="601"/>
      <c r="P41" s="608">
        <f t="shared" si="7"/>
        <v>0</v>
      </c>
      <c r="Q41" s="608"/>
      <c r="R41" s="608"/>
      <c r="S41" s="608"/>
      <c r="T41" s="608"/>
      <c r="U41" s="98">
        <f t="shared" si="9"/>
        <v>0</v>
      </c>
    </row>
    <row r="42" spans="1:21" hidden="1" x14ac:dyDescent="0.25">
      <c r="A42" s="578" t="s">
        <v>49</v>
      </c>
      <c r="B42" s="578"/>
      <c r="C42" s="150">
        <v>0</v>
      </c>
      <c r="D42" s="150">
        <v>0</v>
      </c>
      <c r="E42" s="116">
        <f t="shared" si="6"/>
        <v>0</v>
      </c>
      <c r="F42" s="151"/>
      <c r="G42" s="151"/>
      <c r="H42" s="151"/>
      <c r="I42" s="101">
        <f t="shared" si="8"/>
        <v>0</v>
      </c>
      <c r="N42" s="601" t="s">
        <v>49</v>
      </c>
      <c r="O42" s="601"/>
      <c r="P42" s="608">
        <f t="shared" si="7"/>
        <v>0</v>
      </c>
      <c r="Q42" s="608"/>
      <c r="R42" s="608"/>
      <c r="S42" s="608"/>
      <c r="T42" s="608"/>
      <c r="U42" s="98">
        <f t="shared" si="9"/>
        <v>0</v>
      </c>
    </row>
    <row r="43" spans="1:21" hidden="1" x14ac:dyDescent="0.25">
      <c r="A43" s="578" t="s">
        <v>41</v>
      </c>
      <c r="B43" s="578"/>
      <c r="C43" s="149">
        <v>0</v>
      </c>
      <c r="D43" s="149">
        <v>0</v>
      </c>
      <c r="E43" s="154">
        <f t="shared" si="6"/>
        <v>0</v>
      </c>
      <c r="F43" s="151"/>
      <c r="G43" s="151"/>
      <c r="H43" s="151"/>
      <c r="I43" s="94">
        <f t="shared" si="8"/>
        <v>0</v>
      </c>
      <c r="N43" s="616" t="s">
        <v>41</v>
      </c>
      <c r="O43" s="616"/>
      <c r="P43" s="608">
        <f t="shared" si="7"/>
        <v>0</v>
      </c>
      <c r="Q43" s="608"/>
      <c r="R43" s="608"/>
      <c r="S43" s="608"/>
      <c r="T43" s="60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3" t="s">
        <v>43</v>
      </c>
      <c r="O44" s="603"/>
      <c r="P44" s="603"/>
      <c r="Q44" s="603"/>
      <c r="R44" s="33">
        <f>SUM(P38:R43)</f>
        <v>0</v>
      </c>
      <c r="S44" s="617" t="s">
        <v>51</v>
      </c>
      <c r="T44" s="617"/>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831.34209999999996</v>
      </c>
      <c r="F46" s="34"/>
      <c r="G46" s="106"/>
      <c r="H46" s="107" t="s">
        <v>98</v>
      </c>
      <c r="I46" s="94">
        <f>SUM(I44,I30)</f>
        <v>4612688.32</v>
      </c>
      <c r="N46" s="603" t="s">
        <v>44</v>
      </c>
      <c r="O46" s="603"/>
      <c r="P46" s="603"/>
      <c r="Q46" s="603"/>
      <c r="R46" s="35">
        <f>R44+T30</f>
        <v>0</v>
      </c>
      <c r="S46" s="617" t="s">
        <v>42</v>
      </c>
      <c r="T46" s="617"/>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396</v>
      </c>
      <c r="B48" s="26"/>
      <c r="C48" s="26"/>
      <c r="D48" s="26"/>
      <c r="E48" s="26"/>
      <c r="F48" s="34"/>
      <c r="G48" s="27"/>
      <c r="H48" s="27"/>
      <c r="I48" s="101"/>
      <c r="N48" s="383" t="s">
        <v>396</v>
      </c>
      <c r="O48" s="28"/>
      <c r="P48" s="28"/>
      <c r="Q48" s="28"/>
      <c r="R48" s="35"/>
      <c r="S48" s="30"/>
      <c r="T48" s="30"/>
      <c r="U48" s="402"/>
    </row>
    <row r="49" spans="1:22" s="391" customFormat="1" ht="9" customHeight="1" x14ac:dyDescent="0.2">
      <c r="A49" s="481" t="s">
        <v>397</v>
      </c>
      <c r="F49" s="392"/>
      <c r="G49" s="393"/>
      <c r="H49" s="393"/>
      <c r="I49" s="394"/>
      <c r="N49" s="403" t="s">
        <v>397</v>
      </c>
      <c r="O49" s="395"/>
      <c r="P49" s="395"/>
      <c r="Q49" s="395"/>
      <c r="R49" s="396"/>
      <c r="S49" s="397"/>
      <c r="T49" s="397"/>
      <c r="U49" s="404"/>
    </row>
    <row r="50" spans="1:22" s="391" customFormat="1" ht="11.25" customHeight="1" x14ac:dyDescent="0.2">
      <c r="A50" s="483" t="s">
        <v>398</v>
      </c>
      <c r="F50" s="392"/>
      <c r="G50" s="393"/>
      <c r="H50" s="393"/>
      <c r="I50" s="394"/>
      <c r="N50" s="405" t="s">
        <v>398</v>
      </c>
      <c r="O50" s="395"/>
      <c r="P50" s="395"/>
      <c r="Q50" s="395"/>
      <c r="R50" s="396"/>
      <c r="S50" s="397"/>
      <c r="T50" s="397"/>
      <c r="U50" s="404"/>
    </row>
    <row r="51" spans="1:22" x14ac:dyDescent="0.25">
      <c r="A51" s="389"/>
      <c r="B51" s="399" t="s">
        <v>399</v>
      </c>
      <c r="C51" s="26"/>
      <c r="D51" s="26"/>
      <c r="E51" s="43" t="s">
        <v>400</v>
      </c>
      <c r="F51" s="400">
        <f>I46</f>
        <v>4612688.32</v>
      </c>
      <c r="G51" s="109" t="s">
        <v>6</v>
      </c>
      <c r="H51" s="401">
        <v>4.5199999999999997E-2</v>
      </c>
      <c r="I51" s="101">
        <f>ROUND(F51*H51,2)</f>
        <v>208493.51</v>
      </c>
      <c r="N51" s="406"/>
      <c r="O51" s="407" t="s">
        <v>399</v>
      </c>
      <c r="P51" s="28"/>
      <c r="Q51" s="44" t="s">
        <v>400</v>
      </c>
      <c r="R51" s="408">
        <f>U30</f>
        <v>0</v>
      </c>
      <c r="S51" s="409" t="s">
        <v>6</v>
      </c>
      <c r="T51" s="410">
        <v>4.5199999999999997E-2</v>
      </c>
      <c r="U51" s="402">
        <f>ROUND(R51*T51,2)</f>
        <v>0</v>
      </c>
    </row>
    <row r="52" spans="1:22" x14ac:dyDescent="0.25">
      <c r="A52" s="26"/>
      <c r="B52" s="81" t="s">
        <v>401</v>
      </c>
      <c r="C52" s="26"/>
      <c r="D52" s="26"/>
      <c r="E52" s="43" t="s">
        <v>400</v>
      </c>
      <c r="F52" s="400">
        <f>I46</f>
        <v>4612688.32</v>
      </c>
      <c r="G52" s="109" t="s">
        <v>6</v>
      </c>
      <c r="H52" s="401">
        <v>1.41E-2</v>
      </c>
      <c r="I52" s="101">
        <f>ROUND(F52*H52,2)</f>
        <v>65038.91</v>
      </c>
      <c r="N52" s="28"/>
      <c r="O52" s="383" t="s">
        <v>401</v>
      </c>
      <c r="P52" s="28"/>
      <c r="Q52" s="44" t="s">
        <v>400</v>
      </c>
      <c r="R52" s="408">
        <f>U30</f>
        <v>0</v>
      </c>
      <c r="S52" s="409" t="s">
        <v>6</v>
      </c>
      <c r="T52" s="410">
        <v>1.41E-2</v>
      </c>
      <c r="U52" s="411">
        <f>ROUND(R52*T52,2)</f>
        <v>0</v>
      </c>
    </row>
    <row r="53" spans="1:22" x14ac:dyDescent="0.25">
      <c r="A53" s="26"/>
      <c r="B53" s="81" t="s">
        <v>402</v>
      </c>
      <c r="C53" s="26"/>
      <c r="D53" s="26"/>
      <c r="E53" s="43"/>
      <c r="F53" s="400"/>
      <c r="G53" s="109"/>
      <c r="H53" s="401"/>
      <c r="I53" s="97">
        <f>SUM(I51:I52)</f>
        <v>273532.42000000004</v>
      </c>
      <c r="N53" s="28"/>
      <c r="O53" s="383" t="s">
        <v>402</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440</v>
      </c>
      <c r="G55" s="109" t="s">
        <v>441</v>
      </c>
      <c r="H55" s="454" t="s">
        <v>442</v>
      </c>
      <c r="I55" s="101"/>
      <c r="N55" s="448"/>
      <c r="O55" s="448"/>
      <c r="P55" s="464"/>
      <c r="Q55" s="465"/>
      <c r="R55" s="466"/>
      <c r="S55" s="468" t="s">
        <v>441</v>
      </c>
      <c r="T55" s="469" t="s">
        <v>442</v>
      </c>
      <c r="U55" s="467"/>
      <c r="V55" s="424"/>
    </row>
    <row r="56" spans="1:22" x14ac:dyDescent="0.25">
      <c r="A56" s="36" t="s">
        <v>443</v>
      </c>
      <c r="B56" s="36"/>
      <c r="C56" s="324" t="str">
        <f>'1461'!C56</f>
        <v>FTE</v>
      </c>
      <c r="D56" s="324" t="str">
        <f>'1461'!D56</f>
        <v>FTE</v>
      </c>
      <c r="E56" s="90" t="s">
        <v>2</v>
      </c>
      <c r="F56" s="439" t="s">
        <v>444</v>
      </c>
      <c r="G56" s="441" t="s">
        <v>444</v>
      </c>
      <c r="H56" s="455" t="s">
        <v>445</v>
      </c>
      <c r="I56" s="36"/>
      <c r="N56" s="459" t="s">
        <v>443</v>
      </c>
      <c r="O56" s="459"/>
      <c r="P56" s="620" t="s">
        <v>2</v>
      </c>
      <c r="Q56" s="620"/>
      <c r="R56" s="459" t="s">
        <v>449</v>
      </c>
      <c r="S56" s="450" t="s">
        <v>444</v>
      </c>
      <c r="T56" s="470" t="s">
        <v>445</v>
      </c>
      <c r="U56" s="459"/>
      <c r="V56" s="458"/>
    </row>
    <row r="57" spans="1:22" x14ac:dyDescent="0.25">
      <c r="A57" s="588" t="s">
        <v>447</v>
      </c>
      <c r="B57" s="588"/>
      <c r="C57" s="143">
        <v>7.5</v>
      </c>
      <c r="D57" s="143">
        <v>6.47</v>
      </c>
      <c r="E57" s="116">
        <f t="shared" ref="E57:E65" si="10">IF(D$66=0,C57*2,C57+D57)</f>
        <v>13.969999999999999</v>
      </c>
      <c r="F57" s="443" t="s">
        <v>439</v>
      </c>
      <c r="G57" s="443">
        <v>251</v>
      </c>
      <c r="H57" s="457">
        <f>'1461'!H57</f>
        <v>1047</v>
      </c>
      <c r="I57" s="101">
        <f>ROUND(E57*H57,2)</f>
        <v>14626.59</v>
      </c>
      <c r="N57" s="618" t="s">
        <v>447</v>
      </c>
      <c r="O57" s="618"/>
      <c r="P57" s="621"/>
      <c r="Q57" s="621"/>
      <c r="R57" s="449" t="s">
        <v>439</v>
      </c>
      <c r="S57" s="449">
        <v>251</v>
      </c>
      <c r="T57" s="460">
        <f>H57</f>
        <v>1047</v>
      </c>
      <c r="U57" s="474">
        <f>ROUND(P57*T57,2)</f>
        <v>0</v>
      </c>
      <c r="V57" s="424"/>
    </row>
    <row r="58" spans="1:22" x14ac:dyDescent="0.25">
      <c r="A58" s="589"/>
      <c r="B58" s="589"/>
      <c r="C58" s="143">
        <v>2.5</v>
      </c>
      <c r="D58" s="143">
        <v>2.5299999999999998</v>
      </c>
      <c r="E58" s="116">
        <f t="shared" si="10"/>
        <v>5.0299999999999994</v>
      </c>
      <c r="F58" s="443" t="s">
        <v>439</v>
      </c>
      <c r="G58" s="443">
        <v>252</v>
      </c>
      <c r="H58" s="457">
        <f>'1461'!H58</f>
        <v>3380</v>
      </c>
      <c r="I58" s="101">
        <f t="shared" ref="I58:I65" si="11">ROUND(E58*H58,2)</f>
        <v>17001.400000000001</v>
      </c>
      <c r="N58" s="619"/>
      <c r="O58" s="619"/>
      <c r="P58" s="622"/>
      <c r="Q58" s="622"/>
      <c r="R58" s="449" t="s">
        <v>439</v>
      </c>
      <c r="S58" s="449">
        <v>252</v>
      </c>
      <c r="T58" s="460">
        <f t="shared" ref="T58:T65" si="12">H58</f>
        <v>3380</v>
      </c>
      <c r="U58" s="474">
        <f t="shared" ref="U58:U65" si="13">ROUND(P58*T58,2)</f>
        <v>0</v>
      </c>
      <c r="V58" s="424"/>
    </row>
    <row r="59" spans="1:22" x14ac:dyDescent="0.25">
      <c r="A59" s="589"/>
      <c r="B59" s="589"/>
      <c r="C59" s="143">
        <v>0.5</v>
      </c>
      <c r="D59" s="143">
        <v>0.51</v>
      </c>
      <c r="E59" s="116">
        <f t="shared" si="10"/>
        <v>1.01</v>
      </c>
      <c r="F59" s="443" t="s">
        <v>439</v>
      </c>
      <c r="G59" s="443">
        <v>253</v>
      </c>
      <c r="H59" s="457">
        <f>'1461'!H59</f>
        <v>6896</v>
      </c>
      <c r="I59" s="101">
        <f t="shared" si="11"/>
        <v>6964.96</v>
      </c>
      <c r="N59" s="619"/>
      <c r="O59" s="619"/>
      <c r="P59" s="622"/>
      <c r="Q59" s="622"/>
      <c r="R59" s="449" t="s">
        <v>439</v>
      </c>
      <c r="S59" s="449">
        <v>253</v>
      </c>
      <c r="T59" s="460">
        <f t="shared" si="12"/>
        <v>6896</v>
      </c>
      <c r="U59" s="474">
        <f t="shared" si="13"/>
        <v>0</v>
      </c>
      <c r="V59" s="424"/>
    </row>
    <row r="60" spans="1:22" x14ac:dyDescent="0.25">
      <c r="A60" s="589"/>
      <c r="B60" s="589"/>
      <c r="C60" s="143">
        <v>20.5</v>
      </c>
      <c r="D60" s="143">
        <v>20.23</v>
      </c>
      <c r="E60" s="116">
        <f t="shared" si="10"/>
        <v>40.730000000000004</v>
      </c>
      <c r="F60" s="444" t="s">
        <v>13</v>
      </c>
      <c r="G60" s="443">
        <v>251</v>
      </c>
      <c r="H60" s="457">
        <f>'1461'!H60</f>
        <v>1173</v>
      </c>
      <c r="I60" s="101">
        <f t="shared" si="11"/>
        <v>47776.29</v>
      </c>
      <c r="N60" s="619"/>
      <c r="O60" s="619"/>
      <c r="P60" s="622"/>
      <c r="Q60" s="622"/>
      <c r="R60" s="40" t="s">
        <v>13</v>
      </c>
      <c r="S60" s="449">
        <v>251</v>
      </c>
      <c r="T60" s="460">
        <f t="shared" si="12"/>
        <v>1173</v>
      </c>
      <c r="U60" s="474">
        <f t="shared" si="13"/>
        <v>0</v>
      </c>
      <c r="V60" s="424"/>
    </row>
    <row r="61" spans="1:22" x14ac:dyDescent="0.25">
      <c r="A61" s="589"/>
      <c r="B61" s="589"/>
      <c r="C61" s="143">
        <v>0</v>
      </c>
      <c r="D61" s="143">
        <v>0</v>
      </c>
      <c r="E61" s="116">
        <f t="shared" si="10"/>
        <v>0</v>
      </c>
      <c r="F61" s="444" t="s">
        <v>13</v>
      </c>
      <c r="G61" s="443">
        <v>252</v>
      </c>
      <c r="H61" s="457">
        <f>'1461'!H61</f>
        <v>3506</v>
      </c>
      <c r="I61" s="101">
        <f t="shared" si="11"/>
        <v>0</v>
      </c>
      <c r="N61" s="619"/>
      <c r="O61" s="619"/>
      <c r="P61" s="622"/>
      <c r="Q61" s="622"/>
      <c r="R61" s="40" t="s">
        <v>13</v>
      </c>
      <c r="S61" s="449">
        <v>252</v>
      </c>
      <c r="T61" s="460">
        <f t="shared" si="12"/>
        <v>3506</v>
      </c>
      <c r="U61" s="474">
        <f t="shared" si="13"/>
        <v>0</v>
      </c>
      <c r="V61" s="424"/>
    </row>
    <row r="62" spans="1:22" x14ac:dyDescent="0.25">
      <c r="A62" s="589"/>
      <c r="B62" s="589"/>
      <c r="C62" s="143">
        <v>0</v>
      </c>
      <c r="D62" s="143">
        <v>0</v>
      </c>
      <c r="E62" s="116">
        <f t="shared" si="10"/>
        <v>0</v>
      </c>
      <c r="F62" s="444" t="s">
        <v>13</v>
      </c>
      <c r="G62" s="443">
        <v>253</v>
      </c>
      <c r="H62" s="457">
        <f>'1461'!H62</f>
        <v>7023</v>
      </c>
      <c r="I62" s="101">
        <f t="shared" si="11"/>
        <v>0</v>
      </c>
      <c r="N62" s="619"/>
      <c r="O62" s="619"/>
      <c r="P62" s="622"/>
      <c r="Q62" s="622"/>
      <c r="R62" s="40" t="s">
        <v>13</v>
      </c>
      <c r="S62" s="449">
        <v>253</v>
      </c>
      <c r="T62" s="460">
        <f t="shared" si="12"/>
        <v>7023</v>
      </c>
      <c r="U62" s="474">
        <f t="shared" si="13"/>
        <v>0</v>
      </c>
      <c r="V62" s="424"/>
    </row>
    <row r="63" spans="1:22" x14ac:dyDescent="0.25">
      <c r="A63" s="589"/>
      <c r="B63" s="589"/>
      <c r="C63" s="143">
        <v>0</v>
      </c>
      <c r="D63" s="143">
        <v>0</v>
      </c>
      <c r="E63" s="116">
        <f t="shared" si="10"/>
        <v>0</v>
      </c>
      <c r="F63" s="444" t="s">
        <v>14</v>
      </c>
      <c r="G63" s="443">
        <v>251</v>
      </c>
      <c r="H63" s="457">
        <f>'1461'!H63</f>
        <v>835</v>
      </c>
      <c r="I63" s="101">
        <f t="shared" si="11"/>
        <v>0</v>
      </c>
      <c r="N63" s="619"/>
      <c r="O63" s="619"/>
      <c r="P63" s="622"/>
      <c r="Q63" s="622"/>
      <c r="R63" s="40" t="s">
        <v>14</v>
      </c>
      <c r="S63" s="449">
        <v>251</v>
      </c>
      <c r="T63" s="460">
        <f t="shared" si="12"/>
        <v>835</v>
      </c>
      <c r="U63" s="474">
        <f t="shared" si="13"/>
        <v>0</v>
      </c>
      <c r="V63" s="424"/>
    </row>
    <row r="64" spans="1:22" x14ac:dyDescent="0.25">
      <c r="A64" s="589"/>
      <c r="B64" s="589"/>
      <c r="C64" s="143">
        <v>0</v>
      </c>
      <c r="D64" s="143">
        <v>0</v>
      </c>
      <c r="E64" s="116">
        <f t="shared" si="10"/>
        <v>0</v>
      </c>
      <c r="F64" s="444" t="s">
        <v>14</v>
      </c>
      <c r="G64" s="443">
        <v>252</v>
      </c>
      <c r="H64" s="457">
        <f>'1461'!H64</f>
        <v>3168</v>
      </c>
      <c r="I64" s="101">
        <f t="shared" si="11"/>
        <v>0</v>
      </c>
      <c r="N64" s="619"/>
      <c r="O64" s="619"/>
      <c r="P64" s="622"/>
      <c r="Q64" s="622"/>
      <c r="R64" s="40" t="s">
        <v>14</v>
      </c>
      <c r="S64" s="449">
        <v>252</v>
      </c>
      <c r="T64" s="460">
        <f t="shared" si="12"/>
        <v>3168</v>
      </c>
      <c r="U64" s="474">
        <f t="shared" si="13"/>
        <v>0</v>
      </c>
      <c r="V64" s="424"/>
    </row>
    <row r="65" spans="1:22" ht="16.5" thickBot="1" x14ac:dyDescent="0.3">
      <c r="A65" s="589"/>
      <c r="B65" s="589"/>
      <c r="C65" s="143">
        <v>0</v>
      </c>
      <c r="D65" s="143">
        <v>0</v>
      </c>
      <c r="E65" s="116">
        <f t="shared" si="10"/>
        <v>0</v>
      </c>
      <c r="F65" s="444" t="s">
        <v>14</v>
      </c>
      <c r="G65" s="443">
        <v>253</v>
      </c>
      <c r="H65" s="457">
        <f>'1461'!H65</f>
        <v>6685</v>
      </c>
      <c r="I65" s="101">
        <f t="shared" si="11"/>
        <v>0</v>
      </c>
      <c r="N65" s="619"/>
      <c r="O65" s="619"/>
      <c r="P65" s="623"/>
      <c r="Q65" s="623"/>
      <c r="R65" s="40" t="s">
        <v>14</v>
      </c>
      <c r="S65" s="449">
        <v>253</v>
      </c>
      <c r="T65" s="460">
        <f t="shared" si="12"/>
        <v>6685</v>
      </c>
      <c r="U65" s="475">
        <f t="shared" si="13"/>
        <v>0</v>
      </c>
      <c r="V65" s="424"/>
    </row>
    <row r="66" spans="1:22" ht="16.5" thickBot="1" x14ac:dyDescent="0.3">
      <c r="A66" s="440"/>
      <c r="C66" s="97">
        <f>SUM(C57:C65)</f>
        <v>31</v>
      </c>
      <c r="D66" s="97">
        <f>SUM(D57:D65)</f>
        <v>29.740000000000002</v>
      </c>
      <c r="E66" s="97">
        <f>SUM(E57:E65)</f>
        <v>60.740000000000009</v>
      </c>
      <c r="F66" s="590" t="s">
        <v>448</v>
      </c>
      <c r="G66" s="590"/>
      <c r="H66" s="590"/>
      <c r="I66" s="97">
        <f>SUM(I57:I65)</f>
        <v>86369.24</v>
      </c>
      <c r="N66" s="446"/>
      <c r="O66" s="51"/>
      <c r="P66" s="602">
        <f>SUM(P57:P65)</f>
        <v>0</v>
      </c>
      <c r="Q66" s="602"/>
      <c r="R66" s="603" t="s">
        <v>448</v>
      </c>
      <c r="S66" s="603"/>
      <c r="T66" s="603"/>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450</v>
      </c>
      <c r="N68" s="453" t="s">
        <v>458</v>
      </c>
      <c r="O68" s="51"/>
      <c r="P68" s="51"/>
      <c r="Q68" s="51"/>
      <c r="R68" s="51"/>
      <c r="S68" s="51"/>
      <c r="T68" s="51"/>
      <c r="U68" s="51"/>
    </row>
    <row r="69" spans="1:22" x14ac:dyDescent="0.25">
      <c r="A69" s="584" t="s">
        <v>403</v>
      </c>
      <c r="B69" s="578"/>
      <c r="C69" s="112">
        <f>E30</f>
        <v>780.77</v>
      </c>
      <c r="D69" s="565" t="s">
        <v>414</v>
      </c>
      <c r="E69" s="565"/>
      <c r="F69" s="565"/>
      <c r="G69" s="565"/>
      <c r="H69" s="300">
        <f>'1461'!H69</f>
        <v>210228.91</v>
      </c>
      <c r="I69" s="113"/>
      <c r="N69" s="600" t="s">
        <v>407</v>
      </c>
      <c r="O69" s="601"/>
      <c r="P69" s="41">
        <f>P30</f>
        <v>0</v>
      </c>
      <c r="Q69" s="606" t="s">
        <v>409</v>
      </c>
      <c r="R69" s="607"/>
      <c r="S69" s="607"/>
      <c r="T69" s="604">
        <f>H69</f>
        <v>210228.91</v>
      </c>
      <c r="U69" s="604"/>
    </row>
    <row r="70" spans="1:22" x14ac:dyDescent="0.25">
      <c r="B70" s="69"/>
      <c r="G70" s="42" t="s">
        <v>12</v>
      </c>
      <c r="H70" s="114">
        <f>ROUND(C69/H69,6)</f>
        <v>3.7139999999999999E-3</v>
      </c>
      <c r="I70" s="115"/>
      <c r="N70" s="601"/>
      <c r="O70" s="601"/>
      <c r="P70" s="601"/>
      <c r="Q70" s="601"/>
      <c r="R70" s="601"/>
      <c r="S70" s="601"/>
      <c r="T70" s="605">
        <f>ROUND(P69/T69,6)</f>
        <v>0</v>
      </c>
      <c r="U70" s="605"/>
    </row>
    <row r="71" spans="1:22" x14ac:dyDescent="0.25">
      <c r="A71" s="442" t="s">
        <v>451</v>
      </c>
      <c r="N71" s="453" t="s">
        <v>459</v>
      </c>
      <c r="O71" s="51"/>
      <c r="P71" s="51"/>
      <c r="Q71" s="51"/>
      <c r="R71" s="51"/>
      <c r="S71" s="51"/>
      <c r="T71" s="51"/>
      <c r="U71" s="51"/>
    </row>
    <row r="72" spans="1:22" x14ac:dyDescent="0.25">
      <c r="A72" s="584" t="s">
        <v>404</v>
      </c>
      <c r="B72" s="578"/>
      <c r="C72" s="112">
        <f>H30</f>
        <v>831.34209999999996</v>
      </c>
      <c r="D72" s="565" t="s">
        <v>415</v>
      </c>
      <c r="E72" s="565"/>
      <c r="F72" s="565"/>
      <c r="G72" s="565"/>
      <c r="H72" s="301">
        <f>'1461'!H72</f>
        <v>234891.44</v>
      </c>
      <c r="I72" s="116"/>
      <c r="N72" s="600" t="s">
        <v>408</v>
      </c>
      <c r="O72" s="601"/>
      <c r="P72" s="41">
        <f>T30</f>
        <v>0</v>
      </c>
      <c r="Q72" s="606" t="s">
        <v>410</v>
      </c>
      <c r="R72" s="607"/>
      <c r="S72" s="607"/>
      <c r="T72" s="604">
        <f>H72</f>
        <v>234891.44</v>
      </c>
      <c r="U72" s="604"/>
    </row>
    <row r="73" spans="1:22" x14ac:dyDescent="0.25">
      <c r="G73" s="42" t="s">
        <v>12</v>
      </c>
      <c r="H73" s="114">
        <f>ROUND(C72/H72,6)</f>
        <v>3.539E-3</v>
      </c>
      <c r="I73" s="114"/>
      <c r="N73" s="601"/>
      <c r="O73" s="601"/>
      <c r="P73" s="601"/>
      <c r="Q73" s="601"/>
      <c r="R73" s="601"/>
      <c r="S73" s="601"/>
      <c r="T73" s="605">
        <f>ROUND(P72/T72,6)</f>
        <v>0</v>
      </c>
      <c r="U73" s="605"/>
    </row>
    <row r="74" spans="1:22" x14ac:dyDescent="0.25">
      <c r="A74" s="417" t="s">
        <v>452</v>
      </c>
      <c r="B74" s="414"/>
      <c r="C74" s="414"/>
      <c r="D74" s="414"/>
      <c r="E74" s="414"/>
      <c r="F74" s="414"/>
      <c r="G74" s="414"/>
      <c r="H74" s="414"/>
      <c r="I74" s="414"/>
      <c r="N74" s="416" t="s">
        <v>460</v>
      </c>
      <c r="O74" s="415"/>
      <c r="P74" s="415"/>
      <c r="Q74" s="415"/>
      <c r="R74" s="415"/>
      <c r="S74" s="415"/>
      <c r="T74" s="415"/>
      <c r="U74" s="415"/>
      <c r="V74" s="414"/>
    </row>
    <row r="75" spans="1:22" x14ac:dyDescent="0.25">
      <c r="A75" s="584" t="s">
        <v>405</v>
      </c>
      <c r="B75" s="578"/>
      <c r="C75" s="112">
        <f>E30</f>
        <v>780.77</v>
      </c>
      <c r="D75" s="557" t="s">
        <v>416</v>
      </c>
      <c r="E75" s="557"/>
      <c r="F75" s="557"/>
      <c r="G75" s="557"/>
      <c r="H75" s="300">
        <f>'1461'!H75</f>
        <v>187665.41</v>
      </c>
      <c r="I75" s="113"/>
      <c r="N75" s="600" t="s">
        <v>406</v>
      </c>
      <c r="O75" s="601"/>
      <c r="P75" s="41">
        <f>P30</f>
        <v>0</v>
      </c>
      <c r="Q75" s="636" t="s">
        <v>411</v>
      </c>
      <c r="R75" s="637"/>
      <c r="S75" s="637"/>
      <c r="T75" s="604">
        <f>H75</f>
        <v>187665.41</v>
      </c>
      <c r="U75" s="604"/>
    </row>
    <row r="76" spans="1:22" x14ac:dyDescent="0.25">
      <c r="B76" s="69"/>
      <c r="G76" s="42" t="s">
        <v>12</v>
      </c>
      <c r="H76" s="114">
        <f>ROUND(C75/H75,6)</f>
        <v>4.1599999999999996E-3</v>
      </c>
      <c r="I76" s="115"/>
      <c r="N76" s="601"/>
      <c r="O76" s="601"/>
      <c r="P76" s="601"/>
      <c r="Q76" s="601"/>
      <c r="R76" s="601"/>
      <c r="S76" s="601"/>
      <c r="T76" s="605">
        <f>ROUND(P75/T75,6)</f>
        <v>0</v>
      </c>
      <c r="U76" s="605"/>
    </row>
    <row r="77" spans="1:22" x14ac:dyDescent="0.25">
      <c r="A77" s="417" t="s">
        <v>453</v>
      </c>
      <c r="B77" s="414"/>
      <c r="C77" s="414"/>
      <c r="D77" s="414"/>
      <c r="E77" s="414"/>
      <c r="F77" s="414"/>
      <c r="G77" s="414"/>
      <c r="H77" s="414"/>
      <c r="I77" s="414"/>
      <c r="N77" s="416" t="s">
        <v>461</v>
      </c>
      <c r="O77" s="415"/>
      <c r="P77" s="415"/>
      <c r="Q77" s="415"/>
      <c r="R77" s="415"/>
      <c r="S77" s="415"/>
      <c r="T77" s="415"/>
      <c r="U77" s="415"/>
      <c r="V77" s="414"/>
    </row>
    <row r="78" spans="1:22" x14ac:dyDescent="0.25">
      <c r="A78" s="584" t="s">
        <v>405</v>
      </c>
      <c r="B78" s="578"/>
      <c r="C78" s="112">
        <f>E30</f>
        <v>780.77</v>
      </c>
      <c r="D78" s="585" t="s">
        <v>417</v>
      </c>
      <c r="E78" s="585"/>
      <c r="F78" s="585"/>
      <c r="G78" s="585"/>
      <c r="H78" s="300">
        <f>'1461'!H78</f>
        <v>209892.26</v>
      </c>
      <c r="I78" s="113"/>
      <c r="N78" s="600" t="s">
        <v>406</v>
      </c>
      <c r="O78" s="601"/>
      <c r="P78" s="41">
        <f>P30</f>
        <v>0</v>
      </c>
      <c r="Q78" s="634" t="s">
        <v>412</v>
      </c>
      <c r="R78" s="635"/>
      <c r="S78" s="635"/>
      <c r="T78" s="604">
        <f>H78</f>
        <v>209892.26</v>
      </c>
      <c r="U78" s="604"/>
    </row>
    <row r="79" spans="1:22" x14ac:dyDescent="0.25">
      <c r="B79" s="69"/>
      <c r="G79" s="42" t="s">
        <v>12</v>
      </c>
      <c r="H79" s="114">
        <f>ROUND(C78/H78,6)</f>
        <v>3.7200000000000002E-3</v>
      </c>
      <c r="I79" s="115"/>
      <c r="N79" s="601"/>
      <c r="O79" s="601"/>
      <c r="P79" s="601"/>
      <c r="Q79" s="601"/>
      <c r="R79" s="601"/>
      <c r="S79" s="601"/>
      <c r="T79" s="605">
        <f>ROUND(P78/T78,6)</f>
        <v>0</v>
      </c>
      <c r="U79" s="605"/>
    </row>
    <row r="80" spans="1:22" x14ac:dyDescent="0.25">
      <c r="A80" s="417" t="s">
        <v>454</v>
      </c>
      <c r="B80" s="414"/>
      <c r="C80" s="414"/>
      <c r="D80" s="414"/>
      <c r="E80" s="414"/>
      <c r="F80" s="414"/>
      <c r="G80" s="414"/>
      <c r="H80" s="414"/>
      <c r="I80" s="414"/>
      <c r="N80" s="416" t="s">
        <v>462</v>
      </c>
      <c r="O80" s="415"/>
      <c r="P80" s="415"/>
      <c r="Q80" s="415"/>
      <c r="R80" s="415"/>
      <c r="S80" s="415"/>
      <c r="T80" s="415"/>
      <c r="U80" s="415"/>
      <c r="V80" s="414"/>
    </row>
    <row r="81" spans="1:21" x14ac:dyDescent="0.25">
      <c r="A81" s="584" t="s">
        <v>413</v>
      </c>
      <c r="B81" s="578"/>
      <c r="C81" s="112">
        <f>E30</f>
        <v>780.77</v>
      </c>
      <c r="D81" s="557" t="s">
        <v>418</v>
      </c>
      <c r="E81" s="557"/>
      <c r="F81" s="557"/>
      <c r="G81" s="557"/>
      <c r="H81" s="300">
        <f>'1461'!H81</f>
        <v>187328.76</v>
      </c>
      <c r="I81" s="113"/>
      <c r="N81" s="600" t="s">
        <v>419</v>
      </c>
      <c r="O81" s="601"/>
      <c r="P81" s="41">
        <f>P30</f>
        <v>0</v>
      </c>
      <c r="Q81" s="636" t="s">
        <v>420</v>
      </c>
      <c r="R81" s="637"/>
      <c r="S81" s="637"/>
      <c r="T81" s="604">
        <f>H81</f>
        <v>187328.76</v>
      </c>
      <c r="U81" s="604"/>
    </row>
    <row r="82" spans="1:21" x14ac:dyDescent="0.25">
      <c r="B82" s="69"/>
      <c r="G82" s="42" t="s">
        <v>12</v>
      </c>
      <c r="H82" s="114">
        <f>ROUND(C81/H81,6)</f>
        <v>4.1679999999999998E-3</v>
      </c>
      <c r="I82" s="115"/>
      <c r="N82" s="601"/>
      <c r="O82" s="601"/>
      <c r="P82" s="601"/>
      <c r="Q82" s="601"/>
      <c r="R82" s="601"/>
      <c r="S82" s="601"/>
      <c r="T82" s="605">
        <f>ROUND(P81/T81,6)</f>
        <v>0</v>
      </c>
      <c r="U82" s="605"/>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455</v>
      </c>
      <c r="D85" s="69"/>
      <c r="E85" s="43" t="s">
        <v>299</v>
      </c>
      <c r="F85" s="302">
        <f>'1461'!F85</f>
        <v>46163704</v>
      </c>
      <c r="G85" s="37" t="s">
        <v>6</v>
      </c>
      <c r="H85" s="422">
        <f>H79</f>
        <v>3.7200000000000002E-3</v>
      </c>
      <c r="I85" s="101">
        <f>ROUND(F85*H85,2)</f>
        <v>171728.98</v>
      </c>
      <c r="N85" s="453" t="s">
        <v>455</v>
      </c>
      <c r="O85" s="51"/>
      <c r="P85" s="51"/>
      <c r="Q85" s="44"/>
      <c r="R85" s="419">
        <f>F85</f>
        <v>46163704</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87" t="s">
        <v>71</v>
      </c>
      <c r="B87" s="578"/>
      <c r="C87" s="578"/>
      <c r="D87" s="69"/>
      <c r="E87" s="43"/>
      <c r="F87" s="117"/>
      <c r="G87" s="37"/>
      <c r="H87" s="422"/>
      <c r="I87" s="101"/>
      <c r="N87" s="600" t="s">
        <v>463</v>
      </c>
      <c r="O87" s="601"/>
      <c r="P87" s="601"/>
      <c r="Q87" s="51"/>
      <c r="R87" s="420"/>
      <c r="S87" s="51"/>
      <c r="T87" s="38"/>
      <c r="U87" s="478"/>
    </row>
    <row r="88" spans="1:21" x14ac:dyDescent="0.25">
      <c r="A88" s="587" t="s">
        <v>99</v>
      </c>
      <c r="B88" s="578"/>
      <c r="C88" s="578"/>
      <c r="D88" s="69"/>
      <c r="E88" s="43" t="s">
        <v>3</v>
      </c>
      <c r="F88" s="302">
        <f>'1461'!F88</f>
        <v>0</v>
      </c>
      <c r="G88" s="37" t="s">
        <v>6</v>
      </c>
      <c r="H88" s="422">
        <f>H70</f>
        <v>3.7139999999999999E-3</v>
      </c>
      <c r="I88" s="101">
        <f>ROUND(F88*H88,2)</f>
        <v>0</v>
      </c>
      <c r="N88" s="638" t="s">
        <v>99</v>
      </c>
      <c r="O88" s="601"/>
      <c r="P88" s="601"/>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456</v>
      </c>
      <c r="D90" s="69"/>
      <c r="E90" s="43" t="s">
        <v>421</v>
      </c>
      <c r="F90" s="302">
        <f>'1461'!F90</f>
        <v>19042026</v>
      </c>
      <c r="G90" s="37" t="s">
        <v>6</v>
      </c>
      <c r="H90" s="422">
        <f>H82</f>
        <v>4.1679999999999998E-3</v>
      </c>
      <c r="I90" s="101">
        <f>ROUND(F90*H90,2)</f>
        <v>79367.16</v>
      </c>
      <c r="N90" s="453" t="s">
        <v>456</v>
      </c>
      <c r="O90" s="51"/>
      <c r="P90" s="51"/>
      <c r="Q90" s="44"/>
      <c r="R90" s="419">
        <f>F90</f>
        <v>19042026</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457</v>
      </c>
      <c r="D92" s="69"/>
      <c r="E92" s="43" t="s">
        <v>3</v>
      </c>
      <c r="F92" s="302">
        <f>'1461'!F92</f>
        <v>11441151</v>
      </c>
      <c r="G92" s="37" t="s">
        <v>6</v>
      </c>
      <c r="H92" s="422">
        <f>H76</f>
        <v>4.1599999999999996E-3</v>
      </c>
      <c r="I92" s="101">
        <f t="shared" ref="I92:I96" si="14">ROUND(F92*H92,2)</f>
        <v>47595.19</v>
      </c>
      <c r="N92" s="453" t="s">
        <v>457</v>
      </c>
      <c r="O92" s="51"/>
      <c r="P92" s="51"/>
      <c r="Q92" s="44"/>
      <c r="R92" s="419">
        <f t="shared" ref="R92:R96" si="15">F92</f>
        <v>11441151</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84" t="s">
        <v>422</v>
      </c>
      <c r="B94" s="578"/>
      <c r="C94" s="578"/>
      <c r="D94" s="69"/>
      <c r="E94" s="43" t="s">
        <v>4</v>
      </c>
      <c r="F94" s="302">
        <f>'1461'!F94</f>
        <v>247265670</v>
      </c>
      <c r="G94" s="37" t="s">
        <v>6</v>
      </c>
      <c r="H94" s="422">
        <f>H73</f>
        <v>3.539E-3</v>
      </c>
      <c r="I94" s="101">
        <f t="shared" si="14"/>
        <v>875073.21</v>
      </c>
      <c r="N94" s="601" t="s">
        <v>422</v>
      </c>
      <c r="O94" s="601"/>
      <c r="P94" s="601"/>
      <c r="Q94" s="44"/>
      <c r="R94" s="419">
        <f t="shared" si="15"/>
        <v>247265670</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4" t="s">
        <v>423</v>
      </c>
      <c r="B96" s="578"/>
      <c r="C96" s="578"/>
      <c r="D96" s="69"/>
      <c r="E96" s="43" t="s">
        <v>4</v>
      </c>
      <c r="F96" s="302">
        <f>'1461'!F96</f>
        <v>0</v>
      </c>
      <c r="G96" s="37" t="s">
        <v>6</v>
      </c>
      <c r="H96" s="422">
        <f>H73</f>
        <v>3.539E-3</v>
      </c>
      <c r="I96" s="101">
        <f t="shared" si="14"/>
        <v>0</v>
      </c>
      <c r="N96" s="600" t="s">
        <v>423</v>
      </c>
      <c r="O96" s="601"/>
      <c r="P96" s="601"/>
      <c r="Q96" s="44"/>
      <c r="R96" s="419">
        <f t="shared" si="15"/>
        <v>0</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530" t="s">
        <v>497</v>
      </c>
      <c r="B98" s="529"/>
      <c r="C98" s="529"/>
      <c r="D98" s="529"/>
      <c r="E98" s="527" t="s">
        <v>3</v>
      </c>
      <c r="F98" s="290">
        <v>0</v>
      </c>
      <c r="G98" s="528" t="s">
        <v>6</v>
      </c>
      <c r="H98" s="422">
        <f>H70</f>
        <v>3.7139999999999999E-3</v>
      </c>
      <c r="I98" s="101">
        <f t="shared" ref="I98" si="16">ROUND(F98*H98,2)</f>
        <v>0</v>
      </c>
      <c r="N98" s="533" t="s">
        <v>497</v>
      </c>
      <c r="O98" s="533"/>
      <c r="P98" s="533"/>
      <c r="Q98" s="44"/>
      <c r="R98" s="536">
        <f>F98</f>
        <v>0</v>
      </c>
      <c r="S98" s="534" t="s">
        <v>6</v>
      </c>
      <c r="T98" s="421">
        <f>T70</f>
        <v>0</v>
      </c>
      <c r="U98" s="473">
        <f>ROUND(R98*T98,2)</f>
        <v>0</v>
      </c>
    </row>
    <row r="99" spans="1:21" x14ac:dyDescent="0.25">
      <c r="A99" s="530"/>
      <c r="B99" s="529"/>
      <c r="C99" s="529"/>
      <c r="D99" s="529"/>
      <c r="E99" s="527"/>
      <c r="F99" s="276"/>
      <c r="G99" s="528"/>
      <c r="H99" s="422"/>
      <c r="I99" s="101"/>
      <c r="N99" s="533"/>
      <c r="O99" s="533"/>
      <c r="P99" s="533"/>
      <c r="Q99" s="44"/>
      <c r="R99" s="535"/>
      <c r="S99" s="534"/>
      <c r="T99" s="421"/>
      <c r="U99" s="477"/>
    </row>
    <row r="100" spans="1:21" x14ac:dyDescent="0.25">
      <c r="A100" s="530"/>
      <c r="B100" s="529"/>
      <c r="C100" s="529"/>
      <c r="D100" s="529"/>
      <c r="E100" s="527"/>
      <c r="F100" s="276"/>
      <c r="G100" s="528"/>
      <c r="H100" s="422"/>
      <c r="I100" s="101"/>
      <c r="N100" s="533"/>
      <c r="O100" s="533"/>
      <c r="P100" s="533"/>
      <c r="Q100" s="44"/>
      <c r="R100" s="420"/>
      <c r="S100" s="534"/>
      <c r="T100" s="421"/>
      <c r="U100" s="103"/>
    </row>
    <row r="101" spans="1:21" x14ac:dyDescent="0.25">
      <c r="A101" s="399" t="s">
        <v>498</v>
      </c>
      <c r="N101" s="407" t="s">
        <v>498</v>
      </c>
      <c r="O101" s="51"/>
      <c r="P101" s="51"/>
      <c r="Q101" s="51"/>
      <c r="R101" s="51"/>
      <c r="S101" s="51"/>
      <c r="T101" s="51"/>
      <c r="U101" s="51"/>
    </row>
    <row r="102" spans="1:21" x14ac:dyDescent="0.25">
      <c r="B102" s="69"/>
      <c r="C102" s="563" t="s">
        <v>60</v>
      </c>
      <c r="D102" s="563"/>
      <c r="E102" s="69"/>
      <c r="F102" s="39" t="s">
        <v>28</v>
      </c>
      <c r="G102" s="69"/>
      <c r="H102" s="69"/>
      <c r="I102" s="69"/>
      <c r="N102" s="45"/>
      <c r="O102" s="45"/>
      <c r="P102" s="45"/>
      <c r="Q102" s="45"/>
      <c r="R102" s="45"/>
      <c r="S102" s="45"/>
      <c r="T102" s="45"/>
      <c r="U102" s="45"/>
    </row>
    <row r="103" spans="1:21" x14ac:dyDescent="0.25">
      <c r="A103" s="3"/>
      <c r="B103" s="118"/>
      <c r="C103" s="564" t="s">
        <v>101</v>
      </c>
      <c r="D103" s="564"/>
      <c r="E103" s="423" t="s">
        <v>426</v>
      </c>
      <c r="F103" s="120" t="s">
        <v>106</v>
      </c>
      <c r="G103" s="121"/>
      <c r="H103" s="121"/>
      <c r="I103" s="121"/>
      <c r="N103" s="631" t="s">
        <v>35</v>
      </c>
      <c r="O103" s="631"/>
      <c r="P103" s="672" t="s">
        <v>428</v>
      </c>
      <c r="Q103" s="633"/>
      <c r="R103" s="604" t="s">
        <v>31</v>
      </c>
      <c r="S103" s="604"/>
      <c r="T103" s="604"/>
      <c r="U103" s="604"/>
    </row>
    <row r="104" spans="1:21" x14ac:dyDescent="0.25">
      <c r="A104" s="26"/>
      <c r="B104" s="52" t="s">
        <v>105</v>
      </c>
      <c r="C104" s="596">
        <f>H14+H15+H20+H23+H26</f>
        <v>390.53639999999996</v>
      </c>
      <c r="D104" s="596"/>
      <c r="E104" s="46">
        <f>H8</f>
        <v>1.0407999999999999</v>
      </c>
      <c r="F104" s="303">
        <f>'1461'!F104</f>
        <v>950.92</v>
      </c>
      <c r="G104" s="39" t="s">
        <v>12</v>
      </c>
      <c r="H104" s="101">
        <f>ROUND(C104*E104*F104,2)</f>
        <v>386520.72</v>
      </c>
      <c r="I104" s="104"/>
      <c r="N104" s="28" t="s">
        <v>17</v>
      </c>
      <c r="O104" s="47">
        <f>T14+T15+T20+T23+T26</f>
        <v>0</v>
      </c>
      <c r="P104" s="611">
        <f>T8</f>
        <v>1.0407999999999999</v>
      </c>
      <c r="Q104" s="611"/>
      <c r="R104" s="48">
        <f>F104</f>
        <v>950.92</v>
      </c>
      <c r="S104" s="40" t="s">
        <v>12</v>
      </c>
      <c r="T104" s="479">
        <f>ROUND(O104*P104*R104,2)</f>
        <v>0</v>
      </c>
      <c r="U104" s="102"/>
    </row>
    <row r="105" spans="1:21" x14ac:dyDescent="0.25">
      <c r="A105" s="49"/>
      <c r="B105" s="49" t="s">
        <v>104</v>
      </c>
      <c r="C105" s="596">
        <f>H16+H17+H21+H24+H27</f>
        <v>440.8057</v>
      </c>
      <c r="D105" s="596"/>
      <c r="E105" s="46">
        <f>H8</f>
        <v>1.0407999999999999</v>
      </c>
      <c r="F105" s="303">
        <f>'1461'!F105</f>
        <v>907.92</v>
      </c>
      <c r="G105" s="39" t="s">
        <v>12</v>
      </c>
      <c r="H105" s="101">
        <f>ROUND(C105*E105*F105,2)</f>
        <v>416545.14</v>
      </c>
      <c r="N105" s="50" t="s">
        <v>13</v>
      </c>
      <c r="O105" s="47">
        <f>T16+T17+T21+T24+T27</f>
        <v>0</v>
      </c>
      <c r="P105" s="611">
        <f>T8</f>
        <v>1.0407999999999999</v>
      </c>
      <c r="Q105" s="611"/>
      <c r="R105" s="48">
        <f>F105</f>
        <v>907.92</v>
      </c>
      <c r="S105" s="40" t="s">
        <v>12</v>
      </c>
      <c r="T105" s="479">
        <f>ROUND(O105*P105*R105,2)</f>
        <v>0</v>
      </c>
      <c r="U105" s="51"/>
    </row>
    <row r="106" spans="1:21" ht="16.5" thickBot="1" x14ac:dyDescent="0.3">
      <c r="A106" s="52"/>
      <c r="B106" s="52" t="s">
        <v>103</v>
      </c>
      <c r="C106" s="596">
        <f>H18+H19+H22+H25+H28+H29</f>
        <v>0</v>
      </c>
      <c r="D106" s="596"/>
      <c r="E106" s="46">
        <f>H8</f>
        <v>1.0407999999999999</v>
      </c>
      <c r="F106" s="303">
        <f>'1461'!F106</f>
        <v>910.12</v>
      </c>
      <c r="G106" s="39" t="s">
        <v>12</v>
      </c>
      <c r="H106" s="94">
        <f>ROUND(C106*E106*F106,2)</f>
        <v>0</v>
      </c>
      <c r="N106" s="53" t="s">
        <v>14</v>
      </c>
      <c r="O106" s="54">
        <f>T18+T19+T22+T25+T28+T29</f>
        <v>0</v>
      </c>
      <c r="P106" s="611">
        <f>T8</f>
        <v>1.0407999999999999</v>
      </c>
      <c r="Q106" s="611"/>
      <c r="R106" s="48">
        <f>F106</f>
        <v>910.12</v>
      </c>
      <c r="S106" s="40" t="s">
        <v>12</v>
      </c>
      <c r="T106" s="479">
        <f>ROUND(O106*P106*R106,2)</f>
        <v>0</v>
      </c>
      <c r="U106" s="51"/>
    </row>
    <row r="107" spans="1:21" ht="16.5" thickBot="1" x14ac:dyDescent="0.3">
      <c r="A107" s="55"/>
      <c r="B107" s="122" t="s">
        <v>102</v>
      </c>
      <c r="C107" s="586">
        <f>SUM(C104:C106)</f>
        <v>831.34209999999996</v>
      </c>
      <c r="D107" s="586"/>
      <c r="E107" s="123"/>
      <c r="F107" s="123"/>
      <c r="G107" s="123"/>
      <c r="H107" s="124" t="s">
        <v>100</v>
      </c>
      <c r="I107" s="101">
        <f>IF(A1=75,0,H106+H105+H104)</f>
        <v>803065.86</v>
      </c>
      <c r="N107" s="56" t="s">
        <v>89</v>
      </c>
      <c r="O107" s="57">
        <f>SUM(O104:O106)</f>
        <v>0</v>
      </c>
      <c r="P107" s="612" t="s">
        <v>16</v>
      </c>
      <c r="Q107" s="613"/>
      <c r="R107" s="613"/>
      <c r="S107" s="613"/>
      <c r="T107" s="613"/>
      <c r="U107" s="473">
        <f>IF(N1=75,0,T106+T105+T104)</f>
        <v>0</v>
      </c>
    </row>
    <row r="108" spans="1:21" ht="16.5" thickTop="1" x14ac:dyDescent="0.25">
      <c r="A108" s="555" t="s">
        <v>65</v>
      </c>
      <c r="B108" s="555"/>
      <c r="C108" s="555"/>
      <c r="D108" s="555"/>
      <c r="E108" s="555"/>
      <c r="F108" s="555"/>
      <c r="G108" s="555"/>
      <c r="H108" s="555"/>
      <c r="I108" s="555"/>
      <c r="N108" s="614" t="s">
        <v>65</v>
      </c>
      <c r="O108" s="614"/>
      <c r="P108" s="614"/>
      <c r="Q108" s="614"/>
      <c r="R108" s="614"/>
      <c r="S108" s="614"/>
      <c r="T108" s="614"/>
      <c r="U108" s="614"/>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0" t="s">
        <v>499</v>
      </c>
      <c r="C110" s="43"/>
      <c r="D110" s="69"/>
      <c r="E110" s="43" t="s">
        <v>32</v>
      </c>
      <c r="F110" s="556"/>
      <c r="G110" s="556"/>
      <c r="H110" s="556"/>
      <c r="I110" s="556"/>
      <c r="N110" s="600" t="s">
        <v>499</v>
      </c>
      <c r="O110" s="601"/>
      <c r="P110" s="601"/>
      <c r="Q110" s="615"/>
      <c r="R110" s="615"/>
      <c r="S110" s="615"/>
      <c r="T110" s="615"/>
      <c r="U110" s="103"/>
    </row>
    <row r="111" spans="1:21" x14ac:dyDescent="0.25">
      <c r="B111" s="69"/>
      <c r="C111" s="88" t="s">
        <v>494</v>
      </c>
      <c r="D111" s="333" t="s">
        <v>495</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57" t="s">
        <v>381</v>
      </c>
      <c r="B113" s="558"/>
      <c r="C113" s="143">
        <v>3</v>
      </c>
      <c r="D113" s="143">
        <v>1</v>
      </c>
      <c r="E113" s="116">
        <f>(C113+D113)/2</f>
        <v>2</v>
      </c>
      <c r="F113" s="126" t="s">
        <v>30</v>
      </c>
      <c r="G113" s="304">
        <f>'1461'!G113</f>
        <v>576</v>
      </c>
      <c r="I113" s="101">
        <f>ROUND(G113*E113,2)</f>
        <v>1152</v>
      </c>
      <c r="N113" s="630" t="s">
        <v>52</v>
      </c>
      <c r="O113" s="630"/>
      <c r="P113" s="610">
        <f>IF(H133=1,E113,0)</f>
        <v>0</v>
      </c>
      <c r="Q113" s="610"/>
      <c r="R113" s="610"/>
      <c r="S113" s="83" t="s">
        <v>30</v>
      </c>
      <c r="T113" s="58">
        <f>G113</f>
        <v>576</v>
      </c>
      <c r="U113" s="473">
        <f>ROUND(T113*P113,2)</f>
        <v>0</v>
      </c>
    </row>
    <row r="114" spans="1:21" x14ac:dyDescent="0.25">
      <c r="A114" s="557" t="s">
        <v>382</v>
      </c>
      <c r="B114" s="558"/>
      <c r="C114" s="143">
        <v>1</v>
      </c>
      <c r="D114" s="143">
        <v>0</v>
      </c>
      <c r="E114" s="116">
        <f>(C114+D114)/2</f>
        <v>0.5</v>
      </c>
      <c r="F114" s="126" t="s">
        <v>30</v>
      </c>
      <c r="G114" s="304">
        <f>'1461'!G114</f>
        <v>1823</v>
      </c>
      <c r="I114" s="101">
        <f>ROUND(G114*E114,2)</f>
        <v>911.5</v>
      </c>
      <c r="N114" s="630" t="s">
        <v>64</v>
      </c>
      <c r="O114" s="630"/>
      <c r="P114" s="608"/>
      <c r="Q114" s="608"/>
      <c r="R114" s="608"/>
      <c r="S114" s="83" t="s">
        <v>30</v>
      </c>
      <c r="T114" s="58">
        <f>G114</f>
        <v>1823</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4" t="s">
        <v>430</v>
      </c>
      <c r="B117" s="578"/>
      <c r="C117" s="578"/>
      <c r="D117" s="69"/>
      <c r="E117" s="39" t="s">
        <v>300</v>
      </c>
      <c r="F117" s="563"/>
      <c r="G117" s="563"/>
      <c r="H117" s="563"/>
      <c r="I117" s="563"/>
      <c r="N117" s="600" t="s">
        <v>431</v>
      </c>
      <c r="O117" s="601"/>
      <c r="P117" s="601"/>
      <c r="Q117" s="601"/>
      <c r="R117" s="601"/>
      <c r="S117" s="601"/>
      <c r="T117" s="601"/>
      <c r="U117" s="601"/>
    </row>
    <row r="118" spans="1:21" hidden="1" x14ac:dyDescent="0.25">
      <c r="B118" s="69"/>
      <c r="C118" s="564" t="s">
        <v>66</v>
      </c>
      <c r="D118" s="564"/>
      <c r="E118" s="564"/>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5" t="s">
        <v>109</v>
      </c>
      <c r="G119" s="563"/>
      <c r="H119" s="37" t="s">
        <v>29</v>
      </c>
      <c r="I119" s="37"/>
      <c r="N119" s="45"/>
      <c r="O119" s="45"/>
      <c r="P119" s="45"/>
      <c r="Q119" s="45"/>
      <c r="R119" s="45"/>
      <c r="S119" s="45"/>
      <c r="T119" s="45"/>
      <c r="U119" s="45"/>
    </row>
    <row r="120" spans="1:21" hidden="1" x14ac:dyDescent="0.25">
      <c r="A120" s="564" t="s">
        <v>69</v>
      </c>
      <c r="B120" s="564"/>
      <c r="C120" s="90" t="s">
        <v>2</v>
      </c>
      <c r="D120" s="90" t="s">
        <v>2</v>
      </c>
      <c r="E120" s="59" t="s">
        <v>2</v>
      </c>
      <c r="F120" s="564" t="s">
        <v>28</v>
      </c>
      <c r="G120" s="564"/>
      <c r="H120" s="59" t="s">
        <v>28</v>
      </c>
      <c r="I120" s="59" t="s">
        <v>8</v>
      </c>
      <c r="N120" s="609" t="s">
        <v>53</v>
      </c>
      <c r="O120" s="609"/>
      <c r="P120" s="610" t="s">
        <v>66</v>
      </c>
      <c r="Q120" s="610"/>
      <c r="R120" s="609" t="s">
        <v>54</v>
      </c>
      <c r="S120" s="609"/>
      <c r="T120" s="60" t="s">
        <v>55</v>
      </c>
      <c r="U120" s="60" t="s">
        <v>8</v>
      </c>
    </row>
    <row r="121" spans="1:21" hidden="1" x14ac:dyDescent="0.25">
      <c r="A121" s="561" t="s">
        <v>56</v>
      </c>
      <c r="B121" s="561"/>
      <c r="C121" s="141">
        <v>0</v>
      </c>
      <c r="D121" s="141">
        <v>0</v>
      </c>
      <c r="E121" s="187">
        <f>IF(D30=0,C121*2,C121+D121)</f>
        <v>0</v>
      </c>
      <c r="F121" s="562">
        <v>0</v>
      </c>
      <c r="G121" s="562"/>
      <c r="H121" s="224">
        <f>IF(C121=0,0,125)</f>
        <v>0</v>
      </c>
      <c r="I121" s="101">
        <f>ROUND((H121+F121)*E121,2)</f>
        <v>0</v>
      </c>
      <c r="N121" s="601" t="s">
        <v>56</v>
      </c>
      <c r="O121" s="601"/>
      <c r="P121" s="608">
        <f>IF(H$133=1,C121,0)</f>
        <v>0</v>
      </c>
      <c r="Q121" s="608"/>
      <c r="R121" s="628">
        <f>F121</f>
        <v>0</v>
      </c>
      <c r="S121" s="628"/>
      <c r="T121" s="62">
        <f>H121</f>
        <v>0</v>
      </c>
      <c r="U121" s="96">
        <f>ROUND((T121+R121)*P121,0)</f>
        <v>0</v>
      </c>
    </row>
    <row r="122" spans="1:21" hidden="1" x14ac:dyDescent="0.25">
      <c r="A122" s="581" t="s">
        <v>57</v>
      </c>
      <c r="B122" s="581"/>
      <c r="C122" s="143">
        <v>0</v>
      </c>
      <c r="D122" s="143">
        <v>0</v>
      </c>
      <c r="E122" s="116">
        <f>IF(D31=0,C122*2,C122+D122)</f>
        <v>0</v>
      </c>
      <c r="F122" s="598">
        <f>ROUND(F121/2,2)</f>
        <v>0</v>
      </c>
      <c r="G122" s="598"/>
      <c r="H122" s="224">
        <f>IF(C122=0,0,62.5)</f>
        <v>0</v>
      </c>
      <c r="I122" s="101">
        <f>ROUND((H122+F122)*E122,2)</f>
        <v>0</v>
      </c>
      <c r="N122" s="601" t="s">
        <v>57</v>
      </c>
      <c r="O122" s="601"/>
      <c r="P122" s="608">
        <f>IF(H$133=1,C122,0)</f>
        <v>0</v>
      </c>
      <c r="Q122" s="608"/>
      <c r="R122" s="629">
        <f>ROUND(R121/2,2)</f>
        <v>0</v>
      </c>
      <c r="S122" s="629"/>
      <c r="T122" s="62">
        <f>H122</f>
        <v>0</v>
      </c>
      <c r="U122" s="96">
        <f>ROUND((T122+R122)*P122,0)</f>
        <v>0</v>
      </c>
    </row>
    <row r="123" spans="1:21" ht="16.5" hidden="1" thickBot="1" x14ac:dyDescent="0.3">
      <c r="A123" s="581" t="s">
        <v>58</v>
      </c>
      <c r="B123" s="581"/>
      <c r="C123" s="143">
        <v>0</v>
      </c>
      <c r="D123" s="143">
        <v>0</v>
      </c>
      <c r="E123" s="116">
        <f>IF(D32=0,C123*2,C123+D123)</f>
        <v>0</v>
      </c>
      <c r="F123" s="599"/>
      <c r="G123" s="599"/>
      <c r="H123" s="225">
        <f>IF(H121&gt;0,436,0)</f>
        <v>0</v>
      </c>
      <c r="I123" s="101">
        <f>ROUND(H123*E123,2)</f>
        <v>0</v>
      </c>
      <c r="N123" s="616" t="s">
        <v>58</v>
      </c>
      <c r="O123" s="616"/>
      <c r="P123" s="608">
        <f>IF(H$133=1,C123,0)</f>
        <v>0</v>
      </c>
      <c r="Q123" s="608"/>
      <c r="R123" s="609"/>
      <c r="S123" s="609"/>
      <c r="T123" s="64">
        <f>H123</f>
        <v>0</v>
      </c>
      <c r="U123" s="103">
        <f>ROUND(T123*P123,0)</f>
        <v>0</v>
      </c>
    </row>
    <row r="124" spans="1:21" ht="16.5" hidden="1" thickBot="1" x14ac:dyDescent="0.3">
      <c r="A124" s="563" t="s">
        <v>8</v>
      </c>
      <c r="B124" s="563"/>
      <c r="C124" s="65"/>
      <c r="D124" s="65"/>
      <c r="E124" s="65"/>
      <c r="F124" s="65"/>
      <c r="G124" s="65"/>
      <c r="H124" s="65"/>
      <c r="I124" s="97">
        <f>SUM(I121:I123)</f>
        <v>0</v>
      </c>
      <c r="N124" s="627" t="s">
        <v>8</v>
      </c>
      <c r="O124" s="627"/>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4" t="s">
        <v>432</v>
      </c>
      <c r="B126" s="578"/>
      <c r="C126" s="578"/>
      <c r="D126" s="69"/>
      <c r="E126" s="68" t="s">
        <v>34</v>
      </c>
      <c r="F126" s="597"/>
      <c r="G126" s="597"/>
      <c r="H126" s="597"/>
      <c r="I126" s="154">
        <v>0</v>
      </c>
      <c r="N126" s="600" t="s">
        <v>432</v>
      </c>
      <c r="O126" s="601"/>
      <c r="P126" s="601"/>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90" t="s">
        <v>8</v>
      </c>
      <c r="B128" s="590"/>
      <c r="C128" s="590"/>
      <c r="D128" s="590"/>
      <c r="E128" s="590"/>
      <c r="F128" s="590"/>
      <c r="G128" s="590"/>
      <c r="H128" s="590"/>
      <c r="I128" s="94">
        <f>SUM(I46,I66,I85,I88,I90,I92,I94,I96,I107,I113,I114,I124,I126)</f>
        <v>6677951.4600000018</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434</v>
      </c>
      <c r="B130" s="26"/>
      <c r="C130" s="26"/>
      <c r="D130" s="26"/>
      <c r="E130" s="26"/>
      <c r="F130" s="26"/>
      <c r="G130" s="26"/>
      <c r="H130" s="26"/>
      <c r="I130" s="101">
        <f>I128-I53</f>
        <v>6404419.0400000019</v>
      </c>
      <c r="N130" s="601" t="s">
        <v>434</v>
      </c>
      <c r="O130" s="601"/>
      <c r="P130" s="601"/>
      <c r="Q130" s="601"/>
      <c r="R130" s="601"/>
      <c r="S130" s="601"/>
      <c r="T130" s="601"/>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4" t="s">
        <v>502</v>
      </c>
      <c r="B132" s="578"/>
      <c r="C132" s="578"/>
      <c r="D132" s="578"/>
      <c r="E132" s="578"/>
      <c r="F132" s="578"/>
      <c r="G132" s="578"/>
      <c r="H132" s="81" t="s">
        <v>333</v>
      </c>
      <c r="I132" s="134"/>
      <c r="N132" s="673" t="s">
        <v>502</v>
      </c>
      <c r="O132" s="674"/>
      <c r="P132" s="674"/>
      <c r="Q132" s="674"/>
      <c r="R132" s="674"/>
      <c r="S132" s="674"/>
      <c r="T132" s="674"/>
      <c r="U132" s="138"/>
    </row>
    <row r="133" spans="1:21" x14ac:dyDescent="0.25">
      <c r="A133" s="578" t="s">
        <v>70</v>
      </c>
      <c r="B133" s="578"/>
      <c r="C133" s="578"/>
      <c r="D133" s="578"/>
      <c r="E133" s="578"/>
      <c r="F133" s="578"/>
      <c r="G133" s="578"/>
      <c r="H133" s="70" t="str">
        <f>IF(E30=0,"",IF((E15+E17+SUM(E19:E25))/E30&gt;0.75,1,""))</f>
        <v/>
      </c>
      <c r="I133" s="116">
        <f>U130</f>
        <v>0</v>
      </c>
      <c r="N133" s="674" t="s">
        <v>70</v>
      </c>
      <c r="O133" s="674"/>
      <c r="P133" s="674"/>
      <c r="Q133" s="674"/>
      <c r="R133" s="674"/>
      <c r="S133" s="674"/>
      <c r="T133" s="67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6404419.0400000019</v>
      </c>
      <c r="I135" s="94">
        <f>ROUND(IF(E30=0,0,IF(E30&gt;250,-(((250/E30)*H135)*IF(G135="H",0.02,0.05)),IF(G135="H",-0.02*H135,-0.05*H135))),2)</f>
        <v>-102533.7</v>
      </c>
      <c r="N135" s="626"/>
      <c r="O135" s="626"/>
      <c r="P135" s="626"/>
      <c r="Q135" s="626"/>
      <c r="R135" s="626"/>
      <c r="S135" s="626"/>
      <c r="T135" s="626"/>
      <c r="U135" s="626"/>
    </row>
    <row r="136" spans="1:21" x14ac:dyDescent="0.25">
      <c r="B136" s="69"/>
      <c r="C136" s="69"/>
      <c r="D136" s="69"/>
      <c r="E136" s="69"/>
      <c r="F136" s="69"/>
      <c r="G136" s="69"/>
      <c r="H136" s="65"/>
      <c r="I136" s="101"/>
      <c r="N136" s="624" t="s">
        <v>7</v>
      </c>
      <c r="O136" s="624"/>
      <c r="P136" s="624"/>
      <c r="Q136" s="624"/>
      <c r="R136" s="624"/>
      <c r="S136" s="624"/>
      <c r="T136" s="624"/>
      <c r="U136" s="624"/>
    </row>
    <row r="137" spans="1:21" x14ac:dyDescent="0.25">
      <c r="A137" s="309" t="s">
        <v>74</v>
      </c>
      <c r="B137" s="310"/>
      <c r="C137" s="310"/>
      <c r="D137" s="310"/>
      <c r="E137" s="310"/>
      <c r="F137" s="310"/>
      <c r="G137" s="310"/>
      <c r="H137" s="311"/>
      <c r="I137" s="312">
        <f>I128+I135</f>
        <v>6575417.7600000016</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Payments'!Q103</f>
        <v>0</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6575417.7600000016</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547951.48</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217687.25</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372</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373</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374</v>
      </c>
      <c r="B155" s="252"/>
      <c r="C155" s="252"/>
      <c r="D155" s="252"/>
      <c r="E155" s="252"/>
      <c r="F155" s="252"/>
      <c r="G155" s="252"/>
      <c r="H155" s="252"/>
      <c r="I155" s="252"/>
      <c r="N155" s="625"/>
      <c r="O155" s="625"/>
      <c r="P155" s="625"/>
      <c r="Q155" s="625"/>
      <c r="R155" s="625"/>
      <c r="S155" s="625"/>
      <c r="T155" s="625"/>
      <c r="U155" s="625"/>
    </row>
    <row r="156" spans="1:21" s="76" customFormat="1" x14ac:dyDescent="0.2">
      <c r="A156" s="320" t="s">
        <v>375</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376</v>
      </c>
      <c r="B157" s="252"/>
      <c r="C157" s="252"/>
      <c r="D157" s="252"/>
      <c r="E157" s="252"/>
      <c r="F157" s="252"/>
      <c r="G157" s="252"/>
      <c r="H157" s="252"/>
      <c r="I157" s="252"/>
      <c r="N157" s="78"/>
      <c r="O157" s="79"/>
      <c r="P157" s="79"/>
      <c r="Q157" s="79"/>
      <c r="R157" s="79"/>
      <c r="S157" s="79"/>
      <c r="T157" s="79"/>
      <c r="U157" s="79"/>
    </row>
    <row r="158" spans="1:21" s="76" customFormat="1" x14ac:dyDescent="0.2">
      <c r="A158" s="320" t="s">
        <v>377</v>
      </c>
      <c r="B158" s="252"/>
      <c r="C158" s="252"/>
      <c r="D158" s="252"/>
      <c r="E158" s="252"/>
      <c r="F158" s="252"/>
      <c r="G158" s="252"/>
      <c r="H158" s="252"/>
      <c r="I158" s="252"/>
      <c r="N158" s="78"/>
    </row>
    <row r="159" spans="1:21" s="76" customFormat="1" x14ac:dyDescent="0.2">
      <c r="A159" s="320" t="s">
        <v>379</v>
      </c>
      <c r="B159" s="252"/>
      <c r="C159" s="252"/>
      <c r="D159" s="252"/>
      <c r="E159" s="252"/>
      <c r="F159" s="252"/>
      <c r="G159" s="252"/>
      <c r="H159" s="252"/>
      <c r="I159" s="252"/>
      <c r="N159" s="78"/>
    </row>
    <row r="160" spans="1:21" s="76" customFormat="1" x14ac:dyDescent="0.2">
      <c r="A160" s="385" t="s">
        <v>378</v>
      </c>
      <c r="B160" s="252"/>
      <c r="C160" s="252"/>
      <c r="D160" s="252"/>
      <c r="E160" s="252"/>
      <c r="F160" s="252"/>
      <c r="G160" s="252"/>
      <c r="H160" s="252"/>
      <c r="I160" s="252"/>
      <c r="N160" s="78"/>
    </row>
    <row r="161" spans="1:14" s="76" customFormat="1" x14ac:dyDescent="0.2">
      <c r="A161" s="320" t="s">
        <v>380</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383</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385</v>
      </c>
      <c r="B165" s="293"/>
      <c r="C165" s="293"/>
      <c r="D165" s="293"/>
      <c r="E165" s="293"/>
      <c r="F165" s="293"/>
      <c r="G165" s="293"/>
      <c r="H165" s="293"/>
      <c r="I165" s="293"/>
      <c r="N165" s="78"/>
    </row>
    <row r="166" spans="1:14" s="76" customFormat="1" ht="15.75" customHeight="1" x14ac:dyDescent="0.2">
      <c r="A166" s="351" t="s">
        <v>384</v>
      </c>
      <c r="B166" s="293"/>
      <c r="C166" s="293"/>
      <c r="D166" s="293"/>
      <c r="E166" s="293"/>
      <c r="F166" s="293"/>
      <c r="G166" s="293"/>
      <c r="H166" s="293"/>
      <c r="I166" s="293"/>
      <c r="N166" s="78"/>
    </row>
    <row r="167" spans="1:14" s="76" customFormat="1" ht="15.75" customHeight="1" x14ac:dyDescent="0.2">
      <c r="A167" s="320" t="s">
        <v>386</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388</v>
      </c>
      <c r="B169" s="343"/>
      <c r="C169" s="343"/>
      <c r="D169" s="343"/>
      <c r="E169" s="343"/>
      <c r="F169" s="343"/>
      <c r="G169" s="343"/>
      <c r="H169" s="343"/>
      <c r="I169" s="343"/>
      <c r="N169" s="78"/>
    </row>
    <row r="170" spans="1:14" s="76" customFormat="1" ht="15.75" customHeight="1" x14ac:dyDescent="0.2">
      <c r="A170" s="351" t="s">
        <v>387</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389</v>
      </c>
      <c r="B175" s="293"/>
      <c r="C175" s="293"/>
      <c r="D175" s="293"/>
      <c r="E175" s="293"/>
      <c r="F175" s="293"/>
      <c r="G175" s="293"/>
      <c r="H175" s="293"/>
      <c r="I175" s="293"/>
      <c r="J175" s="3"/>
      <c r="K175" s="3"/>
      <c r="L175" s="3"/>
      <c r="M175" s="3"/>
      <c r="N175" s="78"/>
    </row>
    <row r="176" spans="1:14" s="76" customFormat="1" ht="15.75" customHeight="1" x14ac:dyDescent="0.2">
      <c r="A176" s="361" t="s">
        <v>390</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F26:G26"/>
    <mergeCell ref="N26:O26"/>
    <mergeCell ref="P26:Q26"/>
    <mergeCell ref="R26:S26"/>
    <mergeCell ref="A27:B27"/>
    <mergeCell ref="F27:G27"/>
    <mergeCell ref="N27:O27"/>
    <mergeCell ref="P27:Q27"/>
    <mergeCell ref="R27:S27"/>
    <mergeCell ref="A26:B26"/>
    <mergeCell ref="N24:O24"/>
    <mergeCell ref="P24:Q24"/>
    <mergeCell ref="R24:S24"/>
    <mergeCell ref="A25:B25"/>
    <mergeCell ref="F25:G25"/>
    <mergeCell ref="N25:O25"/>
    <mergeCell ref="P25:Q25"/>
    <mergeCell ref="R25:S25"/>
    <mergeCell ref="A24:B24"/>
    <mergeCell ref="F24:G24"/>
    <mergeCell ref="N22:O22"/>
    <mergeCell ref="P22:Q22"/>
    <mergeCell ref="R22:S22"/>
    <mergeCell ref="A23:B23"/>
    <mergeCell ref="F23:G23"/>
    <mergeCell ref="N23:O23"/>
    <mergeCell ref="P23:Q23"/>
    <mergeCell ref="R23:S23"/>
    <mergeCell ref="A22:B22"/>
    <mergeCell ref="F22:G22"/>
    <mergeCell ref="N20:O20"/>
    <mergeCell ref="P20:Q20"/>
    <mergeCell ref="R20:S20"/>
    <mergeCell ref="A21:B21"/>
    <mergeCell ref="F21:G21"/>
    <mergeCell ref="N21:O21"/>
    <mergeCell ref="P21:Q21"/>
    <mergeCell ref="R21:S21"/>
    <mergeCell ref="A20:B20"/>
    <mergeCell ref="F20:G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0">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6" t="s">
        <v>15</v>
      </c>
      <c r="C1" s="567"/>
      <c r="D1" s="567"/>
      <c r="E1" s="567"/>
      <c r="F1" s="567"/>
      <c r="G1" s="567"/>
      <c r="H1" s="567"/>
      <c r="I1" s="567"/>
      <c r="J1" s="135"/>
      <c r="K1" s="135"/>
      <c r="L1" s="135"/>
      <c r="N1" s="82">
        <f>A1</f>
        <v>0</v>
      </c>
      <c r="O1" s="658" t="s">
        <v>15</v>
      </c>
      <c r="P1" s="659"/>
      <c r="Q1" s="659"/>
      <c r="R1" s="659"/>
      <c r="S1" s="659"/>
      <c r="T1" s="659"/>
      <c r="U1" s="659"/>
    </row>
    <row r="2" spans="1:21" ht="21" x14ac:dyDescent="0.35">
      <c r="A2" s="1" t="s">
        <v>135</v>
      </c>
      <c r="B2" s="2"/>
      <c r="C2" s="2"/>
      <c r="D2" s="2"/>
      <c r="E2" s="2"/>
      <c r="F2" s="2"/>
      <c r="G2" s="2"/>
      <c r="H2" s="2"/>
      <c r="I2" s="2"/>
      <c r="N2" s="660" t="s">
        <v>18</v>
      </c>
      <c r="O2" s="660"/>
      <c r="P2" s="660"/>
      <c r="Q2" s="660"/>
      <c r="R2" s="660"/>
      <c r="S2" s="660"/>
      <c r="T2" s="660"/>
      <c r="U2" s="660"/>
    </row>
    <row r="3" spans="1:21" x14ac:dyDescent="0.25">
      <c r="A3" s="81" t="str">
        <f>'1461'!A3</f>
        <v>Based on the FLDOE 2024-25 Conference Calculation</v>
      </c>
      <c r="N3" s="627" t="str">
        <f>A3</f>
        <v>Based on the FLDOE 2024-25 Conference Calculation</v>
      </c>
      <c r="O3" s="627"/>
      <c r="P3" s="627"/>
      <c r="Q3" s="627"/>
      <c r="R3" s="627"/>
      <c r="S3" s="627"/>
      <c r="T3" s="627"/>
      <c r="U3" s="627"/>
    </row>
    <row r="4" spans="1:21" x14ac:dyDescent="0.25">
      <c r="A4" s="568" t="s">
        <v>0</v>
      </c>
      <c r="B4" s="568"/>
      <c r="C4" s="569" t="s">
        <v>9</v>
      </c>
      <c r="D4" s="569"/>
      <c r="E4" s="569"/>
      <c r="F4" s="4" t="str">
        <f>'1461'!F4</f>
        <v>July 2024</v>
      </c>
      <c r="G4" s="4"/>
      <c r="H4" s="4"/>
      <c r="I4" s="4"/>
      <c r="N4" s="661" t="s">
        <v>0</v>
      </c>
      <c r="O4" s="661"/>
      <c r="P4" s="662" t="str">
        <f>C4</f>
        <v>Palm Beach</v>
      </c>
      <c r="Q4" s="662"/>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70" t="s">
        <v>433</v>
      </c>
      <c r="B7" s="664"/>
      <c r="C7" s="664"/>
      <c r="D7" s="664"/>
      <c r="E7" s="664"/>
      <c r="F7" s="664"/>
      <c r="G7" s="664"/>
      <c r="H7" s="664"/>
      <c r="I7" s="664"/>
      <c r="N7" s="661" t="str">
        <f>A7</f>
        <v>1A.   2023-24 FEFP State and Local Funding</v>
      </c>
      <c r="O7" s="661"/>
      <c r="P7" s="661"/>
      <c r="Q7" s="661"/>
      <c r="R7" s="661"/>
      <c r="S7" s="661"/>
      <c r="T7" s="661"/>
      <c r="U7" s="661"/>
    </row>
    <row r="8" spans="1:21" x14ac:dyDescent="0.25">
      <c r="A8" s="84"/>
      <c r="B8" s="85" t="s">
        <v>92</v>
      </c>
      <c r="C8" s="299">
        <f>'1461'!C8</f>
        <v>5330.98</v>
      </c>
      <c r="D8" s="86"/>
      <c r="E8" s="87"/>
      <c r="F8" s="84"/>
      <c r="G8" s="85" t="s">
        <v>393</v>
      </c>
      <c r="H8" s="287">
        <f>'1461'!H8</f>
        <v>1.0407999999999999</v>
      </c>
      <c r="I8" s="75"/>
      <c r="N8" s="665" t="s">
        <v>10</v>
      </c>
      <c r="O8" s="665"/>
      <c r="P8" s="666">
        <f>C8</f>
        <v>5330.98</v>
      </c>
      <c r="Q8" s="666"/>
      <c r="R8" s="648" t="s">
        <v>394</v>
      </c>
      <c r="S8" s="649"/>
      <c r="T8" s="650">
        <f>H8</f>
        <v>1.0407999999999999</v>
      </c>
      <c r="U8" s="650"/>
    </row>
    <row r="9" spans="1:21" x14ac:dyDescent="0.25">
      <c r="A9" s="84"/>
      <c r="B9" s="85"/>
      <c r="C9" s="222"/>
      <c r="D9" s="86"/>
      <c r="E9" s="87"/>
      <c r="F9" s="84"/>
      <c r="G9" s="85" t="s">
        <v>391</v>
      </c>
      <c r="H9" s="287">
        <f>'1461'!H9</f>
        <v>1</v>
      </c>
      <c r="I9" s="75"/>
      <c r="N9" s="12"/>
      <c r="O9" s="12"/>
      <c r="P9" s="13"/>
      <c r="Q9" s="13"/>
      <c r="R9" s="387" t="s">
        <v>392</v>
      </c>
      <c r="S9" s="384"/>
      <c r="T9" s="650">
        <f>H9</f>
        <v>1</v>
      </c>
      <c r="U9" s="650"/>
    </row>
    <row r="10" spans="1:21" x14ac:dyDescent="0.25">
      <c r="A10" s="7"/>
      <c r="B10" s="42" t="s">
        <v>310</v>
      </c>
      <c r="C10" s="456" t="str">
        <f>'1461'!C10</f>
        <v xml:space="preserve"> </v>
      </c>
      <c r="D10" s="88" t="str">
        <f>'1461'!D10</f>
        <v xml:space="preserve"> </v>
      </c>
      <c r="E10" s="8"/>
      <c r="F10" s="9"/>
      <c r="G10" s="9"/>
      <c r="H10" s="10"/>
      <c r="I10" s="305" t="str">
        <f>'1461'!I10</f>
        <v>2024-25</v>
      </c>
      <c r="N10" s="12"/>
      <c r="O10" s="12"/>
      <c r="P10" s="13"/>
      <c r="Q10" s="13"/>
      <c r="R10" s="14"/>
      <c r="S10" s="14"/>
      <c r="T10" s="15"/>
      <c r="U10" s="366" t="str">
        <f>I10</f>
        <v>2024-25</v>
      </c>
    </row>
    <row r="11" spans="1:21" x14ac:dyDescent="0.25">
      <c r="A11" s="7"/>
      <c r="B11" s="7"/>
      <c r="C11" s="88" t="str">
        <f>'1461'!C11</f>
        <v>Oct 2023</v>
      </c>
      <c r="D11" s="333" t="str">
        <f>'1461'!D11</f>
        <v>Feb 2024</v>
      </c>
      <c r="E11" s="89" t="s">
        <v>8</v>
      </c>
      <c r="F11" s="571" t="s">
        <v>1</v>
      </c>
      <c r="G11" s="571"/>
      <c r="H11" s="10" t="s">
        <v>60</v>
      </c>
      <c r="I11" s="11" t="s">
        <v>27</v>
      </c>
      <c r="N11" s="12"/>
      <c r="O11" s="12"/>
      <c r="P11" s="13"/>
      <c r="Q11" s="13"/>
      <c r="R11" s="651" t="s">
        <v>1</v>
      </c>
      <c r="S11" s="651"/>
      <c r="T11" s="15" t="s">
        <v>60</v>
      </c>
      <c r="U11" s="16" t="s">
        <v>27</v>
      </c>
    </row>
    <row r="12" spans="1:21" ht="15.75" customHeight="1" x14ac:dyDescent="0.25">
      <c r="A12" s="572" t="s">
        <v>1</v>
      </c>
      <c r="B12" s="572"/>
      <c r="C12" s="324" t="str">
        <f>'1461'!C12</f>
        <v>FTE</v>
      </c>
      <c r="D12" s="324" t="str">
        <f>'1461'!D12</f>
        <v>FTE</v>
      </c>
      <c r="E12" s="324" t="s">
        <v>2</v>
      </c>
      <c r="F12" s="573" t="s">
        <v>63</v>
      </c>
      <c r="G12" s="573"/>
      <c r="H12" s="17" t="s">
        <v>59</v>
      </c>
      <c r="I12" s="388" t="s">
        <v>395</v>
      </c>
      <c r="N12" s="639" t="s">
        <v>1</v>
      </c>
      <c r="O12" s="639"/>
      <c r="P12" s="652" t="s">
        <v>19</v>
      </c>
      <c r="Q12" s="652"/>
      <c r="R12" s="653" t="s">
        <v>63</v>
      </c>
      <c r="S12" s="653"/>
      <c r="T12" s="18" t="s">
        <v>59</v>
      </c>
      <c r="U12" s="19" t="str">
        <f>I12</f>
        <v>(WFTE x BSA x CWF x SDF)</v>
      </c>
    </row>
    <row r="13" spans="1:21" x14ac:dyDescent="0.25">
      <c r="A13" s="574" t="s">
        <v>36</v>
      </c>
      <c r="B13" s="574"/>
      <c r="C13" s="91"/>
      <c r="D13" s="91"/>
      <c r="E13" s="92" t="s">
        <v>37</v>
      </c>
      <c r="F13" s="575" t="s">
        <v>38</v>
      </c>
      <c r="G13" s="575"/>
      <c r="H13" s="20" t="s">
        <v>39</v>
      </c>
      <c r="I13" s="21" t="s">
        <v>40</v>
      </c>
      <c r="N13" s="654" t="s">
        <v>36</v>
      </c>
      <c r="O13" s="654"/>
      <c r="P13" s="655" t="s">
        <v>37</v>
      </c>
      <c r="Q13" s="655"/>
      <c r="R13" s="656" t="s">
        <v>38</v>
      </c>
      <c r="S13" s="656"/>
      <c r="T13" s="22" t="s">
        <v>39</v>
      </c>
      <c r="U13" s="23" t="s">
        <v>40</v>
      </c>
    </row>
    <row r="14" spans="1:21" x14ac:dyDescent="0.25">
      <c r="A14" s="576" t="s">
        <v>20</v>
      </c>
      <c r="B14" s="576"/>
      <c r="C14" s="143">
        <v>152.03</v>
      </c>
      <c r="D14" s="141">
        <v>150.24</v>
      </c>
      <c r="E14" s="187">
        <f>IF(D$30=0,C14*2,C14+D14)</f>
        <v>302.27</v>
      </c>
      <c r="F14" s="667">
        <f>'1461'!F14:G14</f>
        <v>1.1180000000000001</v>
      </c>
      <c r="G14" s="667"/>
      <c r="H14" s="145">
        <f>ROUND(E14*F14,4)</f>
        <v>337.93790000000001</v>
      </c>
      <c r="I14" s="111">
        <f>ROUND(ROUND(ROUND(H14*$C$8,4)*($H$8),2)*(MAX($H$9,1)),2)</f>
        <v>1875043.03</v>
      </c>
      <c r="N14" s="641" t="s">
        <v>20</v>
      </c>
      <c r="O14" s="641"/>
      <c r="P14" s="642">
        <f t="shared" ref="P14:P29" si="0">IF($H$133=1,E14,0)</f>
        <v>0</v>
      </c>
      <c r="Q14" s="642"/>
      <c r="R14" s="657">
        <v>1</v>
      </c>
      <c r="S14" s="657"/>
      <c r="T14" s="95">
        <f>ROUND(P14*R14,4)</f>
        <v>0</v>
      </c>
      <c r="U14" s="473">
        <f>ROUND(ROUND(ROUND(T14*$C$8,4)*($H$8),2)*(MAX($H$9,1)),2)</f>
        <v>0</v>
      </c>
    </row>
    <row r="15" spans="1:21" x14ac:dyDescent="0.25">
      <c r="A15" s="578" t="s">
        <v>21</v>
      </c>
      <c r="B15" s="578"/>
      <c r="C15" s="143">
        <v>11</v>
      </c>
      <c r="D15" s="143">
        <v>13.15</v>
      </c>
      <c r="E15" s="116">
        <f t="shared" ref="E15:E29" si="1">IF(D$30=0,C15*2,C15+D15)</f>
        <v>24.15</v>
      </c>
      <c r="F15" s="663">
        <f>'1461'!F15:G15</f>
        <v>1.1180000000000001</v>
      </c>
      <c r="G15" s="663"/>
      <c r="H15" s="80">
        <f t="shared" ref="H15:H29" si="2">ROUND(E15*F15,4)</f>
        <v>26.999700000000001</v>
      </c>
      <c r="I15" s="101">
        <f t="shared" ref="I15:I29" si="3">ROUND(ROUND(ROUND(H15*$C$8,4)*($H$8),2)*(MAX($H$9,1)),2)</f>
        <v>149807.4</v>
      </c>
      <c r="J15" s="65" t="str">
        <f>IF(ROUND(E15,2)=ROUND(SUM(E57:E59),2)," ","CHECK PK-3 LINES BELOW")</f>
        <v xml:space="preserve"> </v>
      </c>
      <c r="N15" s="601" t="s">
        <v>21</v>
      </c>
      <c r="O15" s="601"/>
      <c r="P15" s="642">
        <f t="shared" si="0"/>
        <v>0</v>
      </c>
      <c r="Q15" s="642"/>
      <c r="R15" s="647">
        <v>1</v>
      </c>
      <c r="S15" s="647"/>
      <c r="T15" s="95">
        <f t="shared" ref="T15:T29" si="4">ROUND(P15*R15,4)</f>
        <v>0</v>
      </c>
      <c r="U15" s="473">
        <f t="shared" ref="U15:U29" si="5">ROUND(ROUND(ROUND(T15*$C$8,4)*($H$8),2)*(MAX($H$9,1)),2)</f>
        <v>0</v>
      </c>
    </row>
    <row r="16" spans="1:21" x14ac:dyDescent="0.25">
      <c r="A16" s="578" t="s">
        <v>22</v>
      </c>
      <c r="B16" s="578"/>
      <c r="C16" s="143">
        <v>169.44</v>
      </c>
      <c r="D16" s="143">
        <v>170.65</v>
      </c>
      <c r="E16" s="116">
        <f t="shared" si="1"/>
        <v>340.09000000000003</v>
      </c>
      <c r="F16" s="663">
        <f>'1461'!F16:G16</f>
        <v>1</v>
      </c>
      <c r="G16" s="663"/>
      <c r="H16" s="80">
        <f t="shared" si="2"/>
        <v>340.09</v>
      </c>
      <c r="I16" s="101">
        <f t="shared" si="3"/>
        <v>1886983.92</v>
      </c>
      <c r="N16" s="601" t="s">
        <v>22</v>
      </c>
      <c r="O16" s="601"/>
      <c r="P16" s="642">
        <f t="shared" si="0"/>
        <v>0</v>
      </c>
      <c r="Q16" s="642"/>
      <c r="R16" s="647">
        <v>1</v>
      </c>
      <c r="S16" s="647"/>
      <c r="T16" s="95">
        <f t="shared" si="4"/>
        <v>0</v>
      </c>
      <c r="U16" s="473">
        <f t="shared" si="5"/>
        <v>0</v>
      </c>
    </row>
    <row r="17" spans="1:21" x14ac:dyDescent="0.25">
      <c r="A17" s="578" t="s">
        <v>23</v>
      </c>
      <c r="B17" s="578"/>
      <c r="C17" s="143">
        <v>28</v>
      </c>
      <c r="D17" s="143">
        <v>28.55</v>
      </c>
      <c r="E17" s="116">
        <f t="shared" si="1"/>
        <v>56.55</v>
      </c>
      <c r="F17" s="663">
        <f>'1461'!F17:G17</f>
        <v>1</v>
      </c>
      <c r="G17" s="663"/>
      <c r="H17" s="80">
        <f t="shared" si="2"/>
        <v>56.55</v>
      </c>
      <c r="I17" s="101">
        <f t="shared" si="3"/>
        <v>313766.77</v>
      </c>
      <c r="J17" s="65" t="str">
        <f>IF(ROUND(E17,2)=ROUND(SUM(E60:E62),2)," ","CHECK 4-8 LINES BELOW")</f>
        <v xml:space="preserve"> </v>
      </c>
      <c r="N17" s="601" t="s">
        <v>23</v>
      </c>
      <c r="O17" s="601"/>
      <c r="P17" s="642">
        <f t="shared" si="0"/>
        <v>0</v>
      </c>
      <c r="Q17" s="642"/>
      <c r="R17" s="647">
        <v>1</v>
      </c>
      <c r="S17" s="647"/>
      <c r="T17" s="95">
        <f t="shared" si="4"/>
        <v>0</v>
      </c>
      <c r="U17" s="473">
        <f t="shared" si="5"/>
        <v>0</v>
      </c>
    </row>
    <row r="18" spans="1:21" x14ac:dyDescent="0.25">
      <c r="A18" s="578" t="s">
        <v>24</v>
      </c>
      <c r="B18" s="578"/>
      <c r="C18" s="143">
        <v>0</v>
      </c>
      <c r="D18" s="143">
        <v>0</v>
      </c>
      <c r="E18" s="116">
        <f t="shared" si="1"/>
        <v>0</v>
      </c>
      <c r="F18" s="663">
        <f>'1461'!F18:G18</f>
        <v>0.97799999999999998</v>
      </c>
      <c r="G18" s="663"/>
      <c r="H18" s="80">
        <f t="shared" si="2"/>
        <v>0</v>
      </c>
      <c r="I18" s="101">
        <f t="shared" si="3"/>
        <v>0</v>
      </c>
      <c r="N18" s="601" t="s">
        <v>24</v>
      </c>
      <c r="O18" s="601"/>
      <c r="P18" s="642">
        <f t="shared" si="0"/>
        <v>0</v>
      </c>
      <c r="Q18" s="642"/>
      <c r="R18" s="647">
        <v>1</v>
      </c>
      <c r="S18" s="647"/>
      <c r="T18" s="95">
        <f t="shared" si="4"/>
        <v>0</v>
      </c>
      <c r="U18" s="473">
        <f t="shared" si="5"/>
        <v>0</v>
      </c>
    </row>
    <row r="19" spans="1:21" x14ac:dyDescent="0.25">
      <c r="A19" s="578" t="s">
        <v>25</v>
      </c>
      <c r="B19" s="578"/>
      <c r="C19" s="143">
        <v>0</v>
      </c>
      <c r="D19" s="143">
        <v>0</v>
      </c>
      <c r="E19" s="116">
        <f t="shared" si="1"/>
        <v>0</v>
      </c>
      <c r="F19" s="663">
        <f>'1461'!F19:G19</f>
        <v>0.97799999999999998</v>
      </c>
      <c r="G19" s="663"/>
      <c r="H19" s="80">
        <f t="shared" si="2"/>
        <v>0</v>
      </c>
      <c r="I19" s="101">
        <f t="shared" si="3"/>
        <v>0</v>
      </c>
      <c r="J19" s="65" t="str">
        <f>IF(ROUND(E19,2)=ROUND(SUM(E63:E65),2)," ","CHECK 4-8 LINES BELOW")</f>
        <v xml:space="preserve"> </v>
      </c>
      <c r="N19" s="601" t="s">
        <v>25</v>
      </c>
      <c r="O19" s="601"/>
      <c r="P19" s="642">
        <f t="shared" si="0"/>
        <v>0</v>
      </c>
      <c r="Q19" s="642"/>
      <c r="R19" s="647">
        <v>1</v>
      </c>
      <c r="S19" s="647"/>
      <c r="T19" s="95">
        <f t="shared" si="4"/>
        <v>0</v>
      </c>
      <c r="U19" s="472">
        <f t="shared" si="5"/>
        <v>0</v>
      </c>
    </row>
    <row r="20" spans="1:21" x14ac:dyDescent="0.25">
      <c r="A20" s="578" t="s">
        <v>79</v>
      </c>
      <c r="B20" s="578"/>
      <c r="C20" s="143">
        <v>0</v>
      </c>
      <c r="D20" s="143">
        <v>0</v>
      </c>
      <c r="E20" s="116">
        <f t="shared" si="1"/>
        <v>0</v>
      </c>
      <c r="F20" s="663">
        <f>'1461'!F20:G20</f>
        <v>3.6970000000000001</v>
      </c>
      <c r="G20" s="663"/>
      <c r="H20" s="80">
        <f t="shared" si="2"/>
        <v>0</v>
      </c>
      <c r="I20" s="101">
        <f t="shared" si="3"/>
        <v>0</v>
      </c>
      <c r="N20" s="601" t="s">
        <v>79</v>
      </c>
      <c r="O20" s="601"/>
      <c r="P20" s="642">
        <f t="shared" si="0"/>
        <v>0</v>
      </c>
      <c r="Q20" s="642"/>
      <c r="R20" s="647">
        <v>1</v>
      </c>
      <c r="S20" s="647"/>
      <c r="T20" s="95">
        <f t="shared" si="4"/>
        <v>0</v>
      </c>
      <c r="U20" s="473">
        <f t="shared" si="5"/>
        <v>0</v>
      </c>
    </row>
    <row r="21" spans="1:21" x14ac:dyDescent="0.25">
      <c r="A21" s="578" t="s">
        <v>80</v>
      </c>
      <c r="B21" s="578"/>
      <c r="C21" s="143">
        <v>0</v>
      </c>
      <c r="D21" s="143">
        <v>0</v>
      </c>
      <c r="E21" s="116">
        <f t="shared" si="1"/>
        <v>0</v>
      </c>
      <c r="F21" s="663">
        <f>'1461'!F21:G21</f>
        <v>3.6970000000000001</v>
      </c>
      <c r="G21" s="663"/>
      <c r="H21" s="80">
        <f t="shared" si="2"/>
        <v>0</v>
      </c>
      <c r="I21" s="101">
        <f t="shared" si="3"/>
        <v>0</v>
      </c>
      <c r="N21" s="601" t="s">
        <v>80</v>
      </c>
      <c r="O21" s="601"/>
      <c r="P21" s="642">
        <f t="shared" si="0"/>
        <v>0</v>
      </c>
      <c r="Q21" s="642"/>
      <c r="R21" s="647">
        <v>1</v>
      </c>
      <c r="S21" s="647"/>
      <c r="T21" s="95">
        <f t="shared" si="4"/>
        <v>0</v>
      </c>
      <c r="U21" s="473">
        <f t="shared" si="5"/>
        <v>0</v>
      </c>
    </row>
    <row r="22" spans="1:21" x14ac:dyDescent="0.25">
      <c r="A22" s="578" t="s">
        <v>81</v>
      </c>
      <c r="B22" s="578"/>
      <c r="C22" s="143">
        <v>0</v>
      </c>
      <c r="D22" s="143">
        <v>0</v>
      </c>
      <c r="E22" s="116">
        <f t="shared" si="1"/>
        <v>0</v>
      </c>
      <c r="F22" s="663">
        <f>'1461'!F22:G22</f>
        <v>3.6970000000000001</v>
      </c>
      <c r="G22" s="663"/>
      <c r="H22" s="80">
        <f t="shared" si="2"/>
        <v>0</v>
      </c>
      <c r="I22" s="101">
        <f t="shared" si="3"/>
        <v>0</v>
      </c>
      <c r="N22" s="601" t="s">
        <v>81</v>
      </c>
      <c r="O22" s="601"/>
      <c r="P22" s="642">
        <f t="shared" si="0"/>
        <v>0</v>
      </c>
      <c r="Q22" s="642"/>
      <c r="R22" s="647">
        <v>1</v>
      </c>
      <c r="S22" s="647"/>
      <c r="T22" s="95">
        <f t="shared" si="4"/>
        <v>0</v>
      </c>
      <c r="U22" s="473">
        <f t="shared" si="5"/>
        <v>0</v>
      </c>
    </row>
    <row r="23" spans="1:21" x14ac:dyDescent="0.25">
      <c r="A23" s="578" t="s">
        <v>82</v>
      </c>
      <c r="B23" s="578"/>
      <c r="C23" s="143">
        <v>0</v>
      </c>
      <c r="D23" s="143">
        <v>0</v>
      </c>
      <c r="E23" s="116">
        <f t="shared" si="1"/>
        <v>0</v>
      </c>
      <c r="F23" s="663">
        <f>'1461'!F23:G23</f>
        <v>5.992</v>
      </c>
      <c r="G23" s="663"/>
      <c r="H23" s="80">
        <f t="shared" si="2"/>
        <v>0</v>
      </c>
      <c r="I23" s="101">
        <f t="shared" si="3"/>
        <v>0</v>
      </c>
      <c r="N23" s="601" t="s">
        <v>82</v>
      </c>
      <c r="O23" s="601"/>
      <c r="P23" s="642">
        <f t="shared" si="0"/>
        <v>0</v>
      </c>
      <c r="Q23" s="642"/>
      <c r="R23" s="647">
        <v>1</v>
      </c>
      <c r="S23" s="647"/>
      <c r="T23" s="95">
        <f t="shared" si="4"/>
        <v>0</v>
      </c>
      <c r="U23" s="473">
        <f t="shared" si="5"/>
        <v>0</v>
      </c>
    </row>
    <row r="24" spans="1:21" x14ac:dyDescent="0.25">
      <c r="A24" s="578" t="s">
        <v>83</v>
      </c>
      <c r="B24" s="578"/>
      <c r="C24" s="143">
        <v>0</v>
      </c>
      <c r="D24" s="143">
        <v>0</v>
      </c>
      <c r="E24" s="116">
        <f t="shared" si="1"/>
        <v>0</v>
      </c>
      <c r="F24" s="663">
        <f>'1461'!F24:G24</f>
        <v>5.992</v>
      </c>
      <c r="G24" s="663"/>
      <c r="H24" s="80">
        <f t="shared" si="2"/>
        <v>0</v>
      </c>
      <c r="I24" s="101">
        <f t="shared" si="3"/>
        <v>0</v>
      </c>
      <c r="N24" s="601" t="s">
        <v>83</v>
      </c>
      <c r="O24" s="601"/>
      <c r="P24" s="642">
        <f t="shared" si="0"/>
        <v>0</v>
      </c>
      <c r="Q24" s="642"/>
      <c r="R24" s="647">
        <v>1</v>
      </c>
      <c r="S24" s="647"/>
      <c r="T24" s="95">
        <f t="shared" si="4"/>
        <v>0</v>
      </c>
      <c r="U24" s="473">
        <f t="shared" si="5"/>
        <v>0</v>
      </c>
    </row>
    <row r="25" spans="1:21" x14ac:dyDescent="0.25">
      <c r="A25" s="578" t="s">
        <v>84</v>
      </c>
      <c r="B25" s="578"/>
      <c r="C25" s="143">
        <v>0</v>
      </c>
      <c r="D25" s="143">
        <v>0</v>
      </c>
      <c r="E25" s="116">
        <f t="shared" si="1"/>
        <v>0</v>
      </c>
      <c r="F25" s="663">
        <f>'1461'!F25:G25</f>
        <v>5.992</v>
      </c>
      <c r="G25" s="663"/>
      <c r="H25" s="80">
        <f t="shared" si="2"/>
        <v>0</v>
      </c>
      <c r="I25" s="101">
        <f t="shared" si="3"/>
        <v>0</v>
      </c>
      <c r="N25" s="601" t="s">
        <v>84</v>
      </c>
      <c r="O25" s="601"/>
      <c r="P25" s="642">
        <f t="shared" si="0"/>
        <v>0</v>
      </c>
      <c r="Q25" s="642"/>
      <c r="R25" s="647">
        <v>1</v>
      </c>
      <c r="S25" s="647"/>
      <c r="T25" s="95">
        <f t="shared" si="4"/>
        <v>0</v>
      </c>
      <c r="U25" s="473">
        <f t="shared" si="5"/>
        <v>0</v>
      </c>
    </row>
    <row r="26" spans="1:21" x14ac:dyDescent="0.25">
      <c r="A26" s="578" t="s">
        <v>85</v>
      </c>
      <c r="B26" s="578"/>
      <c r="C26" s="143">
        <v>30.97</v>
      </c>
      <c r="D26" s="143">
        <v>31.86</v>
      </c>
      <c r="E26" s="116">
        <f t="shared" si="1"/>
        <v>62.83</v>
      </c>
      <c r="F26" s="663">
        <f>'1461'!F26:G26</f>
        <v>1.1919999999999999</v>
      </c>
      <c r="G26" s="663"/>
      <c r="H26" s="80">
        <f t="shared" si="2"/>
        <v>74.8934</v>
      </c>
      <c r="I26" s="101">
        <f t="shared" si="3"/>
        <v>415544.83</v>
      </c>
      <c r="N26" s="601" t="s">
        <v>85</v>
      </c>
      <c r="O26" s="601"/>
      <c r="P26" s="642">
        <f t="shared" si="0"/>
        <v>0</v>
      </c>
      <c r="Q26" s="642"/>
      <c r="R26" s="647">
        <v>1</v>
      </c>
      <c r="S26" s="647"/>
      <c r="T26" s="95">
        <f t="shared" si="4"/>
        <v>0</v>
      </c>
      <c r="U26" s="473">
        <f t="shared" si="5"/>
        <v>0</v>
      </c>
    </row>
    <row r="27" spans="1:21" x14ac:dyDescent="0.25">
      <c r="A27" s="578" t="s">
        <v>86</v>
      </c>
      <c r="B27" s="578"/>
      <c r="C27" s="143">
        <v>28.93</v>
      </c>
      <c r="D27" s="143">
        <v>32.380000000000003</v>
      </c>
      <c r="E27" s="116">
        <f t="shared" si="1"/>
        <v>61.31</v>
      </c>
      <c r="F27" s="663">
        <f>'1461'!F27:G27</f>
        <v>1.1919999999999999</v>
      </c>
      <c r="G27" s="663"/>
      <c r="H27" s="80">
        <f t="shared" si="2"/>
        <v>73.081500000000005</v>
      </c>
      <c r="I27" s="101">
        <f t="shared" si="3"/>
        <v>405491.53</v>
      </c>
      <c r="N27" s="601" t="s">
        <v>86</v>
      </c>
      <c r="O27" s="601"/>
      <c r="P27" s="642">
        <f t="shared" si="0"/>
        <v>0</v>
      </c>
      <c r="Q27" s="642"/>
      <c r="R27" s="647">
        <v>1</v>
      </c>
      <c r="S27" s="647"/>
      <c r="T27" s="95">
        <f t="shared" si="4"/>
        <v>0</v>
      </c>
      <c r="U27" s="473">
        <f t="shared" si="5"/>
        <v>0</v>
      </c>
    </row>
    <row r="28" spans="1:21" x14ac:dyDescent="0.25">
      <c r="A28" s="578" t="s">
        <v>87</v>
      </c>
      <c r="B28" s="578"/>
      <c r="C28" s="143">
        <v>0</v>
      </c>
      <c r="D28" s="143">
        <v>0</v>
      </c>
      <c r="E28" s="116">
        <f t="shared" si="1"/>
        <v>0</v>
      </c>
      <c r="F28" s="663">
        <f>'1461'!F28:G28</f>
        <v>1.1919999999999999</v>
      </c>
      <c r="G28" s="663"/>
      <c r="H28" s="80">
        <f t="shared" si="2"/>
        <v>0</v>
      </c>
      <c r="I28" s="101">
        <f t="shared" si="3"/>
        <v>0</v>
      </c>
      <c r="N28" s="601" t="s">
        <v>87</v>
      </c>
      <c r="O28" s="601"/>
      <c r="P28" s="642">
        <f t="shared" si="0"/>
        <v>0</v>
      </c>
      <c r="Q28" s="642"/>
      <c r="R28" s="647">
        <v>1</v>
      </c>
      <c r="S28" s="647"/>
      <c r="T28" s="95">
        <f t="shared" si="4"/>
        <v>0</v>
      </c>
      <c r="U28" s="473">
        <f t="shared" si="5"/>
        <v>0</v>
      </c>
    </row>
    <row r="29" spans="1:21" x14ac:dyDescent="0.25">
      <c r="A29" s="578" t="s">
        <v>88</v>
      </c>
      <c r="B29" s="578"/>
      <c r="C29" s="110">
        <v>0</v>
      </c>
      <c r="D29" s="110">
        <v>0</v>
      </c>
      <c r="E29" s="154">
        <f t="shared" si="1"/>
        <v>0</v>
      </c>
      <c r="F29" s="663">
        <f>'1461'!F29:G29</f>
        <v>1.079</v>
      </c>
      <c r="G29" s="663"/>
      <c r="H29" s="93">
        <f t="shared" si="2"/>
        <v>0</v>
      </c>
      <c r="I29" s="94">
        <f t="shared" si="3"/>
        <v>0</v>
      </c>
      <c r="N29" s="616" t="s">
        <v>88</v>
      </c>
      <c r="O29" s="616"/>
      <c r="P29" s="642">
        <f t="shared" si="0"/>
        <v>0</v>
      </c>
      <c r="Q29" s="642"/>
      <c r="R29" s="643">
        <v>1</v>
      </c>
      <c r="S29" s="643"/>
      <c r="T29" s="95">
        <f t="shared" si="4"/>
        <v>0</v>
      </c>
      <c r="U29" s="473">
        <f t="shared" si="5"/>
        <v>0</v>
      </c>
    </row>
    <row r="30" spans="1:21" x14ac:dyDescent="0.25">
      <c r="A30" s="590" t="s">
        <v>5</v>
      </c>
      <c r="B30" s="590"/>
      <c r="C30" s="94">
        <f>SUM(C14:C29)</f>
        <v>420.37000000000006</v>
      </c>
      <c r="D30" s="94">
        <f>SUM(D14:D29)</f>
        <v>426.83000000000004</v>
      </c>
      <c r="E30" s="94">
        <f>SUM(E14:E29)</f>
        <v>847.2</v>
      </c>
      <c r="F30" s="582"/>
      <c r="G30" s="582"/>
      <c r="H30" s="99">
        <f>SUM(H14:H29)</f>
        <v>909.55250000000001</v>
      </c>
      <c r="I30" s="94">
        <f>SUM(I14:I29)</f>
        <v>5046637.4799999995</v>
      </c>
      <c r="N30" s="644" t="s">
        <v>5</v>
      </c>
      <c r="O30" s="644"/>
      <c r="P30" s="645">
        <f>SUM(P14:P29)</f>
        <v>0</v>
      </c>
      <c r="Q30" s="645"/>
      <c r="R30" s="617"/>
      <c r="S30" s="617"/>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0" t="s">
        <v>233</v>
      </c>
      <c r="G34" s="670"/>
      <c r="H34" s="670"/>
      <c r="I34" s="101"/>
      <c r="N34" s="28"/>
      <c r="O34" s="28"/>
      <c r="P34" s="29"/>
      <c r="Q34" s="29"/>
      <c r="R34" s="30"/>
      <c r="S34" s="30"/>
      <c r="T34" s="102"/>
      <c r="U34" s="103"/>
    </row>
    <row r="35" spans="1:21" hidden="1" x14ac:dyDescent="0.25">
      <c r="A35" s="3"/>
      <c r="B35" s="69"/>
      <c r="C35" s="69"/>
      <c r="D35" s="69"/>
      <c r="E35" s="69"/>
      <c r="F35" s="670"/>
      <c r="G35" s="670"/>
      <c r="H35" s="670"/>
      <c r="I35" s="24" t="s">
        <v>61</v>
      </c>
      <c r="N35" s="627" t="s">
        <v>26</v>
      </c>
      <c r="O35" s="627"/>
      <c r="P35" s="627"/>
      <c r="Q35" s="627"/>
      <c r="R35" s="627"/>
      <c r="S35" s="627"/>
      <c r="T35" s="627"/>
      <c r="U35" s="25" t="str">
        <f>I35</f>
        <v>2015-16</v>
      </c>
    </row>
    <row r="36" spans="1:21" hidden="1" x14ac:dyDescent="0.25">
      <c r="A36" s="26"/>
      <c r="B36" s="26"/>
      <c r="C36" s="88" t="s">
        <v>93</v>
      </c>
      <c r="D36" s="88" t="s">
        <v>94</v>
      </c>
      <c r="E36" s="89" t="s">
        <v>8</v>
      </c>
      <c r="F36" s="670"/>
      <c r="G36" s="670"/>
      <c r="H36" s="670"/>
      <c r="I36" s="24" t="s">
        <v>27</v>
      </c>
      <c r="N36" s="28"/>
      <c r="O36" s="28"/>
      <c r="P36" s="29"/>
      <c r="Q36" s="29"/>
      <c r="R36" s="30"/>
      <c r="S36" s="30"/>
      <c r="T36" s="102"/>
      <c r="U36" s="25" t="s">
        <v>27</v>
      </c>
    </row>
    <row r="37" spans="1:21" ht="26.25" hidden="1" x14ac:dyDescent="0.25">
      <c r="A37" s="572" t="s">
        <v>50</v>
      </c>
      <c r="B37" s="572"/>
      <c r="C37" s="90" t="s">
        <v>2</v>
      </c>
      <c r="D37" s="90" t="s">
        <v>2</v>
      </c>
      <c r="E37" s="90" t="s">
        <v>2</v>
      </c>
      <c r="F37" s="671"/>
      <c r="G37" s="671"/>
      <c r="H37" s="671"/>
      <c r="I37" s="31" t="s">
        <v>395</v>
      </c>
      <c r="N37" s="639" t="s">
        <v>50</v>
      </c>
      <c r="O37" s="639"/>
      <c r="P37" s="640" t="s">
        <v>19</v>
      </c>
      <c r="Q37" s="640"/>
      <c r="R37" s="640"/>
      <c r="S37" s="640"/>
      <c r="T37" s="640"/>
      <c r="U37" s="19" t="str">
        <f>I37</f>
        <v>(WFTE x BSA x CWF x SDF)</v>
      </c>
    </row>
    <row r="38" spans="1:21" hidden="1" x14ac:dyDescent="0.25">
      <c r="A38" s="576" t="s">
        <v>45</v>
      </c>
      <c r="B38" s="576"/>
      <c r="C38" s="147">
        <v>0</v>
      </c>
      <c r="D38" s="147">
        <v>0</v>
      </c>
      <c r="E38" s="187">
        <f t="shared" ref="E38:E43" si="6">IF(D$44=0,C38*2,C38+D38)</f>
        <v>0</v>
      </c>
      <c r="F38" s="148"/>
      <c r="G38" s="148"/>
      <c r="H38" s="148"/>
      <c r="I38" s="111">
        <f>ROUND(ROUND(ROUND(E38*$C$8,4)*($H$8),2)*(MAX($H$9,1)),2)</f>
        <v>0</v>
      </c>
      <c r="N38" s="641" t="s">
        <v>45</v>
      </c>
      <c r="O38" s="641"/>
      <c r="P38" s="608">
        <f t="shared" ref="P38:P43" si="7">IF($H$133=1,E38,0)</f>
        <v>0</v>
      </c>
      <c r="Q38" s="608"/>
      <c r="R38" s="608"/>
      <c r="S38" s="608"/>
      <c r="T38" s="608"/>
      <c r="U38" s="98">
        <f>ROUND(ROUND(ROUND(P38*$C$8,4)*($H$8),2)*(MAX($H$9,1)),2)</f>
        <v>0</v>
      </c>
    </row>
    <row r="39" spans="1:21" hidden="1" x14ac:dyDescent="0.25">
      <c r="A39" s="578" t="s">
        <v>46</v>
      </c>
      <c r="B39" s="578"/>
      <c r="C39" s="150">
        <v>0</v>
      </c>
      <c r="D39" s="150">
        <v>0</v>
      </c>
      <c r="E39" s="116">
        <f t="shared" si="6"/>
        <v>0</v>
      </c>
      <c r="F39" s="151"/>
      <c r="G39" s="151"/>
      <c r="H39" s="151"/>
      <c r="I39" s="101">
        <f t="shared" ref="I39:I43" si="8">ROUND(ROUND(ROUND(E39*$C$8,4)*($H$8),2)*(MAX($H$9,1)),2)</f>
        <v>0</v>
      </c>
      <c r="N39" s="601" t="s">
        <v>46</v>
      </c>
      <c r="O39" s="601"/>
      <c r="P39" s="608">
        <f t="shared" si="7"/>
        <v>0</v>
      </c>
      <c r="Q39" s="608"/>
      <c r="R39" s="608"/>
      <c r="S39" s="608"/>
      <c r="T39" s="608"/>
      <c r="U39" s="98">
        <f t="shared" ref="U39:U43" si="9">ROUND(ROUND(ROUND(P39*$C$8,4)*($H$8),2)*(MAX($H$9,1)),2)</f>
        <v>0</v>
      </c>
    </row>
    <row r="40" spans="1:21" hidden="1" x14ac:dyDescent="0.25">
      <c r="A40" s="583" t="s">
        <v>47</v>
      </c>
      <c r="B40" s="583"/>
      <c r="C40" s="150">
        <v>0</v>
      </c>
      <c r="D40" s="150">
        <v>0</v>
      </c>
      <c r="E40" s="116">
        <f t="shared" si="6"/>
        <v>0</v>
      </c>
      <c r="F40" s="151"/>
      <c r="G40" s="151"/>
      <c r="H40" s="151"/>
      <c r="I40" s="101">
        <f t="shared" si="8"/>
        <v>0</v>
      </c>
      <c r="N40" s="646" t="s">
        <v>47</v>
      </c>
      <c r="O40" s="646"/>
      <c r="P40" s="608">
        <f t="shared" si="7"/>
        <v>0</v>
      </c>
      <c r="Q40" s="608"/>
      <c r="R40" s="608"/>
      <c r="S40" s="608"/>
      <c r="T40" s="608"/>
      <c r="U40" s="98">
        <f t="shared" si="9"/>
        <v>0</v>
      </c>
    </row>
    <row r="41" spans="1:21" hidden="1" x14ac:dyDescent="0.25">
      <c r="A41" s="578" t="s">
        <v>48</v>
      </c>
      <c r="B41" s="578"/>
      <c r="C41" s="150">
        <v>0</v>
      </c>
      <c r="D41" s="150">
        <v>0</v>
      </c>
      <c r="E41" s="116">
        <f t="shared" si="6"/>
        <v>0</v>
      </c>
      <c r="F41" s="151"/>
      <c r="G41" s="151"/>
      <c r="H41" s="151"/>
      <c r="I41" s="101">
        <f t="shared" si="8"/>
        <v>0</v>
      </c>
      <c r="N41" s="601" t="s">
        <v>48</v>
      </c>
      <c r="O41" s="601"/>
      <c r="P41" s="608">
        <f t="shared" si="7"/>
        <v>0</v>
      </c>
      <c r="Q41" s="608"/>
      <c r="R41" s="608"/>
      <c r="S41" s="608"/>
      <c r="T41" s="608"/>
      <c r="U41" s="98">
        <f t="shared" si="9"/>
        <v>0</v>
      </c>
    </row>
    <row r="42" spans="1:21" hidden="1" x14ac:dyDescent="0.25">
      <c r="A42" s="578" t="s">
        <v>49</v>
      </c>
      <c r="B42" s="578"/>
      <c r="C42" s="150">
        <v>0</v>
      </c>
      <c r="D42" s="150">
        <v>0</v>
      </c>
      <c r="E42" s="116">
        <f t="shared" si="6"/>
        <v>0</v>
      </c>
      <c r="F42" s="151"/>
      <c r="G42" s="151"/>
      <c r="H42" s="151"/>
      <c r="I42" s="101">
        <f t="shared" si="8"/>
        <v>0</v>
      </c>
      <c r="N42" s="601" t="s">
        <v>49</v>
      </c>
      <c r="O42" s="601"/>
      <c r="P42" s="608">
        <f t="shared" si="7"/>
        <v>0</v>
      </c>
      <c r="Q42" s="608"/>
      <c r="R42" s="608"/>
      <c r="S42" s="608"/>
      <c r="T42" s="608"/>
      <c r="U42" s="98">
        <f t="shared" si="9"/>
        <v>0</v>
      </c>
    </row>
    <row r="43" spans="1:21" hidden="1" x14ac:dyDescent="0.25">
      <c r="A43" s="578" t="s">
        <v>41</v>
      </c>
      <c r="B43" s="578"/>
      <c r="C43" s="149">
        <v>0</v>
      </c>
      <c r="D43" s="149">
        <v>0</v>
      </c>
      <c r="E43" s="154">
        <f t="shared" si="6"/>
        <v>0</v>
      </c>
      <c r="F43" s="151"/>
      <c r="G43" s="151"/>
      <c r="H43" s="151"/>
      <c r="I43" s="94">
        <f t="shared" si="8"/>
        <v>0</v>
      </c>
      <c r="N43" s="616" t="s">
        <v>41</v>
      </c>
      <c r="O43" s="616"/>
      <c r="P43" s="608">
        <f t="shared" si="7"/>
        <v>0</v>
      </c>
      <c r="Q43" s="608"/>
      <c r="R43" s="608"/>
      <c r="S43" s="608"/>
      <c r="T43" s="60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3" t="s">
        <v>43</v>
      </c>
      <c r="O44" s="603"/>
      <c r="P44" s="603"/>
      <c r="Q44" s="603"/>
      <c r="R44" s="33">
        <f>SUM(P38:R43)</f>
        <v>0</v>
      </c>
      <c r="S44" s="617" t="s">
        <v>51</v>
      </c>
      <c r="T44" s="617"/>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909.55250000000001</v>
      </c>
      <c r="F46" s="34"/>
      <c r="G46" s="106"/>
      <c r="H46" s="107" t="s">
        <v>98</v>
      </c>
      <c r="I46" s="94">
        <f>SUM(I44,I30)</f>
        <v>5046637.4799999995</v>
      </c>
      <c r="N46" s="603" t="s">
        <v>44</v>
      </c>
      <c r="O46" s="603"/>
      <c r="P46" s="603"/>
      <c r="Q46" s="603"/>
      <c r="R46" s="35">
        <f>R44+T30</f>
        <v>0</v>
      </c>
      <c r="S46" s="617" t="s">
        <v>42</v>
      </c>
      <c r="T46" s="617"/>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396</v>
      </c>
      <c r="B48" s="26"/>
      <c r="C48" s="26"/>
      <c r="D48" s="26"/>
      <c r="E48" s="26"/>
      <c r="F48" s="34"/>
      <c r="G48" s="27"/>
      <c r="H48" s="27"/>
      <c r="I48" s="101"/>
      <c r="N48" s="383" t="s">
        <v>396</v>
      </c>
      <c r="O48" s="28"/>
      <c r="P48" s="28"/>
      <c r="Q48" s="28"/>
      <c r="R48" s="35"/>
      <c r="S48" s="30"/>
      <c r="T48" s="30"/>
      <c r="U48" s="402"/>
    </row>
    <row r="49" spans="1:22" s="391" customFormat="1" ht="9" customHeight="1" x14ac:dyDescent="0.2">
      <c r="A49" s="481" t="s">
        <v>397</v>
      </c>
      <c r="F49" s="392"/>
      <c r="G49" s="393"/>
      <c r="H49" s="393"/>
      <c r="I49" s="394"/>
      <c r="N49" s="403" t="s">
        <v>397</v>
      </c>
      <c r="O49" s="395"/>
      <c r="P49" s="395"/>
      <c r="Q49" s="395"/>
      <c r="R49" s="396"/>
      <c r="S49" s="397"/>
      <c r="T49" s="397"/>
      <c r="U49" s="404"/>
    </row>
    <row r="50" spans="1:22" s="391" customFormat="1" ht="11.25" customHeight="1" x14ac:dyDescent="0.2">
      <c r="A50" s="483" t="s">
        <v>398</v>
      </c>
      <c r="F50" s="392"/>
      <c r="G50" s="393"/>
      <c r="H50" s="393"/>
      <c r="I50" s="394"/>
      <c r="N50" s="405" t="s">
        <v>398</v>
      </c>
      <c r="O50" s="395"/>
      <c r="P50" s="395"/>
      <c r="Q50" s="395"/>
      <c r="R50" s="396"/>
      <c r="S50" s="397"/>
      <c r="T50" s="397"/>
      <c r="U50" s="404"/>
    </row>
    <row r="51" spans="1:22" x14ac:dyDescent="0.25">
      <c r="A51" s="389"/>
      <c r="B51" s="399" t="s">
        <v>399</v>
      </c>
      <c r="C51" s="26"/>
      <c r="D51" s="26"/>
      <c r="E51" s="43" t="s">
        <v>400</v>
      </c>
      <c r="F51" s="400">
        <f>I46</f>
        <v>5046637.4799999995</v>
      </c>
      <c r="G51" s="109" t="s">
        <v>6</v>
      </c>
      <c r="H51" s="401">
        <v>4.5199999999999997E-2</v>
      </c>
      <c r="I51" s="101">
        <f>ROUND(F51*H51,2)</f>
        <v>228108.01</v>
      </c>
      <c r="N51" s="406"/>
      <c r="O51" s="407" t="s">
        <v>399</v>
      </c>
      <c r="P51" s="28"/>
      <c r="Q51" s="44" t="s">
        <v>400</v>
      </c>
      <c r="R51" s="408">
        <f>U30</f>
        <v>0</v>
      </c>
      <c r="S51" s="409" t="s">
        <v>6</v>
      </c>
      <c r="T51" s="410">
        <v>4.5199999999999997E-2</v>
      </c>
      <c r="U51" s="402">
        <f>ROUND(R51*T51,2)</f>
        <v>0</v>
      </c>
    </row>
    <row r="52" spans="1:22" x14ac:dyDescent="0.25">
      <c r="A52" s="26"/>
      <c r="B52" s="81" t="s">
        <v>401</v>
      </c>
      <c r="C52" s="26"/>
      <c r="D52" s="26"/>
      <c r="E52" s="43" t="s">
        <v>400</v>
      </c>
      <c r="F52" s="400">
        <f>I46</f>
        <v>5046637.4799999995</v>
      </c>
      <c r="G52" s="109" t="s">
        <v>6</v>
      </c>
      <c r="H52" s="401">
        <v>1.41E-2</v>
      </c>
      <c r="I52" s="101">
        <f>ROUND(F52*H52,2)</f>
        <v>71157.59</v>
      </c>
      <c r="N52" s="28"/>
      <c r="O52" s="383" t="s">
        <v>401</v>
      </c>
      <c r="P52" s="28"/>
      <c r="Q52" s="44" t="s">
        <v>400</v>
      </c>
      <c r="R52" s="408">
        <f>U30</f>
        <v>0</v>
      </c>
      <c r="S52" s="409" t="s">
        <v>6</v>
      </c>
      <c r="T52" s="410">
        <v>1.41E-2</v>
      </c>
      <c r="U52" s="411">
        <f>ROUND(R52*T52,2)</f>
        <v>0</v>
      </c>
    </row>
    <row r="53" spans="1:22" x14ac:dyDescent="0.25">
      <c r="A53" s="26"/>
      <c r="B53" s="81" t="s">
        <v>402</v>
      </c>
      <c r="C53" s="26"/>
      <c r="D53" s="26"/>
      <c r="E53" s="43"/>
      <c r="F53" s="400"/>
      <c r="G53" s="109"/>
      <c r="H53" s="401"/>
      <c r="I53" s="97">
        <f>SUM(I51:I52)</f>
        <v>299265.59999999998</v>
      </c>
      <c r="N53" s="28"/>
      <c r="O53" s="383" t="s">
        <v>402</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440</v>
      </c>
      <c r="G55" s="109" t="s">
        <v>441</v>
      </c>
      <c r="H55" s="454" t="s">
        <v>442</v>
      </c>
      <c r="I55" s="101"/>
      <c r="N55" s="448"/>
      <c r="O55" s="448"/>
      <c r="P55" s="464"/>
      <c r="Q55" s="465"/>
      <c r="R55" s="466"/>
      <c r="S55" s="468" t="s">
        <v>441</v>
      </c>
      <c r="T55" s="469" t="s">
        <v>442</v>
      </c>
      <c r="U55" s="467"/>
      <c r="V55" s="424"/>
    </row>
    <row r="56" spans="1:22" x14ac:dyDescent="0.25">
      <c r="A56" s="36" t="s">
        <v>443</v>
      </c>
      <c r="B56" s="36"/>
      <c r="C56" s="324" t="str">
        <f>'1461'!C56</f>
        <v>FTE</v>
      </c>
      <c r="D56" s="324" t="str">
        <f>'1461'!D56</f>
        <v>FTE</v>
      </c>
      <c r="E56" s="90" t="s">
        <v>2</v>
      </c>
      <c r="F56" s="439" t="s">
        <v>444</v>
      </c>
      <c r="G56" s="441" t="s">
        <v>444</v>
      </c>
      <c r="H56" s="455" t="s">
        <v>445</v>
      </c>
      <c r="I56" s="36"/>
      <c r="N56" s="459" t="s">
        <v>443</v>
      </c>
      <c r="O56" s="459"/>
      <c r="P56" s="620" t="s">
        <v>2</v>
      </c>
      <c r="Q56" s="620"/>
      <c r="R56" s="459" t="s">
        <v>449</v>
      </c>
      <c r="S56" s="450" t="s">
        <v>444</v>
      </c>
      <c r="T56" s="470" t="s">
        <v>445</v>
      </c>
      <c r="U56" s="459"/>
      <c r="V56" s="458"/>
    </row>
    <row r="57" spans="1:22" x14ac:dyDescent="0.25">
      <c r="A57" s="588" t="s">
        <v>447</v>
      </c>
      <c r="B57" s="588"/>
      <c r="C57" s="143">
        <v>9.5</v>
      </c>
      <c r="D57" s="143">
        <v>11.73</v>
      </c>
      <c r="E57" s="116">
        <f t="shared" ref="E57:E65" si="10">IF(D$66=0,C57*2,C57+D57)</f>
        <v>21.23</v>
      </c>
      <c r="F57" s="443" t="s">
        <v>439</v>
      </c>
      <c r="G57" s="443">
        <v>251</v>
      </c>
      <c r="H57" s="457">
        <f>'1461'!H57</f>
        <v>1047</v>
      </c>
      <c r="I57" s="101">
        <f>ROUND(E57*H57,2)</f>
        <v>22227.81</v>
      </c>
      <c r="N57" s="618" t="s">
        <v>447</v>
      </c>
      <c r="O57" s="618"/>
      <c r="P57" s="621"/>
      <c r="Q57" s="621"/>
      <c r="R57" s="449" t="s">
        <v>439</v>
      </c>
      <c r="S57" s="449">
        <v>251</v>
      </c>
      <c r="T57" s="460">
        <f>H57</f>
        <v>1047</v>
      </c>
      <c r="U57" s="474">
        <f>ROUND(P57*T57,2)</f>
        <v>0</v>
      </c>
      <c r="V57" s="424"/>
    </row>
    <row r="58" spans="1:22" x14ac:dyDescent="0.25">
      <c r="A58" s="589"/>
      <c r="B58" s="589"/>
      <c r="C58" s="143">
        <v>1.5</v>
      </c>
      <c r="D58" s="143">
        <v>0.91</v>
      </c>
      <c r="E58" s="116">
        <f t="shared" si="10"/>
        <v>2.41</v>
      </c>
      <c r="F58" s="443" t="s">
        <v>439</v>
      </c>
      <c r="G58" s="443">
        <v>252</v>
      </c>
      <c r="H58" s="457">
        <f>'1461'!H58</f>
        <v>3380</v>
      </c>
      <c r="I58" s="101">
        <f t="shared" ref="I58:I65" si="11">ROUND(E58*H58,2)</f>
        <v>8145.8</v>
      </c>
      <c r="N58" s="619"/>
      <c r="O58" s="619"/>
      <c r="P58" s="622"/>
      <c r="Q58" s="622"/>
      <c r="R58" s="449" t="s">
        <v>439</v>
      </c>
      <c r="S58" s="449">
        <v>252</v>
      </c>
      <c r="T58" s="460">
        <f t="shared" ref="T58:T65" si="12">H58</f>
        <v>3380</v>
      </c>
      <c r="U58" s="474">
        <f t="shared" ref="U58:U65" si="13">ROUND(P58*T58,2)</f>
        <v>0</v>
      </c>
      <c r="V58" s="424"/>
    </row>
    <row r="59" spans="1:22" x14ac:dyDescent="0.25">
      <c r="A59" s="589"/>
      <c r="B59" s="589"/>
      <c r="C59" s="143">
        <v>0</v>
      </c>
      <c r="D59" s="143">
        <v>0.51</v>
      </c>
      <c r="E59" s="116">
        <f t="shared" si="10"/>
        <v>0.51</v>
      </c>
      <c r="F59" s="443" t="s">
        <v>439</v>
      </c>
      <c r="G59" s="443">
        <v>253</v>
      </c>
      <c r="H59" s="457">
        <f>'1461'!H59</f>
        <v>6896</v>
      </c>
      <c r="I59" s="101">
        <f t="shared" si="11"/>
        <v>3516.96</v>
      </c>
      <c r="N59" s="619"/>
      <c r="O59" s="619"/>
      <c r="P59" s="622"/>
      <c r="Q59" s="622"/>
      <c r="R59" s="449" t="s">
        <v>439</v>
      </c>
      <c r="S59" s="449">
        <v>253</v>
      </c>
      <c r="T59" s="460">
        <f t="shared" si="12"/>
        <v>6896</v>
      </c>
      <c r="U59" s="474">
        <f t="shared" si="13"/>
        <v>0</v>
      </c>
      <c r="V59" s="424"/>
    </row>
    <row r="60" spans="1:22" x14ac:dyDescent="0.25">
      <c r="A60" s="589"/>
      <c r="B60" s="589"/>
      <c r="C60" s="143">
        <v>26.5</v>
      </c>
      <c r="D60" s="143">
        <v>25.54</v>
      </c>
      <c r="E60" s="116">
        <f t="shared" si="10"/>
        <v>52.04</v>
      </c>
      <c r="F60" s="444" t="s">
        <v>13</v>
      </c>
      <c r="G60" s="443">
        <v>251</v>
      </c>
      <c r="H60" s="457">
        <f>'1461'!H60</f>
        <v>1173</v>
      </c>
      <c r="I60" s="101">
        <f t="shared" si="11"/>
        <v>61042.92</v>
      </c>
      <c r="N60" s="619"/>
      <c r="O60" s="619"/>
      <c r="P60" s="622"/>
      <c r="Q60" s="622"/>
      <c r="R60" s="40" t="s">
        <v>13</v>
      </c>
      <c r="S60" s="449">
        <v>251</v>
      </c>
      <c r="T60" s="460">
        <f t="shared" si="12"/>
        <v>1173</v>
      </c>
      <c r="U60" s="474">
        <f t="shared" si="13"/>
        <v>0</v>
      </c>
      <c r="V60" s="424"/>
    </row>
    <row r="61" spans="1:22" x14ac:dyDescent="0.25">
      <c r="A61" s="589"/>
      <c r="B61" s="589"/>
      <c r="C61" s="143">
        <v>1.5</v>
      </c>
      <c r="D61" s="143">
        <v>3.01</v>
      </c>
      <c r="E61" s="116">
        <f t="shared" si="10"/>
        <v>4.51</v>
      </c>
      <c r="F61" s="444" t="s">
        <v>13</v>
      </c>
      <c r="G61" s="443">
        <v>252</v>
      </c>
      <c r="H61" s="457">
        <f>'1461'!H61</f>
        <v>3506</v>
      </c>
      <c r="I61" s="101">
        <f t="shared" si="11"/>
        <v>15812.06</v>
      </c>
      <c r="N61" s="619"/>
      <c r="O61" s="619"/>
      <c r="P61" s="622"/>
      <c r="Q61" s="622"/>
      <c r="R61" s="40" t="s">
        <v>13</v>
      </c>
      <c r="S61" s="449">
        <v>252</v>
      </c>
      <c r="T61" s="460">
        <f t="shared" si="12"/>
        <v>3506</v>
      </c>
      <c r="U61" s="474">
        <f t="shared" si="13"/>
        <v>0</v>
      </c>
      <c r="V61" s="424"/>
    </row>
    <row r="62" spans="1:22" x14ac:dyDescent="0.25">
      <c r="A62" s="589"/>
      <c r="B62" s="589"/>
      <c r="C62" s="143">
        <v>0</v>
      </c>
      <c r="D62" s="143">
        <v>0</v>
      </c>
      <c r="E62" s="116">
        <f>IF(D$66=0,C62*2,C62+D62)</f>
        <v>0</v>
      </c>
      <c r="F62" s="444" t="s">
        <v>13</v>
      </c>
      <c r="G62" s="443">
        <v>253</v>
      </c>
      <c r="H62" s="457">
        <f>'1461'!H62</f>
        <v>7023</v>
      </c>
      <c r="I62" s="101">
        <f t="shared" si="11"/>
        <v>0</v>
      </c>
      <c r="N62" s="619"/>
      <c r="O62" s="619"/>
      <c r="P62" s="622"/>
      <c r="Q62" s="622"/>
      <c r="R62" s="40" t="s">
        <v>13</v>
      </c>
      <c r="S62" s="449">
        <v>253</v>
      </c>
      <c r="T62" s="460">
        <f t="shared" si="12"/>
        <v>7023</v>
      </c>
      <c r="U62" s="474">
        <f t="shared" si="13"/>
        <v>0</v>
      </c>
      <c r="V62" s="424"/>
    </row>
    <row r="63" spans="1:22" x14ac:dyDescent="0.25">
      <c r="A63" s="589"/>
      <c r="B63" s="589"/>
      <c r="C63" s="143">
        <v>0</v>
      </c>
      <c r="D63" s="143">
        <v>0</v>
      </c>
      <c r="E63" s="116">
        <f t="shared" si="10"/>
        <v>0</v>
      </c>
      <c r="F63" s="444" t="s">
        <v>14</v>
      </c>
      <c r="G63" s="443">
        <v>251</v>
      </c>
      <c r="H63" s="457">
        <f>'1461'!H63</f>
        <v>835</v>
      </c>
      <c r="I63" s="101">
        <f t="shared" si="11"/>
        <v>0</v>
      </c>
      <c r="N63" s="619"/>
      <c r="O63" s="619"/>
      <c r="P63" s="622"/>
      <c r="Q63" s="622"/>
      <c r="R63" s="40" t="s">
        <v>14</v>
      </c>
      <c r="S63" s="449">
        <v>251</v>
      </c>
      <c r="T63" s="460">
        <f t="shared" si="12"/>
        <v>835</v>
      </c>
      <c r="U63" s="474">
        <f t="shared" si="13"/>
        <v>0</v>
      </c>
      <c r="V63" s="424"/>
    </row>
    <row r="64" spans="1:22" x14ac:dyDescent="0.25">
      <c r="A64" s="589"/>
      <c r="B64" s="589"/>
      <c r="C64" s="143">
        <v>0</v>
      </c>
      <c r="D64" s="143">
        <v>0</v>
      </c>
      <c r="E64" s="116">
        <f t="shared" si="10"/>
        <v>0</v>
      </c>
      <c r="F64" s="444" t="s">
        <v>14</v>
      </c>
      <c r="G64" s="443">
        <v>252</v>
      </c>
      <c r="H64" s="457">
        <f>'1461'!H64</f>
        <v>3168</v>
      </c>
      <c r="I64" s="101">
        <f t="shared" si="11"/>
        <v>0</v>
      </c>
      <c r="N64" s="619"/>
      <c r="O64" s="619"/>
      <c r="P64" s="622"/>
      <c r="Q64" s="622"/>
      <c r="R64" s="40" t="s">
        <v>14</v>
      </c>
      <c r="S64" s="449">
        <v>252</v>
      </c>
      <c r="T64" s="460">
        <f t="shared" si="12"/>
        <v>3168</v>
      </c>
      <c r="U64" s="474">
        <f t="shared" si="13"/>
        <v>0</v>
      </c>
      <c r="V64" s="424"/>
    </row>
    <row r="65" spans="1:22" ht="16.5" thickBot="1" x14ac:dyDescent="0.3">
      <c r="A65" s="589"/>
      <c r="B65" s="589"/>
      <c r="C65" s="143">
        <v>0</v>
      </c>
      <c r="D65" s="143">
        <v>0</v>
      </c>
      <c r="E65" s="116">
        <f t="shared" si="10"/>
        <v>0</v>
      </c>
      <c r="F65" s="444" t="s">
        <v>14</v>
      </c>
      <c r="G65" s="443">
        <v>253</v>
      </c>
      <c r="H65" s="457">
        <f>'1461'!H65</f>
        <v>6685</v>
      </c>
      <c r="I65" s="101">
        <f t="shared" si="11"/>
        <v>0</v>
      </c>
      <c r="N65" s="619"/>
      <c r="O65" s="619"/>
      <c r="P65" s="623"/>
      <c r="Q65" s="623"/>
      <c r="R65" s="40" t="s">
        <v>14</v>
      </c>
      <c r="S65" s="449">
        <v>253</v>
      </c>
      <c r="T65" s="460">
        <f t="shared" si="12"/>
        <v>6685</v>
      </c>
      <c r="U65" s="475">
        <f t="shared" si="13"/>
        <v>0</v>
      </c>
      <c r="V65" s="424"/>
    </row>
    <row r="66" spans="1:22" ht="16.5" thickBot="1" x14ac:dyDescent="0.3">
      <c r="A66" s="440"/>
      <c r="C66" s="97">
        <f>SUM(C57:C65)</f>
        <v>39</v>
      </c>
      <c r="D66" s="97">
        <f>SUM(D57:D65)</f>
        <v>41.699999999999996</v>
      </c>
      <c r="E66" s="97">
        <f>SUM(E57:E65)</f>
        <v>80.7</v>
      </c>
      <c r="F66" s="590" t="s">
        <v>448</v>
      </c>
      <c r="G66" s="590"/>
      <c r="H66" s="590"/>
      <c r="I66" s="97">
        <f>SUM(I57:I65)</f>
        <v>110745.54999999999</v>
      </c>
      <c r="N66" s="446"/>
      <c r="O66" s="51"/>
      <c r="P66" s="602">
        <f>SUM(P57:P65)</f>
        <v>0</v>
      </c>
      <c r="Q66" s="602"/>
      <c r="R66" s="603" t="s">
        <v>448</v>
      </c>
      <c r="S66" s="603"/>
      <c r="T66" s="603"/>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450</v>
      </c>
      <c r="N68" s="453" t="s">
        <v>458</v>
      </c>
      <c r="O68" s="51"/>
      <c r="P68" s="51"/>
      <c r="Q68" s="51"/>
      <c r="R68" s="51"/>
      <c r="S68" s="51"/>
      <c r="T68" s="51"/>
      <c r="U68" s="51"/>
    </row>
    <row r="69" spans="1:22" x14ac:dyDescent="0.25">
      <c r="A69" s="584" t="s">
        <v>403</v>
      </c>
      <c r="B69" s="578"/>
      <c r="C69" s="112">
        <f>E30</f>
        <v>847.2</v>
      </c>
      <c r="D69" s="565" t="s">
        <v>414</v>
      </c>
      <c r="E69" s="565"/>
      <c r="F69" s="565"/>
      <c r="G69" s="565"/>
      <c r="H69" s="300">
        <f>'1461'!H69</f>
        <v>210228.91</v>
      </c>
      <c r="I69" s="113"/>
      <c r="N69" s="600" t="s">
        <v>407</v>
      </c>
      <c r="O69" s="601"/>
      <c r="P69" s="41">
        <f>P30</f>
        <v>0</v>
      </c>
      <c r="Q69" s="606" t="s">
        <v>409</v>
      </c>
      <c r="R69" s="607"/>
      <c r="S69" s="607"/>
      <c r="T69" s="604">
        <f>H69</f>
        <v>210228.91</v>
      </c>
      <c r="U69" s="604"/>
    </row>
    <row r="70" spans="1:22" x14ac:dyDescent="0.25">
      <c r="B70" s="69"/>
      <c r="G70" s="42" t="s">
        <v>12</v>
      </c>
      <c r="H70" s="114">
        <f>ROUND(C69/H69,6)</f>
        <v>4.0299999999999997E-3</v>
      </c>
      <c r="I70" s="115"/>
      <c r="N70" s="601"/>
      <c r="O70" s="601"/>
      <c r="P70" s="601"/>
      <c r="Q70" s="601"/>
      <c r="R70" s="601"/>
      <c r="S70" s="601"/>
      <c r="T70" s="605">
        <f>ROUND(P69/T69,6)</f>
        <v>0</v>
      </c>
      <c r="U70" s="605"/>
    </row>
    <row r="71" spans="1:22" x14ac:dyDescent="0.25">
      <c r="A71" s="442" t="s">
        <v>451</v>
      </c>
      <c r="N71" s="453" t="s">
        <v>459</v>
      </c>
      <c r="O71" s="51"/>
      <c r="P71" s="51"/>
      <c r="Q71" s="51"/>
      <c r="R71" s="51"/>
      <c r="S71" s="51"/>
      <c r="T71" s="51"/>
      <c r="U71" s="51"/>
    </row>
    <row r="72" spans="1:22" x14ac:dyDescent="0.25">
      <c r="A72" s="584" t="s">
        <v>404</v>
      </c>
      <c r="B72" s="578"/>
      <c r="C72" s="112">
        <f>H30</f>
        <v>909.55250000000001</v>
      </c>
      <c r="D72" s="565" t="s">
        <v>415</v>
      </c>
      <c r="E72" s="565"/>
      <c r="F72" s="565"/>
      <c r="G72" s="565"/>
      <c r="H72" s="301">
        <f>'1461'!H72</f>
        <v>234891.44</v>
      </c>
      <c r="I72" s="116"/>
      <c r="N72" s="600" t="s">
        <v>408</v>
      </c>
      <c r="O72" s="601"/>
      <c r="P72" s="41">
        <f>T30</f>
        <v>0</v>
      </c>
      <c r="Q72" s="606" t="s">
        <v>410</v>
      </c>
      <c r="R72" s="607"/>
      <c r="S72" s="607"/>
      <c r="T72" s="604">
        <f>H72</f>
        <v>234891.44</v>
      </c>
      <c r="U72" s="604"/>
    </row>
    <row r="73" spans="1:22" x14ac:dyDescent="0.25">
      <c r="G73" s="42" t="s">
        <v>12</v>
      </c>
      <c r="H73" s="114">
        <f>ROUND(C72/H72,6)</f>
        <v>3.872E-3</v>
      </c>
      <c r="I73" s="114"/>
      <c r="N73" s="601"/>
      <c r="O73" s="601"/>
      <c r="P73" s="601"/>
      <c r="Q73" s="601"/>
      <c r="R73" s="601"/>
      <c r="S73" s="601"/>
      <c r="T73" s="605">
        <f>ROUND(P72/T72,6)</f>
        <v>0</v>
      </c>
      <c r="U73" s="605"/>
    </row>
    <row r="74" spans="1:22" x14ac:dyDescent="0.25">
      <c r="A74" s="417" t="s">
        <v>452</v>
      </c>
      <c r="B74" s="414"/>
      <c r="C74" s="414"/>
      <c r="D74" s="414"/>
      <c r="E74" s="414"/>
      <c r="F74" s="414"/>
      <c r="G74" s="414"/>
      <c r="H74" s="414"/>
      <c r="I74" s="414"/>
      <c r="N74" s="416" t="s">
        <v>460</v>
      </c>
      <c r="O74" s="415"/>
      <c r="P74" s="415"/>
      <c r="Q74" s="415"/>
      <c r="R74" s="415"/>
      <c r="S74" s="415"/>
      <c r="T74" s="415"/>
      <c r="U74" s="415"/>
      <c r="V74" s="414"/>
    </row>
    <row r="75" spans="1:22" x14ac:dyDescent="0.25">
      <c r="A75" s="584" t="s">
        <v>405</v>
      </c>
      <c r="B75" s="578"/>
      <c r="C75" s="112">
        <f>E30</f>
        <v>847.2</v>
      </c>
      <c r="D75" s="557" t="s">
        <v>416</v>
      </c>
      <c r="E75" s="557"/>
      <c r="F75" s="557"/>
      <c r="G75" s="557"/>
      <c r="H75" s="300">
        <f>'1461'!H75</f>
        <v>187665.41</v>
      </c>
      <c r="I75" s="113"/>
      <c r="N75" s="600" t="s">
        <v>406</v>
      </c>
      <c r="O75" s="601"/>
      <c r="P75" s="41">
        <f>P30</f>
        <v>0</v>
      </c>
      <c r="Q75" s="636" t="s">
        <v>411</v>
      </c>
      <c r="R75" s="637"/>
      <c r="S75" s="637"/>
      <c r="T75" s="604">
        <f>H75</f>
        <v>187665.41</v>
      </c>
      <c r="U75" s="604"/>
    </row>
    <row r="76" spans="1:22" x14ac:dyDescent="0.25">
      <c r="B76" s="69"/>
      <c r="G76" s="42" t="s">
        <v>12</v>
      </c>
      <c r="H76" s="114">
        <f>ROUND(C75/H75,6)</f>
        <v>4.5139999999999998E-3</v>
      </c>
      <c r="I76" s="115"/>
      <c r="N76" s="601"/>
      <c r="O76" s="601"/>
      <c r="P76" s="601"/>
      <c r="Q76" s="601"/>
      <c r="R76" s="601"/>
      <c r="S76" s="601"/>
      <c r="T76" s="605">
        <f>ROUND(P75/T75,6)</f>
        <v>0</v>
      </c>
      <c r="U76" s="605"/>
    </row>
    <row r="77" spans="1:22" x14ac:dyDescent="0.25">
      <c r="A77" s="417" t="s">
        <v>453</v>
      </c>
      <c r="B77" s="414"/>
      <c r="C77" s="414"/>
      <c r="D77" s="414"/>
      <c r="E77" s="414"/>
      <c r="F77" s="414"/>
      <c r="G77" s="414"/>
      <c r="H77" s="414"/>
      <c r="I77" s="414"/>
      <c r="N77" s="416" t="s">
        <v>461</v>
      </c>
      <c r="O77" s="415"/>
      <c r="P77" s="415"/>
      <c r="Q77" s="415"/>
      <c r="R77" s="415"/>
      <c r="S77" s="415"/>
      <c r="T77" s="415"/>
      <c r="U77" s="415"/>
      <c r="V77" s="414"/>
    </row>
    <row r="78" spans="1:22" x14ac:dyDescent="0.25">
      <c r="A78" s="584" t="s">
        <v>405</v>
      </c>
      <c r="B78" s="578"/>
      <c r="C78" s="112">
        <f>E30</f>
        <v>847.2</v>
      </c>
      <c r="D78" s="585" t="s">
        <v>417</v>
      </c>
      <c r="E78" s="585"/>
      <c r="F78" s="585"/>
      <c r="G78" s="585"/>
      <c r="H78" s="300">
        <f>'1461'!H78</f>
        <v>209892.26</v>
      </c>
      <c r="I78" s="113"/>
      <c r="N78" s="600" t="s">
        <v>406</v>
      </c>
      <c r="O78" s="601"/>
      <c r="P78" s="41">
        <f>P30</f>
        <v>0</v>
      </c>
      <c r="Q78" s="634" t="s">
        <v>412</v>
      </c>
      <c r="R78" s="635"/>
      <c r="S78" s="635"/>
      <c r="T78" s="604">
        <f>H78</f>
        <v>209892.26</v>
      </c>
      <c r="U78" s="604"/>
    </row>
    <row r="79" spans="1:22" x14ac:dyDescent="0.25">
      <c r="B79" s="69"/>
      <c r="G79" s="42" t="s">
        <v>12</v>
      </c>
      <c r="H79" s="114">
        <f>ROUND(C78/H78,6)</f>
        <v>4.0359999999999997E-3</v>
      </c>
      <c r="I79" s="115"/>
      <c r="N79" s="601"/>
      <c r="O79" s="601"/>
      <c r="P79" s="601"/>
      <c r="Q79" s="601"/>
      <c r="R79" s="601"/>
      <c r="S79" s="601"/>
      <c r="T79" s="605">
        <f>ROUND(P78/T78,6)</f>
        <v>0</v>
      </c>
      <c r="U79" s="605"/>
    </row>
    <row r="80" spans="1:22" x14ac:dyDescent="0.25">
      <c r="A80" s="417" t="s">
        <v>454</v>
      </c>
      <c r="B80" s="414"/>
      <c r="C80" s="414"/>
      <c r="D80" s="414"/>
      <c r="E80" s="414"/>
      <c r="F80" s="414"/>
      <c r="G80" s="414"/>
      <c r="H80" s="414"/>
      <c r="I80" s="414"/>
      <c r="N80" s="416" t="s">
        <v>462</v>
      </c>
      <c r="O80" s="415"/>
      <c r="P80" s="415"/>
      <c r="Q80" s="415"/>
      <c r="R80" s="415"/>
      <c r="S80" s="415"/>
      <c r="T80" s="415"/>
      <c r="U80" s="415"/>
      <c r="V80" s="414"/>
    </row>
    <row r="81" spans="1:21" x14ac:dyDescent="0.25">
      <c r="A81" s="584" t="s">
        <v>413</v>
      </c>
      <c r="B81" s="578"/>
      <c r="C81" s="112">
        <f>E30</f>
        <v>847.2</v>
      </c>
      <c r="D81" s="557" t="s">
        <v>418</v>
      </c>
      <c r="E81" s="557"/>
      <c r="F81" s="557"/>
      <c r="G81" s="557"/>
      <c r="H81" s="300">
        <f>'1461'!H81</f>
        <v>187328.76</v>
      </c>
      <c r="I81" s="113"/>
      <c r="N81" s="600" t="s">
        <v>419</v>
      </c>
      <c r="O81" s="601"/>
      <c r="P81" s="41">
        <f>P30</f>
        <v>0</v>
      </c>
      <c r="Q81" s="636" t="s">
        <v>420</v>
      </c>
      <c r="R81" s="637"/>
      <c r="S81" s="637"/>
      <c r="T81" s="604">
        <f>H81</f>
        <v>187328.76</v>
      </c>
      <c r="U81" s="604"/>
    </row>
    <row r="82" spans="1:21" x14ac:dyDescent="0.25">
      <c r="B82" s="69"/>
      <c r="G82" s="42" t="s">
        <v>12</v>
      </c>
      <c r="H82" s="114">
        <f>ROUND(C81/H81,6)</f>
        <v>4.5230000000000001E-3</v>
      </c>
      <c r="I82" s="115"/>
      <c r="N82" s="601"/>
      <c r="O82" s="601"/>
      <c r="P82" s="601"/>
      <c r="Q82" s="601"/>
      <c r="R82" s="601"/>
      <c r="S82" s="601"/>
      <c r="T82" s="605">
        <f>ROUND(P81/T81,6)</f>
        <v>0</v>
      </c>
      <c r="U82" s="605"/>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455</v>
      </c>
      <c r="D85" s="69"/>
      <c r="E85" s="43" t="s">
        <v>299</v>
      </c>
      <c r="F85" s="302">
        <f>'1461'!F85</f>
        <v>46163704</v>
      </c>
      <c r="G85" s="37" t="s">
        <v>6</v>
      </c>
      <c r="H85" s="422">
        <f>H79</f>
        <v>4.0359999999999997E-3</v>
      </c>
      <c r="I85" s="101">
        <f>ROUND(F85*H85,2)</f>
        <v>186316.71</v>
      </c>
      <c r="N85" s="453" t="s">
        <v>455</v>
      </c>
      <c r="O85" s="51"/>
      <c r="P85" s="51"/>
      <c r="Q85" s="44"/>
      <c r="R85" s="419">
        <f>F85</f>
        <v>46163704</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87" t="s">
        <v>71</v>
      </c>
      <c r="B87" s="578"/>
      <c r="C87" s="578"/>
      <c r="D87" s="69"/>
      <c r="E87" s="43"/>
      <c r="F87" s="117"/>
      <c r="G87" s="37"/>
      <c r="H87" s="422"/>
      <c r="I87" s="101"/>
      <c r="N87" s="600" t="s">
        <v>463</v>
      </c>
      <c r="O87" s="601"/>
      <c r="P87" s="601"/>
      <c r="Q87" s="51"/>
      <c r="R87" s="420"/>
      <c r="S87" s="51"/>
      <c r="T87" s="38"/>
      <c r="U87" s="478"/>
    </row>
    <row r="88" spans="1:21" x14ac:dyDescent="0.25">
      <c r="A88" s="587" t="s">
        <v>99</v>
      </c>
      <c r="B88" s="578"/>
      <c r="C88" s="578"/>
      <c r="D88" s="69"/>
      <c r="E88" s="43" t="s">
        <v>3</v>
      </c>
      <c r="F88" s="302">
        <f>'1461'!F88</f>
        <v>0</v>
      </c>
      <c r="G88" s="37" t="s">
        <v>6</v>
      </c>
      <c r="H88" s="422">
        <f>H70</f>
        <v>4.0299999999999997E-3</v>
      </c>
      <c r="I88" s="101">
        <f>ROUND(F88*H88,2)</f>
        <v>0</v>
      </c>
      <c r="N88" s="638" t="s">
        <v>99</v>
      </c>
      <c r="O88" s="601"/>
      <c r="P88" s="601"/>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456</v>
      </c>
      <c r="D90" s="69"/>
      <c r="E90" s="43" t="s">
        <v>421</v>
      </c>
      <c r="F90" s="302">
        <f>'1461'!F90</f>
        <v>19042026</v>
      </c>
      <c r="G90" s="37" t="s">
        <v>6</v>
      </c>
      <c r="H90" s="422">
        <f>H82</f>
        <v>4.5230000000000001E-3</v>
      </c>
      <c r="I90" s="101">
        <f>ROUND(F90*H90,2)</f>
        <v>86127.08</v>
      </c>
      <c r="N90" s="453" t="s">
        <v>456</v>
      </c>
      <c r="O90" s="51"/>
      <c r="P90" s="51"/>
      <c r="Q90" s="44"/>
      <c r="R90" s="419">
        <f>F90</f>
        <v>19042026</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457</v>
      </c>
      <c r="D92" s="69"/>
      <c r="E92" s="43" t="s">
        <v>3</v>
      </c>
      <c r="F92" s="302">
        <f>'1461'!F92</f>
        <v>11441151</v>
      </c>
      <c r="G92" s="37" t="s">
        <v>6</v>
      </c>
      <c r="H92" s="422">
        <f>H76</f>
        <v>4.5139999999999998E-3</v>
      </c>
      <c r="I92" s="101">
        <f t="shared" ref="I92:I96" si="14">ROUND(F92*H92,2)</f>
        <v>51645.36</v>
      </c>
      <c r="N92" s="453" t="s">
        <v>457</v>
      </c>
      <c r="O92" s="51"/>
      <c r="P92" s="51"/>
      <c r="Q92" s="44"/>
      <c r="R92" s="419">
        <f t="shared" ref="R92:R96" si="15">F92</f>
        <v>11441151</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84" t="s">
        <v>422</v>
      </c>
      <c r="B94" s="578"/>
      <c r="C94" s="578"/>
      <c r="D94" s="69"/>
      <c r="E94" s="43" t="s">
        <v>4</v>
      </c>
      <c r="F94" s="302">
        <f>'1461'!F94</f>
        <v>247265670</v>
      </c>
      <c r="G94" s="37" t="s">
        <v>6</v>
      </c>
      <c r="H94" s="422">
        <f>H73</f>
        <v>3.872E-3</v>
      </c>
      <c r="I94" s="101">
        <f t="shared" si="14"/>
        <v>957412.67</v>
      </c>
      <c r="N94" s="601" t="s">
        <v>422</v>
      </c>
      <c r="O94" s="601"/>
      <c r="P94" s="601"/>
      <c r="Q94" s="44"/>
      <c r="R94" s="419">
        <f t="shared" si="15"/>
        <v>247265670</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4" t="s">
        <v>423</v>
      </c>
      <c r="B96" s="578"/>
      <c r="C96" s="578"/>
      <c r="D96" s="69"/>
      <c r="E96" s="43" t="s">
        <v>4</v>
      </c>
      <c r="F96" s="302">
        <f>'1461'!F96</f>
        <v>0</v>
      </c>
      <c r="G96" s="37" t="s">
        <v>6</v>
      </c>
      <c r="H96" s="422">
        <f>H73</f>
        <v>3.872E-3</v>
      </c>
      <c r="I96" s="101">
        <f t="shared" si="14"/>
        <v>0</v>
      </c>
      <c r="N96" s="600" t="s">
        <v>423</v>
      </c>
      <c r="O96" s="601"/>
      <c r="P96" s="601"/>
      <c r="Q96" s="44"/>
      <c r="R96" s="419">
        <f t="shared" si="15"/>
        <v>0</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530" t="s">
        <v>497</v>
      </c>
      <c r="B98" s="529"/>
      <c r="C98" s="529"/>
      <c r="D98" s="529"/>
      <c r="E98" s="527" t="s">
        <v>3</v>
      </c>
      <c r="F98" s="290">
        <v>0</v>
      </c>
      <c r="G98" s="528" t="s">
        <v>6</v>
      </c>
      <c r="H98" s="422">
        <f>H70</f>
        <v>4.0299999999999997E-3</v>
      </c>
      <c r="I98" s="101">
        <f t="shared" ref="I98" si="16">ROUND(F98*H98,2)</f>
        <v>0</v>
      </c>
      <c r="N98" s="533" t="s">
        <v>497</v>
      </c>
      <c r="O98" s="533"/>
      <c r="P98" s="533"/>
      <c r="Q98" s="44"/>
      <c r="R98" s="536">
        <f>F98</f>
        <v>0</v>
      </c>
      <c r="S98" s="534" t="s">
        <v>6</v>
      </c>
      <c r="T98" s="421">
        <f>T70</f>
        <v>0</v>
      </c>
      <c r="U98" s="473">
        <f>ROUND(R98*T98,2)</f>
        <v>0</v>
      </c>
    </row>
    <row r="99" spans="1:21" x14ac:dyDescent="0.25">
      <c r="A99" s="530"/>
      <c r="B99" s="529"/>
      <c r="C99" s="529"/>
      <c r="D99" s="529"/>
      <c r="E99" s="527"/>
      <c r="F99" s="276"/>
      <c r="G99" s="528"/>
      <c r="H99" s="422"/>
      <c r="I99" s="101"/>
      <c r="N99" s="533"/>
      <c r="O99" s="533"/>
      <c r="P99" s="533"/>
      <c r="Q99" s="44"/>
      <c r="R99" s="535"/>
      <c r="S99" s="534"/>
      <c r="T99" s="421"/>
      <c r="U99" s="477"/>
    </row>
    <row r="100" spans="1:21" x14ac:dyDescent="0.25">
      <c r="A100" s="530"/>
      <c r="B100" s="529"/>
      <c r="C100" s="529"/>
      <c r="D100" s="529"/>
      <c r="E100" s="527"/>
      <c r="F100" s="276"/>
      <c r="G100" s="528"/>
      <c r="H100" s="422"/>
      <c r="I100" s="101"/>
      <c r="N100" s="533"/>
      <c r="O100" s="533"/>
      <c r="P100" s="533"/>
      <c r="Q100" s="44"/>
      <c r="R100" s="420"/>
      <c r="S100" s="534"/>
      <c r="T100" s="421"/>
      <c r="U100" s="103"/>
    </row>
    <row r="101" spans="1:21" x14ac:dyDescent="0.25">
      <c r="A101" s="399" t="s">
        <v>498</v>
      </c>
      <c r="N101" s="407" t="s">
        <v>498</v>
      </c>
      <c r="O101" s="51"/>
      <c r="P101" s="51"/>
      <c r="Q101" s="51"/>
      <c r="R101" s="51"/>
      <c r="S101" s="51"/>
      <c r="T101" s="51"/>
      <c r="U101" s="51"/>
    </row>
    <row r="102" spans="1:21" x14ac:dyDescent="0.25">
      <c r="B102" s="69"/>
      <c r="C102" s="563" t="s">
        <v>60</v>
      </c>
      <c r="D102" s="563"/>
      <c r="E102" s="69"/>
      <c r="F102" s="39" t="s">
        <v>28</v>
      </c>
      <c r="G102" s="69"/>
      <c r="H102" s="69"/>
      <c r="I102" s="69"/>
      <c r="N102" s="45"/>
      <c r="O102" s="45"/>
      <c r="P102" s="45"/>
      <c r="Q102" s="45"/>
      <c r="R102" s="45"/>
      <c r="S102" s="45"/>
      <c r="T102" s="45"/>
      <c r="U102" s="45"/>
    </row>
    <row r="103" spans="1:21" x14ac:dyDescent="0.25">
      <c r="A103" s="3"/>
      <c r="B103" s="118"/>
      <c r="C103" s="564" t="s">
        <v>101</v>
      </c>
      <c r="D103" s="564"/>
      <c r="E103" s="423" t="s">
        <v>426</v>
      </c>
      <c r="F103" s="120" t="s">
        <v>106</v>
      </c>
      <c r="G103" s="121"/>
      <c r="H103" s="121"/>
      <c r="I103" s="121"/>
      <c r="N103" s="631" t="s">
        <v>35</v>
      </c>
      <c r="O103" s="631"/>
      <c r="P103" s="672" t="s">
        <v>428</v>
      </c>
      <c r="Q103" s="633"/>
      <c r="R103" s="604" t="s">
        <v>31</v>
      </c>
      <c r="S103" s="604"/>
      <c r="T103" s="604"/>
      <c r="U103" s="604"/>
    </row>
    <row r="104" spans="1:21" x14ac:dyDescent="0.25">
      <c r="A104" s="26"/>
      <c r="B104" s="52" t="s">
        <v>105</v>
      </c>
      <c r="C104" s="596">
        <f>H14+H15+H20+H23+H26</f>
        <v>439.83100000000002</v>
      </c>
      <c r="D104" s="596"/>
      <c r="E104" s="46">
        <f>H8</f>
        <v>1.0407999999999999</v>
      </c>
      <c r="F104" s="303">
        <f>'1461'!F104</f>
        <v>950.92</v>
      </c>
      <c r="G104" s="39" t="s">
        <v>12</v>
      </c>
      <c r="H104" s="101">
        <f>ROUND(C104*E104*F104,2)</f>
        <v>435308.45</v>
      </c>
      <c r="I104" s="104"/>
      <c r="N104" s="28" t="s">
        <v>17</v>
      </c>
      <c r="O104" s="47">
        <f>T14+T15+T20+T23+T26</f>
        <v>0</v>
      </c>
      <c r="P104" s="611">
        <f>T8</f>
        <v>1.0407999999999999</v>
      </c>
      <c r="Q104" s="611"/>
      <c r="R104" s="48">
        <f>F104</f>
        <v>950.92</v>
      </c>
      <c r="S104" s="40" t="s">
        <v>12</v>
      </c>
      <c r="T104" s="479">
        <f>ROUND(O104*P104*R104,2)</f>
        <v>0</v>
      </c>
      <c r="U104" s="102"/>
    </row>
    <row r="105" spans="1:21" x14ac:dyDescent="0.25">
      <c r="A105" s="49"/>
      <c r="B105" s="49" t="s">
        <v>104</v>
      </c>
      <c r="C105" s="596">
        <f>H16+H17+H21+H24+H27</f>
        <v>469.72149999999999</v>
      </c>
      <c r="D105" s="596"/>
      <c r="E105" s="46">
        <f>H8</f>
        <v>1.0407999999999999</v>
      </c>
      <c r="F105" s="303">
        <f>'1461'!F105</f>
        <v>907.92</v>
      </c>
      <c r="G105" s="39" t="s">
        <v>12</v>
      </c>
      <c r="H105" s="101">
        <f>ROUND(C105*E105*F105,2)</f>
        <v>443869.5</v>
      </c>
      <c r="N105" s="50" t="s">
        <v>13</v>
      </c>
      <c r="O105" s="47">
        <f>T16+T17+T21+T24+T27</f>
        <v>0</v>
      </c>
      <c r="P105" s="611">
        <f>T8</f>
        <v>1.0407999999999999</v>
      </c>
      <c r="Q105" s="611"/>
      <c r="R105" s="48">
        <f>F105</f>
        <v>907.92</v>
      </c>
      <c r="S105" s="40" t="s">
        <v>12</v>
      </c>
      <c r="T105" s="479">
        <f>ROUND(O105*P105*R105,2)</f>
        <v>0</v>
      </c>
      <c r="U105" s="51"/>
    </row>
    <row r="106" spans="1:21" ht="16.5" thickBot="1" x14ac:dyDescent="0.3">
      <c r="A106" s="52"/>
      <c r="B106" s="52" t="s">
        <v>103</v>
      </c>
      <c r="C106" s="596">
        <f>H18+H19+H22+H25+H28+H29</f>
        <v>0</v>
      </c>
      <c r="D106" s="596"/>
      <c r="E106" s="46">
        <f>H8</f>
        <v>1.0407999999999999</v>
      </c>
      <c r="F106" s="303">
        <f>'1461'!F106</f>
        <v>910.12</v>
      </c>
      <c r="G106" s="39" t="s">
        <v>12</v>
      </c>
      <c r="H106" s="94">
        <f>ROUND(C106*E106*F106,2)</f>
        <v>0</v>
      </c>
      <c r="N106" s="53" t="s">
        <v>14</v>
      </c>
      <c r="O106" s="54">
        <f>T18+T19+T22+T25+T28+T29</f>
        <v>0</v>
      </c>
      <c r="P106" s="611">
        <f>T8</f>
        <v>1.0407999999999999</v>
      </c>
      <c r="Q106" s="611"/>
      <c r="R106" s="48">
        <f>F106</f>
        <v>910.12</v>
      </c>
      <c r="S106" s="40" t="s">
        <v>12</v>
      </c>
      <c r="T106" s="479">
        <f>ROUND(O106*P106*R106,2)</f>
        <v>0</v>
      </c>
      <c r="U106" s="51"/>
    </row>
    <row r="107" spans="1:21" ht="16.5" thickBot="1" x14ac:dyDescent="0.3">
      <c r="A107" s="55"/>
      <c r="B107" s="122" t="s">
        <v>102</v>
      </c>
      <c r="C107" s="586">
        <f>SUM(C104:C106)</f>
        <v>909.55250000000001</v>
      </c>
      <c r="D107" s="586"/>
      <c r="E107" s="123"/>
      <c r="F107" s="123"/>
      <c r="G107" s="123"/>
      <c r="H107" s="124" t="s">
        <v>100</v>
      </c>
      <c r="I107" s="101">
        <f>IF(A1=75,0,H106+H105+H104)</f>
        <v>879177.95</v>
      </c>
      <c r="N107" s="56" t="s">
        <v>89</v>
      </c>
      <c r="O107" s="57">
        <f>SUM(O104:O106)</f>
        <v>0</v>
      </c>
      <c r="P107" s="612" t="s">
        <v>16</v>
      </c>
      <c r="Q107" s="613"/>
      <c r="R107" s="613"/>
      <c r="S107" s="613"/>
      <c r="T107" s="613"/>
      <c r="U107" s="473">
        <f>IF(N1=75,0,T106+T105+T104)</f>
        <v>0</v>
      </c>
    </row>
    <row r="108" spans="1:21" ht="16.5" thickTop="1" x14ac:dyDescent="0.25">
      <c r="A108" s="555" t="s">
        <v>65</v>
      </c>
      <c r="B108" s="555"/>
      <c r="C108" s="555"/>
      <c r="D108" s="555"/>
      <c r="E108" s="555"/>
      <c r="F108" s="555"/>
      <c r="G108" s="555"/>
      <c r="H108" s="555"/>
      <c r="I108" s="555"/>
      <c r="N108" s="614" t="s">
        <v>65</v>
      </c>
      <c r="O108" s="614"/>
      <c r="P108" s="614"/>
      <c r="Q108" s="614"/>
      <c r="R108" s="614"/>
      <c r="S108" s="614"/>
      <c r="T108" s="614"/>
      <c r="U108" s="614"/>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0" t="s">
        <v>499</v>
      </c>
      <c r="C110" s="43"/>
      <c r="D110" s="69"/>
      <c r="E110" s="43" t="s">
        <v>32</v>
      </c>
      <c r="F110" s="556"/>
      <c r="G110" s="556"/>
      <c r="H110" s="556"/>
      <c r="I110" s="556"/>
      <c r="N110" s="600" t="s">
        <v>499</v>
      </c>
      <c r="O110" s="601"/>
      <c r="P110" s="601"/>
      <c r="Q110" s="615"/>
      <c r="R110" s="615"/>
      <c r="S110" s="615"/>
      <c r="T110" s="615"/>
      <c r="U110" s="103"/>
    </row>
    <row r="111" spans="1:21" x14ac:dyDescent="0.25">
      <c r="B111" s="69"/>
      <c r="C111" s="88" t="s">
        <v>494</v>
      </c>
      <c r="D111" s="333" t="s">
        <v>495</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57" t="s">
        <v>381</v>
      </c>
      <c r="B113" s="558"/>
      <c r="C113" s="143">
        <v>4</v>
      </c>
      <c r="D113" s="143">
        <v>1</v>
      </c>
      <c r="E113" s="116">
        <f>(C113+D113)/2</f>
        <v>2.5</v>
      </c>
      <c r="F113" s="126" t="s">
        <v>30</v>
      </c>
      <c r="G113" s="304">
        <f>'1461'!G113</f>
        <v>576</v>
      </c>
      <c r="I113" s="101">
        <f>ROUND(G113*E113,2)</f>
        <v>1440</v>
      </c>
      <c r="N113" s="630" t="s">
        <v>52</v>
      </c>
      <c r="O113" s="630"/>
      <c r="P113" s="610">
        <f>IF(H133=1,E113,0)</f>
        <v>0</v>
      </c>
      <c r="Q113" s="610"/>
      <c r="R113" s="610"/>
      <c r="S113" s="83" t="s">
        <v>30</v>
      </c>
      <c r="T113" s="58">
        <f>G113</f>
        <v>576</v>
      </c>
      <c r="U113" s="473">
        <f>ROUND(T113*P113,2)</f>
        <v>0</v>
      </c>
    </row>
    <row r="114" spans="1:21" x14ac:dyDescent="0.25">
      <c r="A114" s="557" t="s">
        <v>382</v>
      </c>
      <c r="B114" s="558"/>
      <c r="C114" s="143">
        <v>0</v>
      </c>
      <c r="D114" s="143">
        <v>0</v>
      </c>
      <c r="E114" s="116">
        <f>C114</f>
        <v>0</v>
      </c>
      <c r="F114" s="126" t="s">
        <v>30</v>
      </c>
      <c r="G114" s="304">
        <f>'1461'!G114</f>
        <v>1823</v>
      </c>
      <c r="I114" s="101">
        <f>ROUND(G114*E114,2)</f>
        <v>0</v>
      </c>
      <c r="N114" s="630" t="s">
        <v>64</v>
      </c>
      <c r="O114" s="630"/>
      <c r="P114" s="608"/>
      <c r="Q114" s="608"/>
      <c r="R114" s="608"/>
      <c r="S114" s="83" t="s">
        <v>30</v>
      </c>
      <c r="T114" s="58">
        <f>G114</f>
        <v>1823</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4" t="s">
        <v>430</v>
      </c>
      <c r="B117" s="578"/>
      <c r="C117" s="578"/>
      <c r="D117" s="69"/>
      <c r="E117" s="39" t="s">
        <v>300</v>
      </c>
      <c r="F117" s="563"/>
      <c r="G117" s="563"/>
      <c r="H117" s="563"/>
      <c r="I117" s="563"/>
      <c r="N117" s="600" t="s">
        <v>431</v>
      </c>
      <c r="O117" s="601"/>
      <c r="P117" s="601"/>
      <c r="Q117" s="601"/>
      <c r="R117" s="601"/>
      <c r="S117" s="601"/>
      <c r="T117" s="601"/>
      <c r="U117" s="601"/>
    </row>
    <row r="118" spans="1:21" hidden="1" x14ac:dyDescent="0.25">
      <c r="B118" s="69"/>
      <c r="C118" s="564" t="s">
        <v>66</v>
      </c>
      <c r="D118" s="564"/>
      <c r="E118" s="564"/>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5" t="s">
        <v>109</v>
      </c>
      <c r="G119" s="563"/>
      <c r="H119" s="37" t="s">
        <v>29</v>
      </c>
      <c r="I119" s="37"/>
      <c r="N119" s="45"/>
      <c r="O119" s="45"/>
      <c r="P119" s="45"/>
      <c r="Q119" s="45"/>
      <c r="R119" s="45"/>
      <c r="S119" s="45"/>
      <c r="T119" s="45"/>
      <c r="U119" s="45"/>
    </row>
    <row r="120" spans="1:21" hidden="1" x14ac:dyDescent="0.25">
      <c r="A120" s="564" t="s">
        <v>69</v>
      </c>
      <c r="B120" s="564"/>
      <c r="C120" s="90" t="s">
        <v>2</v>
      </c>
      <c r="D120" s="90" t="s">
        <v>2</v>
      </c>
      <c r="E120" s="59" t="s">
        <v>2</v>
      </c>
      <c r="F120" s="564" t="s">
        <v>28</v>
      </c>
      <c r="G120" s="564"/>
      <c r="H120" s="59" t="s">
        <v>28</v>
      </c>
      <c r="I120" s="59" t="s">
        <v>8</v>
      </c>
      <c r="N120" s="609" t="s">
        <v>53</v>
      </c>
      <c r="O120" s="609"/>
      <c r="P120" s="610" t="s">
        <v>66</v>
      </c>
      <c r="Q120" s="610"/>
      <c r="R120" s="609" t="s">
        <v>54</v>
      </c>
      <c r="S120" s="609"/>
      <c r="T120" s="60" t="s">
        <v>55</v>
      </c>
      <c r="U120" s="60" t="s">
        <v>8</v>
      </c>
    </row>
    <row r="121" spans="1:21" hidden="1" x14ac:dyDescent="0.25">
      <c r="A121" s="561" t="s">
        <v>56</v>
      </c>
      <c r="B121" s="561"/>
      <c r="C121" s="141">
        <v>0</v>
      </c>
      <c r="D121" s="141">
        <v>0</v>
      </c>
      <c r="E121" s="187">
        <f>IF(D30=0,C121*2,C121+D121)</f>
        <v>0</v>
      </c>
      <c r="F121" s="562">
        <v>0</v>
      </c>
      <c r="G121" s="562"/>
      <c r="H121" s="224">
        <f>IF(C121=0,0,125)</f>
        <v>0</v>
      </c>
      <c r="I121" s="101">
        <f>ROUND((H121+F121)*E121,2)</f>
        <v>0</v>
      </c>
      <c r="N121" s="601" t="s">
        <v>56</v>
      </c>
      <c r="O121" s="601"/>
      <c r="P121" s="608">
        <f>IF(H$133=1,C121,0)</f>
        <v>0</v>
      </c>
      <c r="Q121" s="608"/>
      <c r="R121" s="628">
        <f>F121</f>
        <v>0</v>
      </c>
      <c r="S121" s="628"/>
      <c r="T121" s="62">
        <f>H121</f>
        <v>0</v>
      </c>
      <c r="U121" s="96">
        <f>ROUND((T121+R121)*P121,0)</f>
        <v>0</v>
      </c>
    </row>
    <row r="122" spans="1:21" hidden="1" x14ac:dyDescent="0.25">
      <c r="A122" s="581" t="s">
        <v>57</v>
      </c>
      <c r="B122" s="581"/>
      <c r="C122" s="143">
        <v>0</v>
      </c>
      <c r="D122" s="143">
        <v>0</v>
      </c>
      <c r="E122" s="116">
        <f>IF(D31=0,C122*2,C122+D122)</f>
        <v>0</v>
      </c>
      <c r="F122" s="598">
        <f>ROUND(F121/2,2)</f>
        <v>0</v>
      </c>
      <c r="G122" s="598"/>
      <c r="H122" s="224">
        <f>IF(C122=0,0,62.5)</f>
        <v>0</v>
      </c>
      <c r="I122" s="101">
        <f>ROUND((H122+F122)*E122,2)</f>
        <v>0</v>
      </c>
      <c r="N122" s="601" t="s">
        <v>57</v>
      </c>
      <c r="O122" s="601"/>
      <c r="P122" s="608">
        <f>IF(H$133=1,C122,0)</f>
        <v>0</v>
      </c>
      <c r="Q122" s="608"/>
      <c r="R122" s="629">
        <f>ROUND(R121/2,2)</f>
        <v>0</v>
      </c>
      <c r="S122" s="629"/>
      <c r="T122" s="62">
        <f>H122</f>
        <v>0</v>
      </c>
      <c r="U122" s="96">
        <f>ROUND((T122+R122)*P122,0)</f>
        <v>0</v>
      </c>
    </row>
    <row r="123" spans="1:21" ht="16.5" hidden="1" thickBot="1" x14ac:dyDescent="0.3">
      <c r="A123" s="581" t="s">
        <v>58</v>
      </c>
      <c r="B123" s="581"/>
      <c r="C123" s="143">
        <v>0</v>
      </c>
      <c r="D123" s="143">
        <v>0</v>
      </c>
      <c r="E123" s="116">
        <f>IF(D32=0,C123*2,C123+D123)</f>
        <v>0</v>
      </c>
      <c r="F123" s="599"/>
      <c r="G123" s="599"/>
      <c r="H123" s="225">
        <f>IF(H121&gt;0,436,0)</f>
        <v>0</v>
      </c>
      <c r="I123" s="101">
        <f>ROUND(H123*E123,2)</f>
        <v>0</v>
      </c>
      <c r="N123" s="616" t="s">
        <v>58</v>
      </c>
      <c r="O123" s="616"/>
      <c r="P123" s="608">
        <f>IF(H$133=1,C123,0)</f>
        <v>0</v>
      </c>
      <c r="Q123" s="608"/>
      <c r="R123" s="609"/>
      <c r="S123" s="609"/>
      <c r="T123" s="64">
        <f>H123</f>
        <v>0</v>
      </c>
      <c r="U123" s="103">
        <f>ROUND(T123*P123,0)</f>
        <v>0</v>
      </c>
    </row>
    <row r="124" spans="1:21" ht="16.5" hidden="1" thickBot="1" x14ac:dyDescent="0.3">
      <c r="A124" s="563" t="s">
        <v>8</v>
      </c>
      <c r="B124" s="563"/>
      <c r="C124" s="65"/>
      <c r="D124" s="65"/>
      <c r="E124" s="65"/>
      <c r="F124" s="65"/>
      <c r="G124" s="65"/>
      <c r="H124" s="65"/>
      <c r="I124" s="97">
        <f>SUM(I121:I123)</f>
        <v>0</v>
      </c>
      <c r="N124" s="627" t="s">
        <v>8</v>
      </c>
      <c r="O124" s="627"/>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4" t="s">
        <v>432</v>
      </c>
      <c r="B126" s="578"/>
      <c r="C126" s="578"/>
      <c r="D126" s="69"/>
      <c r="E126" s="68" t="s">
        <v>34</v>
      </c>
      <c r="F126" s="597"/>
      <c r="G126" s="597"/>
      <c r="H126" s="597"/>
      <c r="I126" s="154">
        <v>0</v>
      </c>
      <c r="N126" s="600" t="s">
        <v>432</v>
      </c>
      <c r="O126" s="601"/>
      <c r="P126" s="601"/>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90" t="s">
        <v>8</v>
      </c>
      <c r="B128" s="590"/>
      <c r="C128" s="590"/>
      <c r="D128" s="590"/>
      <c r="E128" s="590"/>
      <c r="F128" s="590"/>
      <c r="G128" s="590"/>
      <c r="H128" s="590"/>
      <c r="I128" s="94">
        <f>SUM(I46,I66,I85,I88,I90,I92,I94,I96,I107,I113,I114,I124,I126)</f>
        <v>7319502.7999999998</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434</v>
      </c>
      <c r="B130" s="26"/>
      <c r="C130" s="26"/>
      <c r="D130" s="26"/>
      <c r="E130" s="26"/>
      <c r="F130" s="26"/>
      <c r="G130" s="26"/>
      <c r="H130" s="26"/>
      <c r="I130" s="101">
        <f>I128-I53</f>
        <v>7020237.2000000002</v>
      </c>
      <c r="N130" s="601" t="s">
        <v>434</v>
      </c>
      <c r="O130" s="601"/>
      <c r="P130" s="601"/>
      <c r="Q130" s="601"/>
      <c r="R130" s="601"/>
      <c r="S130" s="601"/>
      <c r="T130" s="601"/>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4" t="s">
        <v>502</v>
      </c>
      <c r="B132" s="578"/>
      <c r="C132" s="578"/>
      <c r="D132" s="578"/>
      <c r="E132" s="578"/>
      <c r="F132" s="578"/>
      <c r="G132" s="578"/>
      <c r="H132" s="81" t="s">
        <v>333</v>
      </c>
      <c r="I132" s="134"/>
      <c r="N132" s="600" t="s">
        <v>502</v>
      </c>
      <c r="O132" s="601"/>
      <c r="P132" s="601"/>
      <c r="Q132" s="601"/>
      <c r="R132" s="601"/>
      <c r="S132" s="601"/>
      <c r="T132" s="601"/>
      <c r="U132" s="138"/>
    </row>
    <row r="133" spans="1:21" x14ac:dyDescent="0.25">
      <c r="A133" s="578" t="s">
        <v>70</v>
      </c>
      <c r="B133" s="578"/>
      <c r="C133" s="578"/>
      <c r="D133" s="578"/>
      <c r="E133" s="578"/>
      <c r="F133" s="578"/>
      <c r="G133" s="578"/>
      <c r="H133" s="70" t="str">
        <f>IF(E30=0,"",IF((E15+E17+SUM(E19:E25))/E30&gt;0.75,1,""))</f>
        <v/>
      </c>
      <c r="I133" s="116">
        <f>U130</f>
        <v>0</v>
      </c>
      <c r="N133" s="601" t="s">
        <v>70</v>
      </c>
      <c r="O133" s="601"/>
      <c r="P133" s="601"/>
      <c r="Q133" s="601"/>
      <c r="R133" s="601"/>
      <c r="S133" s="601"/>
      <c r="T133" s="601"/>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7020237.2000000002</v>
      </c>
      <c r="I135" s="94">
        <f>ROUND(IF(E30=0,0,IF(E30&gt;250,-(((250/E30)*H135)*IF(G135="H",0.02,0.05)),IF(G135="H",-0.02*H135,-0.05*H135))),2)</f>
        <v>-103579.99</v>
      </c>
      <c r="N135" s="626"/>
      <c r="O135" s="626"/>
      <c r="P135" s="626"/>
      <c r="Q135" s="626"/>
      <c r="R135" s="626"/>
      <c r="S135" s="626"/>
      <c r="T135" s="626"/>
      <c r="U135" s="626"/>
    </row>
    <row r="136" spans="1:21" x14ac:dyDescent="0.25">
      <c r="B136" s="69"/>
      <c r="C136" s="69"/>
      <c r="D136" s="69"/>
      <c r="E136" s="69"/>
      <c r="F136" s="69"/>
      <c r="G136" s="69"/>
      <c r="H136" s="65"/>
      <c r="I136" s="101"/>
      <c r="N136" s="624" t="s">
        <v>7</v>
      </c>
      <c r="O136" s="624"/>
      <c r="P136" s="624"/>
      <c r="Q136" s="624"/>
      <c r="R136" s="624"/>
      <c r="S136" s="624"/>
      <c r="T136" s="624"/>
      <c r="U136" s="624"/>
    </row>
    <row r="137" spans="1:21" x14ac:dyDescent="0.25">
      <c r="A137" s="309" t="s">
        <v>74</v>
      </c>
      <c r="B137" s="310"/>
      <c r="C137" s="310"/>
      <c r="D137" s="310"/>
      <c r="E137" s="310"/>
      <c r="F137" s="310"/>
      <c r="G137" s="310"/>
      <c r="H137" s="311"/>
      <c r="I137" s="312">
        <f>I128+I135</f>
        <v>7215922.8099999996</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Payments'!Q104</f>
        <v>0</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7215922.8099999996</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601326.9</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247431.87</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372</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373</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374</v>
      </c>
      <c r="B155" s="252"/>
      <c r="C155" s="252"/>
      <c r="D155" s="252"/>
      <c r="E155" s="252"/>
      <c r="F155" s="252"/>
      <c r="G155" s="252"/>
      <c r="H155" s="252"/>
      <c r="I155" s="252"/>
      <c r="N155" s="625"/>
      <c r="O155" s="625"/>
      <c r="P155" s="625"/>
      <c r="Q155" s="625"/>
      <c r="R155" s="625"/>
      <c r="S155" s="625"/>
      <c r="T155" s="625"/>
      <c r="U155" s="625"/>
    </row>
    <row r="156" spans="1:21" s="76" customFormat="1" x14ac:dyDescent="0.2">
      <c r="A156" s="320" t="s">
        <v>375</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376</v>
      </c>
      <c r="B157" s="252"/>
      <c r="C157" s="252"/>
      <c r="D157" s="252"/>
      <c r="E157" s="252"/>
      <c r="F157" s="252"/>
      <c r="G157" s="252"/>
      <c r="H157" s="252"/>
      <c r="I157" s="252"/>
      <c r="N157" s="78"/>
      <c r="O157" s="79"/>
      <c r="P157" s="79"/>
      <c r="Q157" s="79"/>
      <c r="R157" s="79"/>
      <c r="S157" s="79"/>
      <c r="T157" s="79"/>
      <c r="U157" s="79"/>
    </row>
    <row r="158" spans="1:21" s="76" customFormat="1" x14ac:dyDescent="0.2">
      <c r="A158" s="320" t="s">
        <v>377</v>
      </c>
      <c r="B158" s="252"/>
      <c r="C158" s="252"/>
      <c r="D158" s="252"/>
      <c r="E158" s="252"/>
      <c r="F158" s="252"/>
      <c r="G158" s="252"/>
      <c r="H158" s="252"/>
      <c r="I158" s="252"/>
      <c r="N158" s="78"/>
    </row>
    <row r="159" spans="1:21" s="76" customFormat="1" x14ac:dyDescent="0.2">
      <c r="A159" s="320" t="s">
        <v>379</v>
      </c>
      <c r="B159" s="252"/>
      <c r="C159" s="252"/>
      <c r="D159" s="252"/>
      <c r="E159" s="252"/>
      <c r="F159" s="252"/>
      <c r="G159" s="252"/>
      <c r="H159" s="252"/>
      <c r="I159" s="252"/>
      <c r="N159" s="78"/>
    </row>
    <row r="160" spans="1:21" s="76" customFormat="1" x14ac:dyDescent="0.2">
      <c r="A160" s="385" t="s">
        <v>378</v>
      </c>
      <c r="B160" s="252"/>
      <c r="C160" s="252"/>
      <c r="D160" s="252"/>
      <c r="E160" s="252"/>
      <c r="F160" s="252"/>
      <c r="G160" s="252"/>
      <c r="H160" s="252"/>
      <c r="I160" s="252"/>
      <c r="N160" s="78"/>
    </row>
    <row r="161" spans="1:14" s="76" customFormat="1" x14ac:dyDescent="0.2">
      <c r="A161" s="320" t="s">
        <v>380</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383</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385</v>
      </c>
      <c r="B165" s="293"/>
      <c r="C165" s="293"/>
      <c r="D165" s="293"/>
      <c r="E165" s="293"/>
      <c r="F165" s="293"/>
      <c r="G165" s="293"/>
      <c r="H165" s="293"/>
      <c r="I165" s="293"/>
      <c r="N165" s="78"/>
    </row>
    <row r="166" spans="1:14" s="76" customFormat="1" ht="15.75" customHeight="1" x14ac:dyDescent="0.2">
      <c r="A166" s="351" t="s">
        <v>384</v>
      </c>
      <c r="B166" s="293"/>
      <c r="C166" s="293"/>
      <c r="D166" s="293"/>
      <c r="E166" s="293"/>
      <c r="F166" s="293"/>
      <c r="G166" s="293"/>
      <c r="H166" s="293"/>
      <c r="I166" s="293"/>
      <c r="N166" s="78"/>
    </row>
    <row r="167" spans="1:14" s="76" customFormat="1" ht="15.75" customHeight="1" x14ac:dyDescent="0.2">
      <c r="A167" s="320" t="s">
        <v>386</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388</v>
      </c>
      <c r="B169" s="343"/>
      <c r="C169" s="343"/>
      <c r="D169" s="343"/>
      <c r="E169" s="343"/>
      <c r="F169" s="343"/>
      <c r="G169" s="343"/>
      <c r="H169" s="343"/>
      <c r="I169" s="343"/>
      <c r="N169" s="78"/>
    </row>
    <row r="170" spans="1:14" s="76" customFormat="1" ht="15.75" customHeight="1" x14ac:dyDescent="0.2">
      <c r="A170" s="351" t="s">
        <v>387</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389</v>
      </c>
      <c r="B175" s="293"/>
      <c r="C175" s="293"/>
      <c r="D175" s="293"/>
      <c r="E175" s="293"/>
      <c r="F175" s="293"/>
      <c r="G175" s="293"/>
      <c r="H175" s="293"/>
      <c r="I175" s="293"/>
      <c r="J175" s="3"/>
      <c r="K175" s="3"/>
      <c r="L175" s="3"/>
      <c r="M175" s="3"/>
      <c r="N175" s="78"/>
    </row>
    <row r="176" spans="1:14" s="76" customFormat="1" ht="15.75" customHeight="1" x14ac:dyDescent="0.2">
      <c r="A176" s="361" t="s">
        <v>390</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F26:G26"/>
    <mergeCell ref="N26:O26"/>
    <mergeCell ref="P26:Q26"/>
    <mergeCell ref="R26:S26"/>
    <mergeCell ref="A27:B27"/>
    <mergeCell ref="F27:G27"/>
    <mergeCell ref="N27:O27"/>
    <mergeCell ref="P27:Q27"/>
    <mergeCell ref="R27:S27"/>
    <mergeCell ref="A26:B26"/>
    <mergeCell ref="N24:O24"/>
    <mergeCell ref="P24:Q24"/>
    <mergeCell ref="R24:S24"/>
    <mergeCell ref="A25:B25"/>
    <mergeCell ref="F25:G25"/>
    <mergeCell ref="N25:O25"/>
    <mergeCell ref="P25:Q25"/>
    <mergeCell ref="R25:S25"/>
    <mergeCell ref="A24:B24"/>
    <mergeCell ref="F24:G24"/>
    <mergeCell ref="N22:O22"/>
    <mergeCell ref="P22:Q22"/>
    <mergeCell ref="R22:S22"/>
    <mergeCell ref="A23:B23"/>
    <mergeCell ref="F23:G23"/>
    <mergeCell ref="N23:O23"/>
    <mergeCell ref="P23:Q23"/>
    <mergeCell ref="R23:S23"/>
    <mergeCell ref="A22:B22"/>
    <mergeCell ref="F22:G22"/>
    <mergeCell ref="N20:O20"/>
    <mergeCell ref="P20:Q20"/>
    <mergeCell ref="R20:S20"/>
    <mergeCell ref="A21:B21"/>
    <mergeCell ref="F21:G21"/>
    <mergeCell ref="N21:O21"/>
    <mergeCell ref="P21:Q21"/>
    <mergeCell ref="R21:S21"/>
    <mergeCell ref="A20:B20"/>
    <mergeCell ref="F20:G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1">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6" t="s">
        <v>15</v>
      </c>
      <c r="C1" s="567"/>
      <c r="D1" s="567"/>
      <c r="E1" s="567"/>
      <c r="F1" s="567"/>
      <c r="G1" s="567"/>
      <c r="H1" s="567"/>
      <c r="I1" s="567"/>
      <c r="J1" s="135"/>
      <c r="K1" s="135"/>
      <c r="L1" s="135"/>
      <c r="N1" s="82">
        <f>A1</f>
        <v>0</v>
      </c>
      <c r="O1" s="658" t="s">
        <v>15</v>
      </c>
      <c r="P1" s="659"/>
      <c r="Q1" s="659"/>
      <c r="R1" s="659"/>
      <c r="S1" s="659"/>
      <c r="T1" s="659"/>
      <c r="U1" s="659"/>
    </row>
    <row r="2" spans="1:21" ht="21" x14ac:dyDescent="0.35">
      <c r="A2" s="1" t="s">
        <v>332</v>
      </c>
      <c r="B2" s="2"/>
      <c r="C2" s="2"/>
      <c r="D2" s="2"/>
      <c r="E2" s="2"/>
      <c r="F2" s="2"/>
      <c r="G2" s="2"/>
      <c r="H2" s="2"/>
      <c r="I2" s="2"/>
      <c r="N2" s="660" t="s">
        <v>18</v>
      </c>
      <c r="O2" s="660"/>
      <c r="P2" s="660"/>
      <c r="Q2" s="660"/>
      <c r="R2" s="660"/>
      <c r="S2" s="660"/>
      <c r="T2" s="660"/>
      <c r="U2" s="660"/>
    </row>
    <row r="3" spans="1:21" x14ac:dyDescent="0.25">
      <c r="A3" s="81" t="str">
        <f>'1461'!A3</f>
        <v>Based on the FLDOE 2024-25 Conference Calculation</v>
      </c>
      <c r="N3" s="627" t="str">
        <f>A3</f>
        <v>Based on the FLDOE 2024-25 Conference Calculation</v>
      </c>
      <c r="O3" s="627"/>
      <c r="P3" s="627"/>
      <c r="Q3" s="627"/>
      <c r="R3" s="627"/>
      <c r="S3" s="627"/>
      <c r="T3" s="627"/>
      <c r="U3" s="627"/>
    </row>
    <row r="4" spans="1:21" x14ac:dyDescent="0.25">
      <c r="A4" s="568" t="s">
        <v>0</v>
      </c>
      <c r="B4" s="568"/>
      <c r="C4" s="569" t="s">
        <v>9</v>
      </c>
      <c r="D4" s="569"/>
      <c r="E4" s="569"/>
      <c r="F4" s="4" t="str">
        <f>'1461'!F4</f>
        <v>July 2024</v>
      </c>
      <c r="G4" s="4"/>
      <c r="H4" s="4"/>
      <c r="I4" s="4"/>
      <c r="N4" s="661" t="s">
        <v>0</v>
      </c>
      <c r="O4" s="661"/>
      <c r="P4" s="662" t="str">
        <f>C4</f>
        <v>Palm Beach</v>
      </c>
      <c r="Q4" s="662"/>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70" t="s">
        <v>433</v>
      </c>
      <c r="B7" s="664"/>
      <c r="C7" s="664"/>
      <c r="D7" s="664"/>
      <c r="E7" s="664"/>
      <c r="F7" s="664"/>
      <c r="G7" s="664"/>
      <c r="H7" s="664"/>
      <c r="I7" s="664"/>
      <c r="N7" s="661" t="str">
        <f>A7</f>
        <v>1A.   2023-24 FEFP State and Local Funding</v>
      </c>
      <c r="O7" s="661"/>
      <c r="P7" s="661"/>
      <c r="Q7" s="661"/>
      <c r="R7" s="661"/>
      <c r="S7" s="661"/>
      <c r="T7" s="661"/>
      <c r="U7" s="661"/>
    </row>
    <row r="8" spans="1:21" x14ac:dyDescent="0.25">
      <c r="A8" s="84"/>
      <c r="B8" s="85" t="s">
        <v>92</v>
      </c>
      <c r="C8" s="299">
        <f>'1461'!C8</f>
        <v>5330.98</v>
      </c>
      <c r="D8" s="86"/>
      <c r="E8" s="87"/>
      <c r="F8" s="84"/>
      <c r="G8" s="85" t="s">
        <v>393</v>
      </c>
      <c r="H8" s="287">
        <f>'1461'!H8</f>
        <v>1.0407999999999999</v>
      </c>
      <c r="I8" s="75"/>
      <c r="N8" s="665" t="s">
        <v>10</v>
      </c>
      <c r="O8" s="665"/>
      <c r="P8" s="666">
        <f>C8</f>
        <v>5330.98</v>
      </c>
      <c r="Q8" s="666"/>
      <c r="R8" s="648" t="s">
        <v>394</v>
      </c>
      <c r="S8" s="649"/>
      <c r="T8" s="650">
        <f>H8</f>
        <v>1.0407999999999999</v>
      </c>
      <c r="U8" s="650"/>
    </row>
    <row r="9" spans="1:21" x14ac:dyDescent="0.25">
      <c r="A9" s="84"/>
      <c r="B9" s="85"/>
      <c r="C9" s="222"/>
      <c r="D9" s="86"/>
      <c r="E9" s="87"/>
      <c r="F9" s="84"/>
      <c r="G9" s="85" t="s">
        <v>391</v>
      </c>
      <c r="H9" s="287">
        <f>'1461'!H9</f>
        <v>1</v>
      </c>
      <c r="I9" s="75"/>
      <c r="N9" s="12"/>
      <c r="O9" s="12"/>
      <c r="P9" s="13"/>
      <c r="Q9" s="13"/>
      <c r="R9" s="387" t="s">
        <v>392</v>
      </c>
      <c r="S9" s="384"/>
      <c r="T9" s="650">
        <f>H9</f>
        <v>1</v>
      </c>
      <c r="U9" s="650"/>
    </row>
    <row r="10" spans="1:21" x14ac:dyDescent="0.25">
      <c r="A10" s="7"/>
      <c r="B10" s="42" t="s">
        <v>310</v>
      </c>
      <c r="C10" s="456" t="str">
        <f>'1461'!C10</f>
        <v xml:space="preserve"> </v>
      </c>
      <c r="D10" s="88" t="str">
        <f>'1461'!D10</f>
        <v xml:space="preserve"> </v>
      </c>
      <c r="E10" s="8"/>
      <c r="F10" s="9"/>
      <c r="G10" s="9"/>
      <c r="H10" s="10"/>
      <c r="I10" s="305" t="str">
        <f>'1461'!I10</f>
        <v>2024-25</v>
      </c>
      <c r="J10" s="254"/>
      <c r="K10" s="65"/>
      <c r="L10" s="65"/>
      <c r="N10" s="12"/>
      <c r="O10" s="12"/>
      <c r="P10" s="13"/>
      <c r="Q10" s="13"/>
      <c r="R10" s="14"/>
      <c r="S10" s="14"/>
      <c r="T10" s="15"/>
      <c r="U10" s="366" t="str">
        <f>I10</f>
        <v>2024-25</v>
      </c>
    </row>
    <row r="11" spans="1:21" x14ac:dyDescent="0.25">
      <c r="A11" s="7"/>
      <c r="B11" s="7"/>
      <c r="C11" s="88" t="str">
        <f>'1461'!C11</f>
        <v>Oct 2023</v>
      </c>
      <c r="D11" s="333" t="str">
        <f>'1461'!D11</f>
        <v>Feb 2024</v>
      </c>
      <c r="E11" s="89" t="s">
        <v>8</v>
      </c>
      <c r="F11" s="571" t="s">
        <v>1</v>
      </c>
      <c r="G11" s="571"/>
      <c r="H11" s="10" t="s">
        <v>60</v>
      </c>
      <c r="I11" s="11" t="s">
        <v>27</v>
      </c>
      <c r="J11" s="256"/>
      <c r="K11" s="255"/>
      <c r="L11" s="255"/>
      <c r="N11" s="12"/>
      <c r="O11" s="12"/>
      <c r="P11" s="13"/>
      <c r="Q11" s="13"/>
      <c r="R11" s="651" t="s">
        <v>1</v>
      </c>
      <c r="S11" s="651"/>
      <c r="T11" s="15" t="s">
        <v>60</v>
      </c>
      <c r="U11" s="16" t="s">
        <v>27</v>
      </c>
    </row>
    <row r="12" spans="1:21" ht="15.75" customHeight="1" x14ac:dyDescent="0.25">
      <c r="A12" s="572" t="s">
        <v>1</v>
      </c>
      <c r="B12" s="572"/>
      <c r="C12" s="324" t="str">
        <f>'1461'!C12</f>
        <v>FTE</v>
      </c>
      <c r="D12" s="324" t="str">
        <f>'1461'!D12</f>
        <v>FTE</v>
      </c>
      <c r="E12" s="324" t="s">
        <v>2</v>
      </c>
      <c r="F12" s="573" t="s">
        <v>63</v>
      </c>
      <c r="G12" s="573"/>
      <c r="H12" s="17" t="s">
        <v>59</v>
      </c>
      <c r="I12" s="388" t="s">
        <v>395</v>
      </c>
      <c r="J12" s="254"/>
      <c r="K12" s="255"/>
      <c r="L12" s="255"/>
      <c r="N12" s="639" t="s">
        <v>1</v>
      </c>
      <c r="O12" s="639"/>
      <c r="P12" s="652" t="s">
        <v>19</v>
      </c>
      <c r="Q12" s="652"/>
      <c r="R12" s="653" t="s">
        <v>63</v>
      </c>
      <c r="S12" s="653"/>
      <c r="T12" s="18" t="s">
        <v>59</v>
      </c>
      <c r="U12" s="19" t="str">
        <f>I12</f>
        <v>(WFTE x BSA x CWF x SDF)</v>
      </c>
    </row>
    <row r="13" spans="1:21" x14ac:dyDescent="0.25">
      <c r="A13" s="574" t="s">
        <v>36</v>
      </c>
      <c r="B13" s="574"/>
      <c r="C13" s="91"/>
      <c r="D13" s="91"/>
      <c r="E13" s="92" t="s">
        <v>37</v>
      </c>
      <c r="F13" s="575" t="s">
        <v>38</v>
      </c>
      <c r="G13" s="575"/>
      <c r="H13" s="20" t="s">
        <v>39</v>
      </c>
      <c r="I13" s="21" t="s">
        <v>40</v>
      </c>
      <c r="K13" s="255"/>
      <c r="L13" s="255"/>
      <c r="N13" s="654" t="s">
        <v>36</v>
      </c>
      <c r="O13" s="654"/>
      <c r="P13" s="655" t="s">
        <v>37</v>
      </c>
      <c r="Q13" s="655"/>
      <c r="R13" s="656" t="s">
        <v>38</v>
      </c>
      <c r="S13" s="656"/>
      <c r="T13" s="22" t="s">
        <v>39</v>
      </c>
      <c r="U13" s="23" t="s">
        <v>40</v>
      </c>
    </row>
    <row r="14" spans="1:21" x14ac:dyDescent="0.25">
      <c r="A14" s="576" t="s">
        <v>20</v>
      </c>
      <c r="B14" s="576"/>
      <c r="C14" s="143">
        <v>189.79</v>
      </c>
      <c r="D14" s="141">
        <v>190.75</v>
      </c>
      <c r="E14" s="187">
        <f>IF(D$30=0,C14*2,C14+D14)</f>
        <v>380.53999999999996</v>
      </c>
      <c r="F14" s="667">
        <f>'1461'!F14:G14</f>
        <v>1.1180000000000001</v>
      </c>
      <c r="G14" s="667"/>
      <c r="H14" s="145">
        <f>ROUND(E14*F14,4)</f>
        <v>425.44369999999998</v>
      </c>
      <c r="I14" s="111">
        <f>ROUND(ROUND(ROUND(H14*$C$8,4)*($H$8),2)*(MAX($H$9,1)),2)</f>
        <v>2360567.56</v>
      </c>
      <c r="N14" s="641" t="s">
        <v>20</v>
      </c>
      <c r="O14" s="641"/>
      <c r="P14" s="642">
        <f t="shared" ref="P14:P29" si="0">IF($H$133=1,E14,0)</f>
        <v>0</v>
      </c>
      <c r="Q14" s="642"/>
      <c r="R14" s="657">
        <v>1</v>
      </c>
      <c r="S14" s="657"/>
      <c r="T14" s="95">
        <f>ROUND(P14*R14,4)</f>
        <v>0</v>
      </c>
      <c r="U14" s="473">
        <f>ROUND(ROUND(ROUND(T14*$C$8,4)*($H$8),2)*(MAX($H$9,1)),2)</f>
        <v>0</v>
      </c>
    </row>
    <row r="15" spans="1:21" x14ac:dyDescent="0.25">
      <c r="A15" s="578" t="s">
        <v>21</v>
      </c>
      <c r="B15" s="578"/>
      <c r="C15" s="143">
        <v>12</v>
      </c>
      <c r="D15" s="143">
        <v>12.94</v>
      </c>
      <c r="E15" s="116">
        <f t="shared" ref="E15:E29" si="1">IF(D$30=0,C15*2,C15+D15)</f>
        <v>24.939999999999998</v>
      </c>
      <c r="F15" s="663">
        <f>'1461'!F15:G15</f>
        <v>1.1180000000000001</v>
      </c>
      <c r="G15" s="663"/>
      <c r="H15" s="80">
        <f t="shared" ref="H15:H29" si="2">ROUND(E15*F15,4)</f>
        <v>27.882899999999999</v>
      </c>
      <c r="I15" s="101">
        <f t="shared" ref="I15:I29" si="3">ROUND(ROUND(ROUND(H15*$C$8,4)*($H$8),2)*(MAX($H$9,1)),2)</f>
        <v>154707.82</v>
      </c>
      <c r="J15" s="65" t="str">
        <f>IF(ROUND(E15,2)=ROUND(SUM(E57:E59),2)," ","CHECK PK-3 LINES BELOW")</f>
        <v xml:space="preserve"> </v>
      </c>
      <c r="N15" s="601" t="s">
        <v>21</v>
      </c>
      <c r="O15" s="601"/>
      <c r="P15" s="642">
        <f t="shared" si="0"/>
        <v>0</v>
      </c>
      <c r="Q15" s="642"/>
      <c r="R15" s="647">
        <v>1</v>
      </c>
      <c r="S15" s="647"/>
      <c r="T15" s="95">
        <f t="shared" ref="T15:T29" si="4">ROUND(P15*R15,4)</f>
        <v>0</v>
      </c>
      <c r="U15" s="473">
        <f t="shared" ref="U15:U29" si="5">ROUND(ROUND(ROUND(T15*$C$8,4)*($H$8),2)*(MAX($H$9,1)),2)</f>
        <v>0</v>
      </c>
    </row>
    <row r="16" spans="1:21" x14ac:dyDescent="0.25">
      <c r="A16" s="578" t="s">
        <v>22</v>
      </c>
      <c r="B16" s="578"/>
      <c r="C16" s="143">
        <v>225.8</v>
      </c>
      <c r="D16" s="143">
        <v>223.61</v>
      </c>
      <c r="E16" s="116">
        <f t="shared" si="1"/>
        <v>449.41</v>
      </c>
      <c r="F16" s="663">
        <f>'1461'!F16:G16</f>
        <v>1</v>
      </c>
      <c r="G16" s="663"/>
      <c r="H16" s="80">
        <f t="shared" si="2"/>
        <v>449.41</v>
      </c>
      <c r="I16" s="101">
        <f t="shared" si="3"/>
        <v>2493544.19</v>
      </c>
      <c r="N16" s="601" t="s">
        <v>22</v>
      </c>
      <c r="O16" s="601"/>
      <c r="P16" s="642">
        <f t="shared" si="0"/>
        <v>0</v>
      </c>
      <c r="Q16" s="642"/>
      <c r="R16" s="647">
        <v>1</v>
      </c>
      <c r="S16" s="647"/>
      <c r="T16" s="95">
        <f t="shared" si="4"/>
        <v>0</v>
      </c>
      <c r="U16" s="473">
        <f t="shared" si="5"/>
        <v>0</v>
      </c>
    </row>
    <row r="17" spans="1:21" x14ac:dyDescent="0.25">
      <c r="A17" s="578" t="s">
        <v>23</v>
      </c>
      <c r="B17" s="578"/>
      <c r="C17" s="143">
        <v>29.5</v>
      </c>
      <c r="D17" s="143">
        <v>28.02</v>
      </c>
      <c r="E17" s="116">
        <f t="shared" si="1"/>
        <v>57.519999999999996</v>
      </c>
      <c r="F17" s="663">
        <f>'1461'!F17:G17</f>
        <v>1</v>
      </c>
      <c r="G17" s="663"/>
      <c r="H17" s="80">
        <f t="shared" si="2"/>
        <v>57.52</v>
      </c>
      <c r="I17" s="101">
        <f t="shared" si="3"/>
        <v>319148.79999999999</v>
      </c>
      <c r="J17" s="65" t="str">
        <f>IF(ROUND(E17,2)=ROUND(SUM(E60:E62),2)," ","CHECK 4-8 LINES BELOW")</f>
        <v xml:space="preserve"> </v>
      </c>
      <c r="N17" s="601" t="s">
        <v>23</v>
      </c>
      <c r="O17" s="601"/>
      <c r="P17" s="642">
        <f t="shared" si="0"/>
        <v>0</v>
      </c>
      <c r="Q17" s="642"/>
      <c r="R17" s="647">
        <v>1</v>
      </c>
      <c r="S17" s="647"/>
      <c r="T17" s="95">
        <f t="shared" si="4"/>
        <v>0</v>
      </c>
      <c r="U17" s="473">
        <f t="shared" si="5"/>
        <v>0</v>
      </c>
    </row>
    <row r="18" spans="1:21" x14ac:dyDescent="0.25">
      <c r="A18" s="578" t="s">
        <v>24</v>
      </c>
      <c r="B18" s="578"/>
      <c r="C18" s="143">
        <v>0</v>
      </c>
      <c r="D18" s="143">
        <v>0</v>
      </c>
      <c r="E18" s="116">
        <f t="shared" si="1"/>
        <v>0</v>
      </c>
      <c r="F18" s="663">
        <f>'1461'!F18:G18</f>
        <v>0.97799999999999998</v>
      </c>
      <c r="G18" s="663"/>
      <c r="H18" s="80">
        <f t="shared" si="2"/>
        <v>0</v>
      </c>
      <c r="I18" s="101">
        <f t="shared" si="3"/>
        <v>0</v>
      </c>
      <c r="N18" s="601" t="s">
        <v>24</v>
      </c>
      <c r="O18" s="601"/>
      <c r="P18" s="642">
        <f t="shared" si="0"/>
        <v>0</v>
      </c>
      <c r="Q18" s="642"/>
      <c r="R18" s="647">
        <v>1</v>
      </c>
      <c r="S18" s="647"/>
      <c r="T18" s="95">
        <f t="shared" si="4"/>
        <v>0</v>
      </c>
      <c r="U18" s="473">
        <f t="shared" si="5"/>
        <v>0</v>
      </c>
    </row>
    <row r="19" spans="1:21" x14ac:dyDescent="0.25">
      <c r="A19" s="578" t="s">
        <v>25</v>
      </c>
      <c r="B19" s="578"/>
      <c r="C19" s="143">
        <v>0</v>
      </c>
      <c r="D19" s="143">
        <v>0</v>
      </c>
      <c r="E19" s="116">
        <f t="shared" si="1"/>
        <v>0</v>
      </c>
      <c r="F19" s="663">
        <f>'1461'!F19:G19</f>
        <v>0.97799999999999998</v>
      </c>
      <c r="G19" s="663"/>
      <c r="H19" s="80">
        <f t="shared" si="2"/>
        <v>0</v>
      </c>
      <c r="I19" s="101">
        <f t="shared" si="3"/>
        <v>0</v>
      </c>
      <c r="J19" s="65" t="str">
        <f>IF(ROUND(E19,2)=ROUND(SUM(E63:E65),2)," ","CHECK 4-8 LINES BELOW")</f>
        <v xml:space="preserve"> </v>
      </c>
      <c r="N19" s="601" t="s">
        <v>25</v>
      </c>
      <c r="O19" s="601"/>
      <c r="P19" s="642">
        <f t="shared" si="0"/>
        <v>0</v>
      </c>
      <c r="Q19" s="642"/>
      <c r="R19" s="647">
        <v>1</v>
      </c>
      <c r="S19" s="647"/>
      <c r="T19" s="95">
        <f t="shared" si="4"/>
        <v>0</v>
      </c>
      <c r="U19" s="472">
        <f t="shared" si="5"/>
        <v>0</v>
      </c>
    </row>
    <row r="20" spans="1:21" x14ac:dyDescent="0.25">
      <c r="A20" s="578" t="s">
        <v>79</v>
      </c>
      <c r="B20" s="578"/>
      <c r="C20" s="143">
        <v>0</v>
      </c>
      <c r="D20" s="143">
        <v>0</v>
      </c>
      <c r="E20" s="116">
        <f t="shared" si="1"/>
        <v>0</v>
      </c>
      <c r="F20" s="663">
        <f>'1461'!F20:G20</f>
        <v>3.6970000000000001</v>
      </c>
      <c r="G20" s="663"/>
      <c r="H20" s="80">
        <f t="shared" si="2"/>
        <v>0</v>
      </c>
      <c r="I20" s="101">
        <f t="shared" si="3"/>
        <v>0</v>
      </c>
      <c r="N20" s="601" t="s">
        <v>79</v>
      </c>
      <c r="O20" s="601"/>
      <c r="P20" s="642">
        <f t="shared" si="0"/>
        <v>0</v>
      </c>
      <c r="Q20" s="642"/>
      <c r="R20" s="647">
        <v>1</v>
      </c>
      <c r="S20" s="647"/>
      <c r="T20" s="95">
        <f t="shared" si="4"/>
        <v>0</v>
      </c>
      <c r="U20" s="473">
        <f t="shared" si="5"/>
        <v>0</v>
      </c>
    </row>
    <row r="21" spans="1:21" x14ac:dyDescent="0.25">
      <c r="A21" s="578" t="s">
        <v>80</v>
      </c>
      <c r="B21" s="578"/>
      <c r="C21" s="143">
        <v>0</v>
      </c>
      <c r="D21" s="143">
        <v>0</v>
      </c>
      <c r="E21" s="116">
        <f t="shared" si="1"/>
        <v>0</v>
      </c>
      <c r="F21" s="663">
        <f>'1461'!F21:G21</f>
        <v>3.6970000000000001</v>
      </c>
      <c r="G21" s="663"/>
      <c r="H21" s="80">
        <f t="shared" si="2"/>
        <v>0</v>
      </c>
      <c r="I21" s="101">
        <f t="shared" si="3"/>
        <v>0</v>
      </c>
      <c r="N21" s="601" t="s">
        <v>80</v>
      </c>
      <c r="O21" s="601"/>
      <c r="P21" s="642">
        <f t="shared" si="0"/>
        <v>0</v>
      </c>
      <c r="Q21" s="642"/>
      <c r="R21" s="647">
        <v>1</v>
      </c>
      <c r="S21" s="647"/>
      <c r="T21" s="95">
        <f t="shared" si="4"/>
        <v>0</v>
      </c>
      <c r="U21" s="473">
        <f t="shared" si="5"/>
        <v>0</v>
      </c>
    </row>
    <row r="22" spans="1:21" x14ac:dyDescent="0.25">
      <c r="A22" s="578" t="s">
        <v>81</v>
      </c>
      <c r="B22" s="578"/>
      <c r="C22" s="143">
        <v>0</v>
      </c>
      <c r="D22" s="143">
        <v>0</v>
      </c>
      <c r="E22" s="116">
        <f t="shared" si="1"/>
        <v>0</v>
      </c>
      <c r="F22" s="663">
        <f>'1461'!F22:G22</f>
        <v>3.6970000000000001</v>
      </c>
      <c r="G22" s="663"/>
      <c r="H22" s="80">
        <f t="shared" si="2"/>
        <v>0</v>
      </c>
      <c r="I22" s="101">
        <f t="shared" si="3"/>
        <v>0</v>
      </c>
      <c r="N22" s="601" t="s">
        <v>81</v>
      </c>
      <c r="O22" s="601"/>
      <c r="P22" s="642">
        <f t="shared" si="0"/>
        <v>0</v>
      </c>
      <c r="Q22" s="642"/>
      <c r="R22" s="647">
        <v>1</v>
      </c>
      <c r="S22" s="647"/>
      <c r="T22" s="95">
        <f t="shared" si="4"/>
        <v>0</v>
      </c>
      <c r="U22" s="473">
        <f t="shared" si="5"/>
        <v>0</v>
      </c>
    </row>
    <row r="23" spans="1:21" x14ac:dyDescent="0.25">
      <c r="A23" s="578" t="s">
        <v>82</v>
      </c>
      <c r="B23" s="578"/>
      <c r="C23" s="143">
        <v>0</v>
      </c>
      <c r="D23" s="143">
        <v>0</v>
      </c>
      <c r="E23" s="116">
        <f t="shared" si="1"/>
        <v>0</v>
      </c>
      <c r="F23" s="663">
        <f>'1461'!F23:G23</f>
        <v>5.992</v>
      </c>
      <c r="G23" s="663"/>
      <c r="H23" s="80">
        <f t="shared" si="2"/>
        <v>0</v>
      </c>
      <c r="I23" s="101">
        <f t="shared" si="3"/>
        <v>0</v>
      </c>
      <c r="N23" s="601" t="s">
        <v>82</v>
      </c>
      <c r="O23" s="601"/>
      <c r="P23" s="642">
        <f t="shared" si="0"/>
        <v>0</v>
      </c>
      <c r="Q23" s="642"/>
      <c r="R23" s="647">
        <v>1</v>
      </c>
      <c r="S23" s="647"/>
      <c r="T23" s="95">
        <f t="shared" si="4"/>
        <v>0</v>
      </c>
      <c r="U23" s="473">
        <f t="shared" si="5"/>
        <v>0</v>
      </c>
    </row>
    <row r="24" spans="1:21" x14ac:dyDescent="0.25">
      <c r="A24" s="578" t="s">
        <v>83</v>
      </c>
      <c r="B24" s="578"/>
      <c r="C24" s="143">
        <v>0</v>
      </c>
      <c r="D24" s="143">
        <v>0</v>
      </c>
      <c r="E24" s="116">
        <f t="shared" si="1"/>
        <v>0</v>
      </c>
      <c r="F24" s="663">
        <f>'1461'!F24:G24</f>
        <v>5.992</v>
      </c>
      <c r="G24" s="663"/>
      <c r="H24" s="80">
        <f t="shared" si="2"/>
        <v>0</v>
      </c>
      <c r="I24" s="101">
        <f t="shared" si="3"/>
        <v>0</v>
      </c>
      <c r="N24" s="601" t="s">
        <v>83</v>
      </c>
      <c r="O24" s="601"/>
      <c r="P24" s="642">
        <f t="shared" si="0"/>
        <v>0</v>
      </c>
      <c r="Q24" s="642"/>
      <c r="R24" s="647">
        <v>1</v>
      </c>
      <c r="S24" s="647"/>
      <c r="T24" s="95">
        <f t="shared" si="4"/>
        <v>0</v>
      </c>
      <c r="U24" s="473">
        <f t="shared" si="5"/>
        <v>0</v>
      </c>
    </row>
    <row r="25" spans="1:21" x14ac:dyDescent="0.25">
      <c r="A25" s="578" t="s">
        <v>84</v>
      </c>
      <c r="B25" s="578"/>
      <c r="C25" s="143">
        <v>0</v>
      </c>
      <c r="D25" s="143">
        <v>0</v>
      </c>
      <c r="E25" s="116">
        <f t="shared" si="1"/>
        <v>0</v>
      </c>
      <c r="F25" s="663">
        <f>'1461'!F25:G25</f>
        <v>5.992</v>
      </c>
      <c r="G25" s="663"/>
      <c r="H25" s="80">
        <f t="shared" si="2"/>
        <v>0</v>
      </c>
      <c r="I25" s="101">
        <f t="shared" si="3"/>
        <v>0</v>
      </c>
      <c r="N25" s="601" t="s">
        <v>84</v>
      </c>
      <c r="O25" s="601"/>
      <c r="P25" s="642">
        <f t="shared" si="0"/>
        <v>0</v>
      </c>
      <c r="Q25" s="642"/>
      <c r="R25" s="647">
        <v>1</v>
      </c>
      <c r="S25" s="647"/>
      <c r="T25" s="95">
        <f t="shared" si="4"/>
        <v>0</v>
      </c>
      <c r="U25" s="473">
        <f t="shared" si="5"/>
        <v>0</v>
      </c>
    </row>
    <row r="26" spans="1:21" x14ac:dyDescent="0.25">
      <c r="A26" s="578" t="s">
        <v>85</v>
      </c>
      <c r="B26" s="578"/>
      <c r="C26" s="143">
        <v>12.71</v>
      </c>
      <c r="D26" s="143">
        <v>13.59</v>
      </c>
      <c r="E26" s="116">
        <f t="shared" si="1"/>
        <v>26.3</v>
      </c>
      <c r="F26" s="663">
        <f>'1461'!F26:G26</f>
        <v>1.1919999999999999</v>
      </c>
      <c r="G26" s="663"/>
      <c r="H26" s="80">
        <f t="shared" si="2"/>
        <v>31.349599999999999</v>
      </c>
      <c r="I26" s="101">
        <f t="shared" si="3"/>
        <v>173942.75</v>
      </c>
      <c r="N26" s="601" t="s">
        <v>85</v>
      </c>
      <c r="O26" s="601"/>
      <c r="P26" s="642">
        <f t="shared" si="0"/>
        <v>0</v>
      </c>
      <c r="Q26" s="642"/>
      <c r="R26" s="647">
        <v>1</v>
      </c>
      <c r="S26" s="647"/>
      <c r="T26" s="95">
        <f t="shared" si="4"/>
        <v>0</v>
      </c>
      <c r="U26" s="473">
        <f t="shared" si="5"/>
        <v>0</v>
      </c>
    </row>
    <row r="27" spans="1:21" x14ac:dyDescent="0.25">
      <c r="A27" s="578" t="s">
        <v>86</v>
      </c>
      <c r="B27" s="578"/>
      <c r="C27" s="143">
        <v>9.01</v>
      </c>
      <c r="D27" s="143">
        <v>7.65</v>
      </c>
      <c r="E27" s="116">
        <f t="shared" si="1"/>
        <v>16.66</v>
      </c>
      <c r="F27" s="663">
        <f>'1461'!F27:G27</f>
        <v>1.1919999999999999</v>
      </c>
      <c r="G27" s="663"/>
      <c r="H27" s="80">
        <f t="shared" si="2"/>
        <v>19.858699999999999</v>
      </c>
      <c r="I27" s="101">
        <f t="shared" si="3"/>
        <v>110185.68</v>
      </c>
      <c r="N27" s="601" t="s">
        <v>86</v>
      </c>
      <c r="O27" s="601"/>
      <c r="P27" s="642">
        <f t="shared" si="0"/>
        <v>0</v>
      </c>
      <c r="Q27" s="642"/>
      <c r="R27" s="647">
        <v>1</v>
      </c>
      <c r="S27" s="647"/>
      <c r="T27" s="95">
        <f t="shared" si="4"/>
        <v>0</v>
      </c>
      <c r="U27" s="473">
        <f t="shared" si="5"/>
        <v>0</v>
      </c>
    </row>
    <row r="28" spans="1:21" x14ac:dyDescent="0.25">
      <c r="A28" s="578" t="s">
        <v>87</v>
      </c>
      <c r="B28" s="578"/>
      <c r="C28" s="143">
        <v>0</v>
      </c>
      <c r="D28" s="143">
        <v>0</v>
      </c>
      <c r="E28" s="116">
        <f t="shared" si="1"/>
        <v>0</v>
      </c>
      <c r="F28" s="663">
        <f>'1461'!F28:G28</f>
        <v>1.1919999999999999</v>
      </c>
      <c r="G28" s="663"/>
      <c r="H28" s="80">
        <f t="shared" si="2"/>
        <v>0</v>
      </c>
      <c r="I28" s="101">
        <f t="shared" si="3"/>
        <v>0</v>
      </c>
      <c r="N28" s="601" t="s">
        <v>87</v>
      </c>
      <c r="O28" s="601"/>
      <c r="P28" s="642">
        <f t="shared" si="0"/>
        <v>0</v>
      </c>
      <c r="Q28" s="642"/>
      <c r="R28" s="647">
        <v>1</v>
      </c>
      <c r="S28" s="647"/>
      <c r="T28" s="95">
        <f t="shared" si="4"/>
        <v>0</v>
      </c>
      <c r="U28" s="473">
        <f t="shared" si="5"/>
        <v>0</v>
      </c>
    </row>
    <row r="29" spans="1:21" x14ac:dyDescent="0.25">
      <c r="A29" s="578" t="s">
        <v>88</v>
      </c>
      <c r="B29" s="578"/>
      <c r="C29" s="110">
        <v>0</v>
      </c>
      <c r="D29" s="110">
        <v>0</v>
      </c>
      <c r="E29" s="154">
        <f t="shared" si="1"/>
        <v>0</v>
      </c>
      <c r="F29" s="663">
        <f>'1461'!F29:G29</f>
        <v>1.079</v>
      </c>
      <c r="G29" s="663"/>
      <c r="H29" s="93">
        <f t="shared" si="2"/>
        <v>0</v>
      </c>
      <c r="I29" s="94">
        <f t="shared" si="3"/>
        <v>0</v>
      </c>
      <c r="N29" s="616" t="s">
        <v>88</v>
      </c>
      <c r="O29" s="616"/>
      <c r="P29" s="642">
        <f t="shared" si="0"/>
        <v>0</v>
      </c>
      <c r="Q29" s="642"/>
      <c r="R29" s="643">
        <v>1</v>
      </c>
      <c r="S29" s="643"/>
      <c r="T29" s="95">
        <f t="shared" si="4"/>
        <v>0</v>
      </c>
      <c r="U29" s="473">
        <f t="shared" si="5"/>
        <v>0</v>
      </c>
    </row>
    <row r="30" spans="1:21" x14ac:dyDescent="0.25">
      <c r="A30" s="590" t="s">
        <v>5</v>
      </c>
      <c r="B30" s="590"/>
      <c r="C30" s="94">
        <f>SUM(C14:C29)</f>
        <v>478.81</v>
      </c>
      <c r="D30" s="94">
        <f>SUM(D14:D29)</f>
        <v>476.55999999999995</v>
      </c>
      <c r="E30" s="94">
        <f>SUM(E14:E29)</f>
        <v>955.36999999999989</v>
      </c>
      <c r="F30" s="582"/>
      <c r="G30" s="582"/>
      <c r="H30" s="99">
        <f>SUM(H14:H29)</f>
        <v>1011.4648999999999</v>
      </c>
      <c r="I30" s="94">
        <f>SUM(I14:I29)</f>
        <v>5612096.7999999998</v>
      </c>
      <c r="N30" s="644" t="s">
        <v>5</v>
      </c>
      <c r="O30" s="644"/>
      <c r="P30" s="645">
        <f>SUM(P14:P29)</f>
        <v>0</v>
      </c>
      <c r="Q30" s="645"/>
      <c r="R30" s="617"/>
      <c r="S30" s="617"/>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0" t="s">
        <v>233</v>
      </c>
      <c r="G34" s="670"/>
      <c r="H34" s="670"/>
      <c r="I34" s="101"/>
      <c r="N34" s="28"/>
      <c r="O34" s="28"/>
      <c r="P34" s="29"/>
      <c r="Q34" s="29"/>
      <c r="R34" s="30"/>
      <c r="S34" s="30"/>
      <c r="T34" s="102"/>
      <c r="U34" s="103"/>
    </row>
    <row r="35" spans="1:21" hidden="1" x14ac:dyDescent="0.25">
      <c r="A35" s="3"/>
      <c r="B35" s="69"/>
      <c r="C35" s="69"/>
      <c r="D35" s="69"/>
      <c r="E35" s="69"/>
      <c r="F35" s="670"/>
      <c r="G35" s="670"/>
      <c r="H35" s="670"/>
      <c r="I35" s="24" t="s">
        <v>61</v>
      </c>
      <c r="N35" s="627" t="s">
        <v>26</v>
      </c>
      <c r="O35" s="627"/>
      <c r="P35" s="627"/>
      <c r="Q35" s="627"/>
      <c r="R35" s="627"/>
      <c r="S35" s="627"/>
      <c r="T35" s="627"/>
      <c r="U35" s="25" t="str">
        <f>I35</f>
        <v>2015-16</v>
      </c>
    </row>
    <row r="36" spans="1:21" hidden="1" x14ac:dyDescent="0.25">
      <c r="A36" s="26"/>
      <c r="B36" s="26"/>
      <c r="C36" s="88" t="s">
        <v>93</v>
      </c>
      <c r="D36" s="88" t="s">
        <v>94</v>
      </c>
      <c r="E36" s="89" t="s">
        <v>8</v>
      </c>
      <c r="F36" s="670"/>
      <c r="G36" s="670"/>
      <c r="H36" s="670"/>
      <c r="I36" s="24" t="s">
        <v>27</v>
      </c>
      <c r="N36" s="28"/>
      <c r="O36" s="28"/>
      <c r="P36" s="29"/>
      <c r="Q36" s="29"/>
      <c r="R36" s="30"/>
      <c r="S36" s="30"/>
      <c r="T36" s="102"/>
      <c r="U36" s="25" t="s">
        <v>27</v>
      </c>
    </row>
    <row r="37" spans="1:21" ht="26.25" hidden="1" x14ac:dyDescent="0.25">
      <c r="A37" s="572" t="s">
        <v>50</v>
      </c>
      <c r="B37" s="572"/>
      <c r="C37" s="90" t="s">
        <v>2</v>
      </c>
      <c r="D37" s="90" t="s">
        <v>2</v>
      </c>
      <c r="E37" s="90" t="s">
        <v>2</v>
      </c>
      <c r="F37" s="671"/>
      <c r="G37" s="671"/>
      <c r="H37" s="671"/>
      <c r="I37" s="31" t="s">
        <v>395</v>
      </c>
      <c r="N37" s="639" t="s">
        <v>50</v>
      </c>
      <c r="O37" s="639"/>
      <c r="P37" s="640" t="s">
        <v>19</v>
      </c>
      <c r="Q37" s="640"/>
      <c r="R37" s="640"/>
      <c r="S37" s="640"/>
      <c r="T37" s="640"/>
      <c r="U37" s="19" t="str">
        <f>I37</f>
        <v>(WFTE x BSA x CWF x SDF)</v>
      </c>
    </row>
    <row r="38" spans="1:21" hidden="1" x14ac:dyDescent="0.25">
      <c r="A38" s="576" t="s">
        <v>45</v>
      </c>
      <c r="B38" s="576"/>
      <c r="C38" s="147">
        <v>0</v>
      </c>
      <c r="D38" s="147">
        <v>0</v>
      </c>
      <c r="E38" s="187">
        <f t="shared" ref="E38:E43" si="6">IF(D$44=0,C38*2,C38+D38)</f>
        <v>0</v>
      </c>
      <c r="F38" s="148"/>
      <c r="G38" s="148"/>
      <c r="H38" s="148"/>
      <c r="I38" s="111">
        <f>ROUND(ROUND(ROUND(E38*$C$8,4)*($H$8),2)*(MAX($H$9,1)),2)</f>
        <v>0</v>
      </c>
      <c r="N38" s="641" t="s">
        <v>45</v>
      </c>
      <c r="O38" s="641"/>
      <c r="P38" s="608">
        <f t="shared" ref="P38:P43" si="7">IF($H$133=1,E38,0)</f>
        <v>0</v>
      </c>
      <c r="Q38" s="608"/>
      <c r="R38" s="608"/>
      <c r="S38" s="608"/>
      <c r="T38" s="608"/>
      <c r="U38" s="98">
        <f>ROUND(ROUND(ROUND(P38*$C$8,4)*($H$8),2)*(MAX($H$9,1)),2)</f>
        <v>0</v>
      </c>
    </row>
    <row r="39" spans="1:21" hidden="1" x14ac:dyDescent="0.25">
      <c r="A39" s="578" t="s">
        <v>46</v>
      </c>
      <c r="B39" s="578"/>
      <c r="C39" s="150">
        <v>0</v>
      </c>
      <c r="D39" s="150">
        <v>0</v>
      </c>
      <c r="E39" s="116">
        <f t="shared" si="6"/>
        <v>0</v>
      </c>
      <c r="F39" s="151"/>
      <c r="G39" s="151"/>
      <c r="H39" s="151"/>
      <c r="I39" s="101">
        <f t="shared" ref="I39:I43" si="8">ROUND(ROUND(ROUND(E39*$C$8,4)*($H$8),2)*(MAX($H$9,1)),2)</f>
        <v>0</v>
      </c>
      <c r="N39" s="601" t="s">
        <v>46</v>
      </c>
      <c r="O39" s="601"/>
      <c r="P39" s="608">
        <f t="shared" si="7"/>
        <v>0</v>
      </c>
      <c r="Q39" s="608"/>
      <c r="R39" s="608"/>
      <c r="S39" s="608"/>
      <c r="T39" s="608"/>
      <c r="U39" s="98">
        <f t="shared" ref="U39:U43" si="9">ROUND(ROUND(ROUND(P39*$C$8,4)*($H$8),2)*(MAX($H$9,1)),2)</f>
        <v>0</v>
      </c>
    </row>
    <row r="40" spans="1:21" hidden="1" x14ac:dyDescent="0.25">
      <c r="A40" s="583" t="s">
        <v>47</v>
      </c>
      <c r="B40" s="583"/>
      <c r="C40" s="150">
        <v>0</v>
      </c>
      <c r="D40" s="150">
        <v>0</v>
      </c>
      <c r="E40" s="116">
        <f t="shared" si="6"/>
        <v>0</v>
      </c>
      <c r="F40" s="151"/>
      <c r="G40" s="151"/>
      <c r="H40" s="151"/>
      <c r="I40" s="101">
        <f t="shared" si="8"/>
        <v>0</v>
      </c>
      <c r="N40" s="646" t="s">
        <v>47</v>
      </c>
      <c r="O40" s="646"/>
      <c r="P40" s="608">
        <f t="shared" si="7"/>
        <v>0</v>
      </c>
      <c r="Q40" s="608"/>
      <c r="R40" s="608"/>
      <c r="S40" s="608"/>
      <c r="T40" s="608"/>
      <c r="U40" s="98">
        <f t="shared" si="9"/>
        <v>0</v>
      </c>
    </row>
    <row r="41" spans="1:21" hidden="1" x14ac:dyDescent="0.25">
      <c r="A41" s="578" t="s">
        <v>48</v>
      </c>
      <c r="B41" s="578"/>
      <c r="C41" s="150">
        <v>0</v>
      </c>
      <c r="D41" s="150">
        <v>0</v>
      </c>
      <c r="E41" s="116">
        <f t="shared" si="6"/>
        <v>0</v>
      </c>
      <c r="F41" s="151"/>
      <c r="G41" s="151"/>
      <c r="H41" s="151"/>
      <c r="I41" s="101">
        <f t="shared" si="8"/>
        <v>0</v>
      </c>
      <c r="N41" s="601" t="s">
        <v>48</v>
      </c>
      <c r="O41" s="601"/>
      <c r="P41" s="608">
        <f t="shared" si="7"/>
        <v>0</v>
      </c>
      <c r="Q41" s="608"/>
      <c r="R41" s="608"/>
      <c r="S41" s="608"/>
      <c r="T41" s="608"/>
      <c r="U41" s="98">
        <f t="shared" si="9"/>
        <v>0</v>
      </c>
    </row>
    <row r="42" spans="1:21" hidden="1" x14ac:dyDescent="0.25">
      <c r="A42" s="578" t="s">
        <v>49</v>
      </c>
      <c r="B42" s="578"/>
      <c r="C42" s="150">
        <v>0</v>
      </c>
      <c r="D42" s="150">
        <v>0</v>
      </c>
      <c r="E42" s="116">
        <f t="shared" si="6"/>
        <v>0</v>
      </c>
      <c r="F42" s="151"/>
      <c r="G42" s="151"/>
      <c r="H42" s="151"/>
      <c r="I42" s="101">
        <f t="shared" si="8"/>
        <v>0</v>
      </c>
      <c r="N42" s="601" t="s">
        <v>49</v>
      </c>
      <c r="O42" s="601"/>
      <c r="P42" s="608">
        <f t="shared" si="7"/>
        <v>0</v>
      </c>
      <c r="Q42" s="608"/>
      <c r="R42" s="608"/>
      <c r="S42" s="608"/>
      <c r="T42" s="608"/>
      <c r="U42" s="98">
        <f t="shared" si="9"/>
        <v>0</v>
      </c>
    </row>
    <row r="43" spans="1:21" hidden="1" x14ac:dyDescent="0.25">
      <c r="A43" s="578" t="s">
        <v>41</v>
      </c>
      <c r="B43" s="578"/>
      <c r="C43" s="149">
        <v>0</v>
      </c>
      <c r="D43" s="149">
        <v>0</v>
      </c>
      <c r="E43" s="154">
        <f t="shared" si="6"/>
        <v>0</v>
      </c>
      <c r="F43" s="151"/>
      <c r="G43" s="151"/>
      <c r="H43" s="151"/>
      <c r="I43" s="94">
        <f t="shared" si="8"/>
        <v>0</v>
      </c>
      <c r="N43" s="616" t="s">
        <v>41</v>
      </c>
      <c r="O43" s="616"/>
      <c r="P43" s="608">
        <f t="shared" si="7"/>
        <v>0</v>
      </c>
      <c r="Q43" s="608"/>
      <c r="R43" s="608"/>
      <c r="S43" s="608"/>
      <c r="T43" s="60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3" t="s">
        <v>43</v>
      </c>
      <c r="O44" s="603"/>
      <c r="P44" s="603"/>
      <c r="Q44" s="603"/>
      <c r="R44" s="33">
        <f>SUM(P38:R43)</f>
        <v>0</v>
      </c>
      <c r="S44" s="617" t="s">
        <v>51</v>
      </c>
      <c r="T44" s="617"/>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1011.4648999999999</v>
      </c>
      <c r="F46" s="34"/>
      <c r="G46" s="106"/>
      <c r="H46" s="107" t="s">
        <v>98</v>
      </c>
      <c r="I46" s="94">
        <f>SUM(I44,I30)</f>
        <v>5612096.7999999998</v>
      </c>
      <c r="N46" s="603" t="s">
        <v>44</v>
      </c>
      <c r="O46" s="603"/>
      <c r="P46" s="603"/>
      <c r="Q46" s="603"/>
      <c r="R46" s="35">
        <f>R44+T30</f>
        <v>0</v>
      </c>
      <c r="S46" s="617" t="s">
        <v>42</v>
      </c>
      <c r="T46" s="617"/>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396</v>
      </c>
      <c r="B48" s="26"/>
      <c r="C48" s="26"/>
      <c r="D48" s="26"/>
      <c r="E48" s="26"/>
      <c r="F48" s="34"/>
      <c r="G48" s="27"/>
      <c r="H48" s="27"/>
      <c r="I48" s="101"/>
      <c r="N48" s="383" t="s">
        <v>396</v>
      </c>
      <c r="O48" s="28"/>
      <c r="P48" s="28"/>
      <c r="Q48" s="28"/>
      <c r="R48" s="35"/>
      <c r="S48" s="30"/>
      <c r="T48" s="30"/>
      <c r="U48" s="402"/>
    </row>
    <row r="49" spans="1:22" s="391" customFormat="1" ht="9" customHeight="1" x14ac:dyDescent="0.2">
      <c r="A49" s="481" t="s">
        <v>397</v>
      </c>
      <c r="F49" s="392"/>
      <c r="G49" s="393"/>
      <c r="H49" s="393"/>
      <c r="I49" s="394"/>
      <c r="N49" s="403" t="s">
        <v>397</v>
      </c>
      <c r="O49" s="395"/>
      <c r="P49" s="395"/>
      <c r="Q49" s="395"/>
      <c r="R49" s="396"/>
      <c r="S49" s="397"/>
      <c r="T49" s="397"/>
      <c r="U49" s="404"/>
    </row>
    <row r="50" spans="1:22" s="391" customFormat="1" ht="11.25" customHeight="1" x14ac:dyDescent="0.2">
      <c r="A50" s="483" t="s">
        <v>398</v>
      </c>
      <c r="F50" s="392"/>
      <c r="G50" s="393"/>
      <c r="H50" s="393"/>
      <c r="I50" s="394"/>
      <c r="N50" s="405" t="s">
        <v>398</v>
      </c>
      <c r="O50" s="395"/>
      <c r="P50" s="395"/>
      <c r="Q50" s="395"/>
      <c r="R50" s="396"/>
      <c r="S50" s="397"/>
      <c r="T50" s="397"/>
      <c r="U50" s="404"/>
    </row>
    <row r="51" spans="1:22" x14ac:dyDescent="0.25">
      <c r="A51" s="389"/>
      <c r="B51" s="399" t="s">
        <v>399</v>
      </c>
      <c r="C51" s="26"/>
      <c r="D51" s="26"/>
      <c r="E51" s="43" t="s">
        <v>400</v>
      </c>
      <c r="F51" s="400">
        <f>I46</f>
        <v>5612096.7999999998</v>
      </c>
      <c r="G51" s="109" t="s">
        <v>6</v>
      </c>
      <c r="H51" s="401">
        <v>4.5199999999999997E-2</v>
      </c>
      <c r="I51" s="101">
        <f>ROUND(F51*H51,2)</f>
        <v>253666.78</v>
      </c>
      <c r="N51" s="406"/>
      <c r="O51" s="407" t="s">
        <v>399</v>
      </c>
      <c r="P51" s="28"/>
      <c r="Q51" s="44" t="s">
        <v>400</v>
      </c>
      <c r="R51" s="408">
        <f>U30</f>
        <v>0</v>
      </c>
      <c r="S51" s="409" t="s">
        <v>6</v>
      </c>
      <c r="T51" s="410">
        <v>4.5199999999999997E-2</v>
      </c>
      <c r="U51" s="402">
        <f>ROUND(R51*T51,2)</f>
        <v>0</v>
      </c>
    </row>
    <row r="52" spans="1:22" x14ac:dyDescent="0.25">
      <c r="A52" s="26"/>
      <c r="B52" s="81" t="s">
        <v>401</v>
      </c>
      <c r="C52" s="26"/>
      <c r="D52" s="26"/>
      <c r="E52" s="43" t="s">
        <v>400</v>
      </c>
      <c r="F52" s="400">
        <f>I46</f>
        <v>5612096.7999999998</v>
      </c>
      <c r="G52" s="109" t="s">
        <v>6</v>
      </c>
      <c r="H52" s="401">
        <v>1.41E-2</v>
      </c>
      <c r="I52" s="101">
        <f>ROUND(F52*H52,2)</f>
        <v>79130.559999999998</v>
      </c>
      <c r="N52" s="28"/>
      <c r="O52" s="383" t="s">
        <v>401</v>
      </c>
      <c r="P52" s="28"/>
      <c r="Q52" s="44" t="s">
        <v>400</v>
      </c>
      <c r="R52" s="408">
        <f>U30</f>
        <v>0</v>
      </c>
      <c r="S52" s="409" t="s">
        <v>6</v>
      </c>
      <c r="T52" s="410">
        <v>1.41E-2</v>
      </c>
      <c r="U52" s="411">
        <f>ROUND(R52*T52,2)</f>
        <v>0</v>
      </c>
    </row>
    <row r="53" spans="1:22" x14ac:dyDescent="0.25">
      <c r="A53" s="26"/>
      <c r="B53" s="81" t="s">
        <v>402</v>
      </c>
      <c r="C53" s="26"/>
      <c r="D53" s="26"/>
      <c r="E53" s="43"/>
      <c r="F53" s="400"/>
      <c r="G53" s="109"/>
      <c r="H53" s="401"/>
      <c r="I53" s="97">
        <f>SUM(I51:I52)</f>
        <v>332797.33999999997</v>
      </c>
      <c r="N53" s="28"/>
      <c r="O53" s="383" t="s">
        <v>402</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440</v>
      </c>
      <c r="G55" s="109" t="s">
        <v>441</v>
      </c>
      <c r="H55" s="454" t="s">
        <v>442</v>
      </c>
      <c r="I55" s="101"/>
      <c r="N55" s="448"/>
      <c r="O55" s="448"/>
      <c r="P55" s="464"/>
      <c r="Q55" s="465"/>
      <c r="R55" s="466"/>
      <c r="S55" s="468" t="s">
        <v>441</v>
      </c>
      <c r="T55" s="469" t="s">
        <v>442</v>
      </c>
      <c r="U55" s="467"/>
      <c r="V55" s="424"/>
    </row>
    <row r="56" spans="1:22" x14ac:dyDescent="0.25">
      <c r="A56" s="36" t="s">
        <v>443</v>
      </c>
      <c r="B56" s="36"/>
      <c r="C56" s="324" t="str">
        <f>'1461'!C56</f>
        <v>FTE</v>
      </c>
      <c r="D56" s="324" t="str">
        <f>'1461'!D56</f>
        <v>FTE</v>
      </c>
      <c r="E56" s="90" t="s">
        <v>2</v>
      </c>
      <c r="F56" s="439" t="s">
        <v>444</v>
      </c>
      <c r="G56" s="441" t="s">
        <v>444</v>
      </c>
      <c r="H56" s="455" t="s">
        <v>445</v>
      </c>
      <c r="I56" s="36"/>
      <c r="N56" s="459" t="s">
        <v>443</v>
      </c>
      <c r="O56" s="459"/>
      <c r="P56" s="620" t="s">
        <v>2</v>
      </c>
      <c r="Q56" s="620"/>
      <c r="R56" s="459" t="s">
        <v>449</v>
      </c>
      <c r="S56" s="450" t="s">
        <v>444</v>
      </c>
      <c r="T56" s="470" t="s">
        <v>445</v>
      </c>
      <c r="U56" s="459"/>
      <c r="V56" s="458"/>
    </row>
    <row r="57" spans="1:22" x14ac:dyDescent="0.25">
      <c r="A57" s="588" t="s">
        <v>447</v>
      </c>
      <c r="B57" s="588"/>
      <c r="C57" s="143">
        <v>7.5</v>
      </c>
      <c r="D57" s="143">
        <v>6.93</v>
      </c>
      <c r="E57" s="116">
        <f t="shared" ref="E57:E65" si="10">IF(D$66=0,C57*2,C57+D57)</f>
        <v>14.43</v>
      </c>
      <c r="F57" s="443" t="s">
        <v>439</v>
      </c>
      <c r="G57" s="443">
        <v>251</v>
      </c>
      <c r="H57" s="457">
        <f>'1461'!H57</f>
        <v>1047</v>
      </c>
      <c r="I57" s="101">
        <f>ROUND(E57*H57,2)</f>
        <v>15108.21</v>
      </c>
      <c r="N57" s="618" t="s">
        <v>447</v>
      </c>
      <c r="O57" s="618"/>
      <c r="P57" s="621"/>
      <c r="Q57" s="621"/>
      <c r="R57" s="449" t="s">
        <v>439</v>
      </c>
      <c r="S57" s="449">
        <v>251</v>
      </c>
      <c r="T57" s="460">
        <f>H57</f>
        <v>1047</v>
      </c>
      <c r="U57" s="474">
        <f>ROUND(P57*T57,2)</f>
        <v>0</v>
      </c>
      <c r="V57" s="424"/>
    </row>
    <row r="58" spans="1:22" x14ac:dyDescent="0.25">
      <c r="A58" s="589"/>
      <c r="B58" s="589"/>
      <c r="C58" s="143">
        <v>4.5</v>
      </c>
      <c r="D58" s="143">
        <v>6.01</v>
      </c>
      <c r="E58" s="116">
        <f t="shared" si="10"/>
        <v>10.51</v>
      </c>
      <c r="F58" s="443" t="s">
        <v>439</v>
      </c>
      <c r="G58" s="443">
        <v>252</v>
      </c>
      <c r="H58" s="457">
        <f>'1461'!H58</f>
        <v>3380</v>
      </c>
      <c r="I58" s="101">
        <f t="shared" ref="I58:I65" si="11">ROUND(E58*H58,2)</f>
        <v>35523.800000000003</v>
      </c>
      <c r="N58" s="619"/>
      <c r="O58" s="619"/>
      <c r="P58" s="622"/>
      <c r="Q58" s="622"/>
      <c r="R58" s="449" t="s">
        <v>439</v>
      </c>
      <c r="S58" s="449">
        <v>252</v>
      </c>
      <c r="T58" s="460">
        <f t="shared" ref="T58:T65" si="12">H58</f>
        <v>3380</v>
      </c>
      <c r="U58" s="474">
        <f t="shared" ref="U58:U65" si="13">ROUND(P58*T58,2)</f>
        <v>0</v>
      </c>
      <c r="V58" s="424"/>
    </row>
    <row r="59" spans="1:22" x14ac:dyDescent="0.25">
      <c r="A59" s="589"/>
      <c r="B59" s="589"/>
      <c r="C59" s="143">
        <v>0</v>
      </c>
      <c r="D59" s="143">
        <v>0</v>
      </c>
      <c r="E59" s="116">
        <f t="shared" si="10"/>
        <v>0</v>
      </c>
      <c r="F59" s="443" t="s">
        <v>439</v>
      </c>
      <c r="G59" s="443">
        <v>253</v>
      </c>
      <c r="H59" s="457">
        <f>'1461'!H59</f>
        <v>6896</v>
      </c>
      <c r="I59" s="101">
        <f t="shared" si="11"/>
        <v>0</v>
      </c>
      <c r="N59" s="619"/>
      <c r="O59" s="619"/>
      <c r="P59" s="622"/>
      <c r="Q59" s="622"/>
      <c r="R59" s="449" t="s">
        <v>439</v>
      </c>
      <c r="S59" s="449">
        <v>253</v>
      </c>
      <c r="T59" s="460">
        <f t="shared" si="12"/>
        <v>6896</v>
      </c>
      <c r="U59" s="474">
        <f t="shared" si="13"/>
        <v>0</v>
      </c>
      <c r="V59" s="424"/>
    </row>
    <row r="60" spans="1:22" x14ac:dyDescent="0.25">
      <c r="A60" s="589"/>
      <c r="B60" s="589"/>
      <c r="C60" s="143">
        <v>22</v>
      </c>
      <c r="D60" s="143">
        <v>20.51</v>
      </c>
      <c r="E60" s="116">
        <f t="shared" si="10"/>
        <v>42.510000000000005</v>
      </c>
      <c r="F60" s="444" t="s">
        <v>13</v>
      </c>
      <c r="G60" s="443">
        <v>251</v>
      </c>
      <c r="H60" s="457">
        <f>'1461'!H60</f>
        <v>1173</v>
      </c>
      <c r="I60" s="101">
        <f t="shared" si="11"/>
        <v>49864.23</v>
      </c>
      <c r="N60" s="619"/>
      <c r="O60" s="619"/>
      <c r="P60" s="622"/>
      <c r="Q60" s="622"/>
      <c r="R60" s="40" t="s">
        <v>13</v>
      </c>
      <c r="S60" s="449">
        <v>251</v>
      </c>
      <c r="T60" s="460">
        <f t="shared" si="12"/>
        <v>1173</v>
      </c>
      <c r="U60" s="474">
        <f t="shared" si="13"/>
        <v>0</v>
      </c>
      <c r="V60" s="424"/>
    </row>
    <row r="61" spans="1:22" x14ac:dyDescent="0.25">
      <c r="A61" s="589"/>
      <c r="B61" s="589"/>
      <c r="C61" s="143">
        <v>7.5</v>
      </c>
      <c r="D61" s="143">
        <v>7.51</v>
      </c>
      <c r="E61" s="116">
        <f t="shared" si="10"/>
        <v>15.01</v>
      </c>
      <c r="F61" s="444" t="s">
        <v>13</v>
      </c>
      <c r="G61" s="443">
        <v>252</v>
      </c>
      <c r="H61" s="457">
        <f>'1461'!H61</f>
        <v>3506</v>
      </c>
      <c r="I61" s="101">
        <f t="shared" si="11"/>
        <v>52625.06</v>
      </c>
      <c r="N61" s="619"/>
      <c r="O61" s="619"/>
      <c r="P61" s="622"/>
      <c r="Q61" s="622"/>
      <c r="R61" s="40" t="s">
        <v>13</v>
      </c>
      <c r="S61" s="449">
        <v>252</v>
      </c>
      <c r="T61" s="460">
        <f t="shared" si="12"/>
        <v>3506</v>
      </c>
      <c r="U61" s="474">
        <f t="shared" si="13"/>
        <v>0</v>
      </c>
      <c r="V61" s="424"/>
    </row>
    <row r="62" spans="1:22" x14ac:dyDescent="0.25">
      <c r="A62" s="589"/>
      <c r="B62" s="589"/>
      <c r="C62" s="143">
        <v>0</v>
      </c>
      <c r="D62" s="143">
        <v>0</v>
      </c>
      <c r="E62" s="116">
        <f t="shared" si="10"/>
        <v>0</v>
      </c>
      <c r="F62" s="444" t="s">
        <v>13</v>
      </c>
      <c r="G62" s="443">
        <v>253</v>
      </c>
      <c r="H62" s="457">
        <f>'1461'!H62</f>
        <v>7023</v>
      </c>
      <c r="I62" s="101">
        <f t="shared" si="11"/>
        <v>0</v>
      </c>
      <c r="N62" s="619"/>
      <c r="O62" s="619"/>
      <c r="P62" s="622"/>
      <c r="Q62" s="622"/>
      <c r="R62" s="40" t="s">
        <v>13</v>
      </c>
      <c r="S62" s="449">
        <v>253</v>
      </c>
      <c r="T62" s="460">
        <f t="shared" si="12"/>
        <v>7023</v>
      </c>
      <c r="U62" s="474">
        <f t="shared" si="13"/>
        <v>0</v>
      </c>
      <c r="V62" s="424"/>
    </row>
    <row r="63" spans="1:22" x14ac:dyDescent="0.25">
      <c r="A63" s="589"/>
      <c r="B63" s="589"/>
      <c r="C63" s="143">
        <v>0</v>
      </c>
      <c r="D63" s="143">
        <v>0</v>
      </c>
      <c r="E63" s="116">
        <f t="shared" si="10"/>
        <v>0</v>
      </c>
      <c r="F63" s="444" t="s">
        <v>14</v>
      </c>
      <c r="G63" s="443">
        <v>251</v>
      </c>
      <c r="H63" s="457">
        <f>'1461'!H63</f>
        <v>835</v>
      </c>
      <c r="I63" s="101">
        <f t="shared" si="11"/>
        <v>0</v>
      </c>
      <c r="N63" s="619"/>
      <c r="O63" s="619"/>
      <c r="P63" s="622"/>
      <c r="Q63" s="622"/>
      <c r="R63" s="40" t="s">
        <v>14</v>
      </c>
      <c r="S63" s="449">
        <v>251</v>
      </c>
      <c r="T63" s="460">
        <f t="shared" si="12"/>
        <v>835</v>
      </c>
      <c r="U63" s="474">
        <f t="shared" si="13"/>
        <v>0</v>
      </c>
      <c r="V63" s="424"/>
    </row>
    <row r="64" spans="1:22" x14ac:dyDescent="0.25">
      <c r="A64" s="589"/>
      <c r="B64" s="589"/>
      <c r="C64" s="143">
        <v>0</v>
      </c>
      <c r="D64" s="143">
        <v>0</v>
      </c>
      <c r="E64" s="116">
        <f t="shared" si="10"/>
        <v>0</v>
      </c>
      <c r="F64" s="444" t="s">
        <v>14</v>
      </c>
      <c r="G64" s="443">
        <v>252</v>
      </c>
      <c r="H64" s="457">
        <f>'1461'!H64</f>
        <v>3168</v>
      </c>
      <c r="I64" s="101">
        <f t="shared" si="11"/>
        <v>0</v>
      </c>
      <c r="N64" s="619"/>
      <c r="O64" s="619"/>
      <c r="P64" s="622"/>
      <c r="Q64" s="622"/>
      <c r="R64" s="40" t="s">
        <v>14</v>
      </c>
      <c r="S64" s="449">
        <v>252</v>
      </c>
      <c r="T64" s="460">
        <f t="shared" si="12"/>
        <v>3168</v>
      </c>
      <c r="U64" s="474">
        <f t="shared" si="13"/>
        <v>0</v>
      </c>
      <c r="V64" s="424"/>
    </row>
    <row r="65" spans="1:22" ht="16.5" thickBot="1" x14ac:dyDescent="0.3">
      <c r="A65" s="589"/>
      <c r="B65" s="589"/>
      <c r="C65" s="143">
        <v>0</v>
      </c>
      <c r="D65" s="143">
        <v>0</v>
      </c>
      <c r="E65" s="116">
        <f t="shared" si="10"/>
        <v>0</v>
      </c>
      <c r="F65" s="444" t="s">
        <v>14</v>
      </c>
      <c r="G65" s="443">
        <v>253</v>
      </c>
      <c r="H65" s="457">
        <f>'1461'!H65</f>
        <v>6685</v>
      </c>
      <c r="I65" s="101">
        <f t="shared" si="11"/>
        <v>0</v>
      </c>
      <c r="N65" s="619"/>
      <c r="O65" s="619"/>
      <c r="P65" s="623"/>
      <c r="Q65" s="623"/>
      <c r="R65" s="40" t="s">
        <v>14</v>
      </c>
      <c r="S65" s="449">
        <v>253</v>
      </c>
      <c r="T65" s="460">
        <f t="shared" si="12"/>
        <v>6685</v>
      </c>
      <c r="U65" s="475">
        <f t="shared" si="13"/>
        <v>0</v>
      </c>
      <c r="V65" s="424"/>
    </row>
    <row r="66" spans="1:22" ht="16.5" thickBot="1" x14ac:dyDescent="0.3">
      <c r="A66" s="440"/>
      <c r="C66" s="97">
        <f>SUM(C57:C65)</f>
        <v>41.5</v>
      </c>
      <c r="D66" s="97">
        <f>SUM(D57:D65)</f>
        <v>40.96</v>
      </c>
      <c r="E66" s="97">
        <f>SUM(E57:E65)</f>
        <v>82.460000000000008</v>
      </c>
      <c r="F66" s="590" t="s">
        <v>448</v>
      </c>
      <c r="G66" s="590"/>
      <c r="H66" s="590"/>
      <c r="I66" s="97">
        <f>SUM(I57:I65)</f>
        <v>153121.29999999999</v>
      </c>
      <c r="N66" s="446"/>
      <c r="O66" s="51"/>
      <c r="P66" s="602">
        <f>SUM(P57:P65)</f>
        <v>0</v>
      </c>
      <c r="Q66" s="602"/>
      <c r="R66" s="603" t="s">
        <v>448</v>
      </c>
      <c r="S66" s="603"/>
      <c r="T66" s="603"/>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450</v>
      </c>
      <c r="N68" s="453" t="s">
        <v>458</v>
      </c>
      <c r="O68" s="51"/>
      <c r="P68" s="51"/>
      <c r="Q68" s="51"/>
      <c r="R68" s="51"/>
      <c r="S68" s="51"/>
      <c r="T68" s="51"/>
      <c r="U68" s="51"/>
    </row>
    <row r="69" spans="1:22" x14ac:dyDescent="0.25">
      <c r="A69" s="584" t="s">
        <v>403</v>
      </c>
      <c r="B69" s="578"/>
      <c r="C69" s="112">
        <f>E30</f>
        <v>955.36999999999989</v>
      </c>
      <c r="D69" s="565" t="s">
        <v>414</v>
      </c>
      <c r="E69" s="565"/>
      <c r="F69" s="565"/>
      <c r="G69" s="565"/>
      <c r="H69" s="300">
        <f>'1461'!H69</f>
        <v>210228.91</v>
      </c>
      <c r="I69" s="113"/>
      <c r="N69" s="600" t="s">
        <v>407</v>
      </c>
      <c r="O69" s="601"/>
      <c r="P69" s="41">
        <f>P30</f>
        <v>0</v>
      </c>
      <c r="Q69" s="606" t="s">
        <v>409</v>
      </c>
      <c r="R69" s="607"/>
      <c r="S69" s="607"/>
      <c r="T69" s="604">
        <f>H69</f>
        <v>210228.91</v>
      </c>
      <c r="U69" s="604"/>
    </row>
    <row r="70" spans="1:22" x14ac:dyDescent="0.25">
      <c r="B70" s="69"/>
      <c r="G70" s="42" t="s">
        <v>12</v>
      </c>
      <c r="H70" s="114">
        <f>ROUND(C69/H69,6)</f>
        <v>4.5440000000000003E-3</v>
      </c>
      <c r="I70" s="115"/>
      <c r="N70" s="601"/>
      <c r="O70" s="601"/>
      <c r="P70" s="601"/>
      <c r="Q70" s="601"/>
      <c r="R70" s="601"/>
      <c r="S70" s="601"/>
      <c r="T70" s="605">
        <f>ROUND(P69/T69,6)</f>
        <v>0</v>
      </c>
      <c r="U70" s="605"/>
    </row>
    <row r="71" spans="1:22" x14ac:dyDescent="0.25">
      <c r="A71" s="442" t="s">
        <v>451</v>
      </c>
      <c r="N71" s="453" t="s">
        <v>459</v>
      </c>
      <c r="O71" s="51"/>
      <c r="P71" s="51"/>
      <c r="Q71" s="51"/>
      <c r="R71" s="51"/>
      <c r="S71" s="51"/>
      <c r="T71" s="51"/>
      <c r="U71" s="51"/>
    </row>
    <row r="72" spans="1:22" x14ac:dyDescent="0.25">
      <c r="A72" s="584" t="s">
        <v>404</v>
      </c>
      <c r="B72" s="578"/>
      <c r="C72" s="112">
        <f>H30</f>
        <v>1011.4648999999999</v>
      </c>
      <c r="D72" s="565" t="s">
        <v>415</v>
      </c>
      <c r="E72" s="565"/>
      <c r="F72" s="565"/>
      <c r="G72" s="565"/>
      <c r="H72" s="301">
        <f>'1461'!H72</f>
        <v>234891.44</v>
      </c>
      <c r="I72" s="116"/>
      <c r="N72" s="600" t="s">
        <v>408</v>
      </c>
      <c r="O72" s="601"/>
      <c r="P72" s="41">
        <f>T30</f>
        <v>0</v>
      </c>
      <c r="Q72" s="606" t="s">
        <v>410</v>
      </c>
      <c r="R72" s="607"/>
      <c r="S72" s="607"/>
      <c r="T72" s="604">
        <f>H72</f>
        <v>234891.44</v>
      </c>
      <c r="U72" s="604"/>
    </row>
    <row r="73" spans="1:22" x14ac:dyDescent="0.25">
      <c r="G73" s="42" t="s">
        <v>12</v>
      </c>
      <c r="H73" s="114">
        <f>ROUND(C72/H72,6)</f>
        <v>4.3059999999999999E-3</v>
      </c>
      <c r="I73" s="114"/>
      <c r="N73" s="601"/>
      <c r="O73" s="601"/>
      <c r="P73" s="601"/>
      <c r="Q73" s="601"/>
      <c r="R73" s="601"/>
      <c r="S73" s="601"/>
      <c r="T73" s="605">
        <f>ROUND(P72/T72,6)</f>
        <v>0</v>
      </c>
      <c r="U73" s="605"/>
    </row>
    <row r="74" spans="1:22" x14ac:dyDescent="0.25">
      <c r="A74" s="417" t="s">
        <v>452</v>
      </c>
      <c r="B74" s="414"/>
      <c r="C74" s="414"/>
      <c r="D74" s="414"/>
      <c r="E74" s="414"/>
      <c r="F74" s="414"/>
      <c r="G74" s="414"/>
      <c r="H74" s="414"/>
      <c r="I74" s="414"/>
      <c r="N74" s="416" t="s">
        <v>460</v>
      </c>
      <c r="O74" s="415"/>
      <c r="P74" s="415"/>
      <c r="Q74" s="415"/>
      <c r="R74" s="415"/>
      <c r="S74" s="415"/>
      <c r="T74" s="415"/>
      <c r="U74" s="415"/>
      <c r="V74" s="414"/>
    </row>
    <row r="75" spans="1:22" x14ac:dyDescent="0.25">
      <c r="A75" s="584" t="s">
        <v>405</v>
      </c>
      <c r="B75" s="578"/>
      <c r="C75" s="112">
        <f>E30</f>
        <v>955.36999999999989</v>
      </c>
      <c r="D75" s="557" t="s">
        <v>416</v>
      </c>
      <c r="E75" s="557"/>
      <c r="F75" s="557"/>
      <c r="G75" s="557"/>
      <c r="H75" s="300">
        <f>'1461'!H75</f>
        <v>187665.41</v>
      </c>
      <c r="I75" s="113"/>
      <c r="N75" s="600" t="s">
        <v>406</v>
      </c>
      <c r="O75" s="601"/>
      <c r="P75" s="41">
        <f>P30</f>
        <v>0</v>
      </c>
      <c r="Q75" s="636" t="s">
        <v>411</v>
      </c>
      <c r="R75" s="637"/>
      <c r="S75" s="637"/>
      <c r="T75" s="604">
        <f>H75</f>
        <v>187665.41</v>
      </c>
      <c r="U75" s="604"/>
    </row>
    <row r="76" spans="1:22" x14ac:dyDescent="0.25">
      <c r="B76" s="69"/>
      <c r="G76" s="42" t="s">
        <v>12</v>
      </c>
      <c r="H76" s="114">
        <f>ROUND(C75/H75,6)</f>
        <v>5.091E-3</v>
      </c>
      <c r="I76" s="115"/>
      <c r="N76" s="601"/>
      <c r="O76" s="601"/>
      <c r="P76" s="601"/>
      <c r="Q76" s="601"/>
      <c r="R76" s="601"/>
      <c r="S76" s="601"/>
      <c r="T76" s="605">
        <f>ROUND(P75/T75,6)</f>
        <v>0</v>
      </c>
      <c r="U76" s="605"/>
    </row>
    <row r="77" spans="1:22" x14ac:dyDescent="0.25">
      <c r="A77" s="417" t="s">
        <v>453</v>
      </c>
      <c r="B77" s="414"/>
      <c r="C77" s="414"/>
      <c r="D77" s="414"/>
      <c r="E77" s="414"/>
      <c r="F77" s="414"/>
      <c r="G77" s="414"/>
      <c r="H77" s="414"/>
      <c r="I77" s="414"/>
      <c r="N77" s="416" t="s">
        <v>461</v>
      </c>
      <c r="O77" s="415"/>
      <c r="P77" s="415"/>
      <c r="Q77" s="415"/>
      <c r="R77" s="415"/>
      <c r="S77" s="415"/>
      <c r="T77" s="415"/>
      <c r="U77" s="415"/>
      <c r="V77" s="414"/>
    </row>
    <row r="78" spans="1:22" x14ac:dyDescent="0.25">
      <c r="A78" s="584" t="s">
        <v>405</v>
      </c>
      <c r="B78" s="578"/>
      <c r="C78" s="112">
        <f>E30</f>
        <v>955.36999999999989</v>
      </c>
      <c r="D78" s="585" t="s">
        <v>417</v>
      </c>
      <c r="E78" s="585"/>
      <c r="F78" s="585"/>
      <c r="G78" s="585"/>
      <c r="H78" s="300">
        <f>'1461'!H78</f>
        <v>209892.26</v>
      </c>
      <c r="I78" s="113"/>
      <c r="N78" s="600" t="s">
        <v>406</v>
      </c>
      <c r="O78" s="601"/>
      <c r="P78" s="41">
        <f>P30</f>
        <v>0</v>
      </c>
      <c r="Q78" s="634" t="s">
        <v>412</v>
      </c>
      <c r="R78" s="635"/>
      <c r="S78" s="635"/>
      <c r="T78" s="604">
        <f>H78</f>
        <v>209892.26</v>
      </c>
      <c r="U78" s="604"/>
    </row>
    <row r="79" spans="1:22" x14ac:dyDescent="0.25">
      <c r="B79" s="69"/>
      <c r="G79" s="42" t="s">
        <v>12</v>
      </c>
      <c r="H79" s="114">
        <f>ROUND(C78/H78,6)</f>
        <v>4.5519999999999996E-3</v>
      </c>
      <c r="I79" s="115"/>
      <c r="N79" s="601"/>
      <c r="O79" s="601"/>
      <c r="P79" s="601"/>
      <c r="Q79" s="601"/>
      <c r="R79" s="601"/>
      <c r="S79" s="601"/>
      <c r="T79" s="605">
        <f>ROUND(P78/T78,6)</f>
        <v>0</v>
      </c>
      <c r="U79" s="605"/>
    </row>
    <row r="80" spans="1:22" x14ac:dyDescent="0.25">
      <c r="A80" s="417" t="s">
        <v>454</v>
      </c>
      <c r="B80" s="414"/>
      <c r="C80" s="414"/>
      <c r="D80" s="414"/>
      <c r="E80" s="414"/>
      <c r="F80" s="414"/>
      <c r="G80" s="414"/>
      <c r="H80" s="414"/>
      <c r="I80" s="414"/>
      <c r="N80" s="416" t="s">
        <v>462</v>
      </c>
      <c r="O80" s="415"/>
      <c r="P80" s="415"/>
      <c r="Q80" s="415"/>
      <c r="R80" s="415"/>
      <c r="S80" s="415"/>
      <c r="T80" s="415"/>
      <c r="U80" s="415"/>
      <c r="V80" s="414"/>
    </row>
    <row r="81" spans="1:21" x14ac:dyDescent="0.25">
      <c r="A81" s="584" t="s">
        <v>413</v>
      </c>
      <c r="B81" s="578"/>
      <c r="C81" s="112">
        <f>E30</f>
        <v>955.36999999999989</v>
      </c>
      <c r="D81" s="557" t="s">
        <v>418</v>
      </c>
      <c r="E81" s="557"/>
      <c r="F81" s="557"/>
      <c r="G81" s="557"/>
      <c r="H81" s="300">
        <f>'1461'!H81</f>
        <v>187328.76</v>
      </c>
      <c r="I81" s="113"/>
      <c r="N81" s="600" t="s">
        <v>419</v>
      </c>
      <c r="O81" s="601"/>
      <c r="P81" s="41">
        <f>P30</f>
        <v>0</v>
      </c>
      <c r="Q81" s="636" t="s">
        <v>420</v>
      </c>
      <c r="R81" s="637"/>
      <c r="S81" s="637"/>
      <c r="T81" s="604">
        <f>H81</f>
        <v>187328.76</v>
      </c>
      <c r="U81" s="604"/>
    </row>
    <row r="82" spans="1:21" x14ac:dyDescent="0.25">
      <c r="B82" s="69"/>
      <c r="G82" s="42" t="s">
        <v>12</v>
      </c>
      <c r="H82" s="114">
        <f>ROUND(C81/H81,6)</f>
        <v>5.1000000000000004E-3</v>
      </c>
      <c r="I82" s="115"/>
      <c r="N82" s="601"/>
      <c r="O82" s="601"/>
      <c r="P82" s="601"/>
      <c r="Q82" s="601"/>
      <c r="R82" s="601"/>
      <c r="S82" s="601"/>
      <c r="T82" s="605">
        <f>ROUND(P81/T81,6)</f>
        <v>0</v>
      </c>
      <c r="U82" s="605"/>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455</v>
      </c>
      <c r="D85" s="69"/>
      <c r="E85" s="43" t="s">
        <v>299</v>
      </c>
      <c r="F85" s="302">
        <f>'1461'!F85</f>
        <v>46163704</v>
      </c>
      <c r="G85" s="37" t="s">
        <v>6</v>
      </c>
      <c r="H85" s="422">
        <f>H79</f>
        <v>4.5519999999999996E-3</v>
      </c>
      <c r="I85" s="101">
        <f>ROUND(F85*H85,2)</f>
        <v>210137.18</v>
      </c>
      <c r="N85" s="453" t="s">
        <v>455</v>
      </c>
      <c r="O85" s="51"/>
      <c r="P85" s="51"/>
      <c r="Q85" s="44"/>
      <c r="R85" s="419">
        <f>F85</f>
        <v>46163704</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87" t="s">
        <v>71</v>
      </c>
      <c r="B87" s="578"/>
      <c r="C87" s="578"/>
      <c r="D87" s="69"/>
      <c r="E87" s="43"/>
      <c r="F87" s="117"/>
      <c r="G87" s="37"/>
      <c r="H87" s="422"/>
      <c r="I87" s="101"/>
      <c r="N87" s="600" t="s">
        <v>463</v>
      </c>
      <c r="O87" s="601"/>
      <c r="P87" s="601"/>
      <c r="Q87" s="51"/>
      <c r="R87" s="420"/>
      <c r="S87" s="51"/>
      <c r="T87" s="38"/>
      <c r="U87" s="478"/>
    </row>
    <row r="88" spans="1:21" x14ac:dyDescent="0.25">
      <c r="A88" s="587" t="s">
        <v>99</v>
      </c>
      <c r="B88" s="578"/>
      <c r="C88" s="578"/>
      <c r="D88" s="69"/>
      <c r="E88" s="43" t="s">
        <v>3</v>
      </c>
      <c r="F88" s="302">
        <f>'1461'!F88</f>
        <v>0</v>
      </c>
      <c r="G88" s="37" t="s">
        <v>6</v>
      </c>
      <c r="H88" s="422">
        <f>H70</f>
        <v>4.5440000000000003E-3</v>
      </c>
      <c r="I88" s="101">
        <f>ROUND(F88*H88,2)</f>
        <v>0</v>
      </c>
      <c r="N88" s="638" t="s">
        <v>99</v>
      </c>
      <c r="O88" s="601"/>
      <c r="P88" s="601"/>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456</v>
      </c>
      <c r="D90" s="69"/>
      <c r="E90" s="43" t="s">
        <v>421</v>
      </c>
      <c r="F90" s="302">
        <f>'1461'!F90</f>
        <v>19042026</v>
      </c>
      <c r="G90" s="37" t="s">
        <v>6</v>
      </c>
      <c r="H90" s="422">
        <f>H82</f>
        <v>5.1000000000000004E-3</v>
      </c>
      <c r="I90" s="101">
        <f>ROUND(F90*H90,2)</f>
        <v>97114.33</v>
      </c>
      <c r="N90" s="453" t="s">
        <v>456</v>
      </c>
      <c r="O90" s="51"/>
      <c r="P90" s="51"/>
      <c r="Q90" s="44"/>
      <c r="R90" s="419">
        <f>F90</f>
        <v>19042026</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457</v>
      </c>
      <c r="D92" s="69"/>
      <c r="E92" s="43" t="s">
        <v>3</v>
      </c>
      <c r="F92" s="302">
        <f>'1461'!F92</f>
        <v>11441151</v>
      </c>
      <c r="G92" s="37" t="s">
        <v>6</v>
      </c>
      <c r="H92" s="422">
        <f>H76</f>
        <v>5.091E-3</v>
      </c>
      <c r="I92" s="101">
        <f t="shared" ref="I92:I96" si="14">ROUND(F92*H92,2)</f>
        <v>58246.9</v>
      </c>
      <c r="N92" s="453" t="s">
        <v>457</v>
      </c>
      <c r="O92" s="51"/>
      <c r="P92" s="51"/>
      <c r="Q92" s="44"/>
      <c r="R92" s="419">
        <f t="shared" ref="R92:R96" si="15">F92</f>
        <v>11441151</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84" t="s">
        <v>422</v>
      </c>
      <c r="B94" s="578"/>
      <c r="C94" s="578"/>
      <c r="D94" s="69"/>
      <c r="E94" s="43" t="s">
        <v>4</v>
      </c>
      <c r="F94" s="302">
        <f>'1461'!F94</f>
        <v>247265670</v>
      </c>
      <c r="G94" s="37" t="s">
        <v>6</v>
      </c>
      <c r="H94" s="422">
        <f>H73</f>
        <v>4.3059999999999999E-3</v>
      </c>
      <c r="I94" s="101">
        <f t="shared" si="14"/>
        <v>1064725.98</v>
      </c>
      <c r="N94" s="601" t="s">
        <v>422</v>
      </c>
      <c r="O94" s="601"/>
      <c r="P94" s="601"/>
      <c r="Q94" s="44"/>
      <c r="R94" s="419">
        <f t="shared" si="15"/>
        <v>247265670</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4" t="s">
        <v>423</v>
      </c>
      <c r="B96" s="578"/>
      <c r="C96" s="578"/>
      <c r="D96" s="69"/>
      <c r="E96" s="43" t="s">
        <v>4</v>
      </c>
      <c r="F96" s="302">
        <f>'1461'!F96</f>
        <v>0</v>
      </c>
      <c r="G96" s="37" t="s">
        <v>6</v>
      </c>
      <c r="H96" s="422">
        <f>H73</f>
        <v>4.3059999999999999E-3</v>
      </c>
      <c r="I96" s="101">
        <f t="shared" si="14"/>
        <v>0</v>
      </c>
      <c r="N96" s="600" t="s">
        <v>423</v>
      </c>
      <c r="O96" s="601"/>
      <c r="P96" s="601"/>
      <c r="Q96" s="44"/>
      <c r="R96" s="419">
        <f t="shared" si="15"/>
        <v>0</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530" t="s">
        <v>497</v>
      </c>
      <c r="B98" s="529"/>
      <c r="C98" s="529"/>
      <c r="D98" s="529"/>
      <c r="E98" s="527" t="s">
        <v>3</v>
      </c>
      <c r="F98" s="290">
        <v>0</v>
      </c>
      <c r="G98" s="528" t="s">
        <v>6</v>
      </c>
      <c r="H98" s="422">
        <f>H70</f>
        <v>4.5440000000000003E-3</v>
      </c>
      <c r="I98" s="101">
        <f t="shared" ref="I98" si="16">ROUND(F98*H98,2)</f>
        <v>0</v>
      </c>
      <c r="N98" s="533" t="s">
        <v>497</v>
      </c>
      <c r="O98" s="533"/>
      <c r="P98" s="533"/>
      <c r="Q98" s="44"/>
      <c r="R98" s="536">
        <f>F98</f>
        <v>0</v>
      </c>
      <c r="S98" s="534" t="s">
        <v>6</v>
      </c>
      <c r="T98" s="421">
        <f>T70</f>
        <v>0</v>
      </c>
      <c r="U98" s="473">
        <f>ROUND(R98*T98,2)</f>
        <v>0</v>
      </c>
    </row>
    <row r="99" spans="1:21" x14ac:dyDescent="0.25">
      <c r="A99" s="530"/>
      <c r="B99" s="529"/>
      <c r="C99" s="529"/>
      <c r="D99" s="529"/>
      <c r="E99" s="527"/>
      <c r="F99" s="276"/>
      <c r="G99" s="528"/>
      <c r="H99" s="422"/>
      <c r="I99" s="101"/>
      <c r="N99" s="533"/>
      <c r="O99" s="533"/>
      <c r="P99" s="533"/>
      <c r="Q99" s="44"/>
      <c r="R99" s="535"/>
      <c r="S99" s="534"/>
      <c r="T99" s="421"/>
      <c r="U99" s="477"/>
    </row>
    <row r="100" spans="1:21" x14ac:dyDescent="0.25">
      <c r="A100" s="530"/>
      <c r="B100" s="529"/>
      <c r="C100" s="529"/>
      <c r="D100" s="529"/>
      <c r="E100" s="527"/>
      <c r="F100" s="276"/>
      <c r="G100" s="528"/>
      <c r="H100" s="422"/>
      <c r="I100" s="101"/>
      <c r="N100" s="533"/>
      <c r="O100" s="533"/>
      <c r="P100" s="533"/>
      <c r="Q100" s="44"/>
      <c r="R100" s="420"/>
      <c r="S100" s="534"/>
      <c r="T100" s="421"/>
      <c r="U100" s="103"/>
    </row>
    <row r="101" spans="1:21" x14ac:dyDescent="0.25">
      <c r="A101" s="399" t="s">
        <v>498</v>
      </c>
      <c r="N101" s="407" t="s">
        <v>498</v>
      </c>
      <c r="O101" s="51"/>
      <c r="P101" s="51"/>
      <c r="Q101" s="51"/>
      <c r="R101" s="51"/>
      <c r="S101" s="51"/>
      <c r="T101" s="51"/>
      <c r="U101" s="51"/>
    </row>
    <row r="102" spans="1:21" x14ac:dyDescent="0.25">
      <c r="B102" s="69"/>
      <c r="C102" s="563" t="s">
        <v>60</v>
      </c>
      <c r="D102" s="563"/>
      <c r="E102" s="69"/>
      <c r="F102" s="39" t="s">
        <v>28</v>
      </c>
      <c r="G102" s="69"/>
      <c r="H102" s="69"/>
      <c r="I102" s="69"/>
      <c r="N102" s="45"/>
      <c r="O102" s="45"/>
      <c r="P102" s="45"/>
      <c r="Q102" s="45"/>
      <c r="R102" s="45"/>
      <c r="S102" s="45"/>
      <c r="T102" s="45"/>
      <c r="U102" s="45"/>
    </row>
    <row r="103" spans="1:21" x14ac:dyDescent="0.25">
      <c r="A103" s="3"/>
      <c r="B103" s="118"/>
      <c r="C103" s="564" t="s">
        <v>101</v>
      </c>
      <c r="D103" s="564"/>
      <c r="E103" s="423" t="s">
        <v>426</v>
      </c>
      <c r="F103" s="120" t="s">
        <v>106</v>
      </c>
      <c r="G103" s="121"/>
      <c r="H103" s="121"/>
      <c r="I103" s="121"/>
      <c r="N103" s="631" t="s">
        <v>35</v>
      </c>
      <c r="O103" s="631"/>
      <c r="P103" s="672" t="s">
        <v>428</v>
      </c>
      <c r="Q103" s="633"/>
      <c r="R103" s="604" t="s">
        <v>31</v>
      </c>
      <c r="S103" s="604"/>
      <c r="T103" s="604"/>
      <c r="U103" s="604"/>
    </row>
    <row r="104" spans="1:21" x14ac:dyDescent="0.25">
      <c r="A104" s="26"/>
      <c r="B104" s="52" t="s">
        <v>105</v>
      </c>
      <c r="C104" s="596">
        <f>H14+H15+H20+H23+H26</f>
        <v>484.67619999999999</v>
      </c>
      <c r="D104" s="596"/>
      <c r="E104" s="46">
        <f>H8</f>
        <v>1.0407999999999999</v>
      </c>
      <c r="F104" s="303">
        <f>'1461'!F104</f>
        <v>950.92</v>
      </c>
      <c r="G104" s="39" t="s">
        <v>12</v>
      </c>
      <c r="H104" s="101">
        <f>ROUND(C104*E104*F104,2)</f>
        <v>479692.53</v>
      </c>
      <c r="I104" s="104"/>
      <c r="N104" s="28" t="s">
        <v>17</v>
      </c>
      <c r="O104" s="47">
        <f>T14+T15+T20+T23+T26</f>
        <v>0</v>
      </c>
      <c r="P104" s="611">
        <f>T8</f>
        <v>1.0407999999999999</v>
      </c>
      <c r="Q104" s="611"/>
      <c r="R104" s="48">
        <f>F104</f>
        <v>950.92</v>
      </c>
      <c r="S104" s="40" t="s">
        <v>12</v>
      </c>
      <c r="T104" s="479">
        <f>ROUND(O104*P104*R104,2)</f>
        <v>0</v>
      </c>
      <c r="U104" s="102"/>
    </row>
    <row r="105" spans="1:21" x14ac:dyDescent="0.25">
      <c r="A105" s="49"/>
      <c r="B105" s="49" t="s">
        <v>104</v>
      </c>
      <c r="C105" s="596">
        <f>H16+H17+H21+H24+H27</f>
        <v>526.78870000000006</v>
      </c>
      <c r="D105" s="596"/>
      <c r="E105" s="46">
        <f>H8</f>
        <v>1.0407999999999999</v>
      </c>
      <c r="F105" s="303">
        <f>'1461'!F105</f>
        <v>907.92</v>
      </c>
      <c r="G105" s="39" t="s">
        <v>12</v>
      </c>
      <c r="H105" s="101">
        <f>ROUND(C105*E105*F105,2)</f>
        <v>497795.9</v>
      </c>
      <c r="N105" s="50" t="s">
        <v>13</v>
      </c>
      <c r="O105" s="47">
        <f>T16+T17+T21+T24+T27</f>
        <v>0</v>
      </c>
      <c r="P105" s="611">
        <f>T8</f>
        <v>1.0407999999999999</v>
      </c>
      <c r="Q105" s="611"/>
      <c r="R105" s="48">
        <f>F105</f>
        <v>907.92</v>
      </c>
      <c r="S105" s="40" t="s">
        <v>12</v>
      </c>
      <c r="T105" s="479">
        <f>ROUND(O105*P105*R105,2)</f>
        <v>0</v>
      </c>
      <c r="U105" s="51"/>
    </row>
    <row r="106" spans="1:21" ht="16.5" thickBot="1" x14ac:dyDescent="0.3">
      <c r="A106" s="52"/>
      <c r="B106" s="52" t="s">
        <v>103</v>
      </c>
      <c r="C106" s="596">
        <f>H18+H19+H22+H25+H28+H29</f>
        <v>0</v>
      </c>
      <c r="D106" s="596"/>
      <c r="E106" s="46">
        <f>H8</f>
        <v>1.0407999999999999</v>
      </c>
      <c r="F106" s="303">
        <f>'1461'!F106</f>
        <v>910.12</v>
      </c>
      <c r="G106" s="39" t="s">
        <v>12</v>
      </c>
      <c r="H106" s="94">
        <f>ROUND(C106*E106*F106,2)</f>
        <v>0</v>
      </c>
      <c r="N106" s="53" t="s">
        <v>14</v>
      </c>
      <c r="O106" s="54">
        <f>T18+T19+T22+T25+T28+T29</f>
        <v>0</v>
      </c>
      <c r="P106" s="611">
        <f>T8</f>
        <v>1.0407999999999999</v>
      </c>
      <c r="Q106" s="611"/>
      <c r="R106" s="48">
        <f>F106</f>
        <v>910.12</v>
      </c>
      <c r="S106" s="40" t="s">
        <v>12</v>
      </c>
      <c r="T106" s="479">
        <f>ROUND(O106*P106*R106,2)</f>
        <v>0</v>
      </c>
      <c r="U106" s="51"/>
    </row>
    <row r="107" spans="1:21" ht="16.5" thickBot="1" x14ac:dyDescent="0.3">
      <c r="A107" s="55"/>
      <c r="B107" s="122" t="s">
        <v>102</v>
      </c>
      <c r="C107" s="586">
        <f>SUM(C104:C106)</f>
        <v>1011.4649000000001</v>
      </c>
      <c r="D107" s="586"/>
      <c r="E107" s="123"/>
      <c r="F107" s="123"/>
      <c r="G107" s="123"/>
      <c r="H107" s="124" t="s">
        <v>100</v>
      </c>
      <c r="I107" s="101">
        <f>IF(A1=75,0,H106+H105+H104)</f>
        <v>977488.43</v>
      </c>
      <c r="N107" s="56" t="s">
        <v>89</v>
      </c>
      <c r="O107" s="57">
        <f>SUM(O104:O106)</f>
        <v>0</v>
      </c>
      <c r="P107" s="612" t="s">
        <v>16</v>
      </c>
      <c r="Q107" s="613"/>
      <c r="R107" s="613"/>
      <c r="S107" s="613"/>
      <c r="T107" s="613"/>
      <c r="U107" s="473">
        <f>IF(N1=75,0,T106+T105+T104)</f>
        <v>0</v>
      </c>
    </row>
    <row r="108" spans="1:21" ht="16.5" thickTop="1" x14ac:dyDescent="0.25">
      <c r="A108" s="555" t="s">
        <v>65</v>
      </c>
      <c r="B108" s="555"/>
      <c r="C108" s="555"/>
      <c r="D108" s="555"/>
      <c r="E108" s="555"/>
      <c r="F108" s="555"/>
      <c r="G108" s="555"/>
      <c r="H108" s="555"/>
      <c r="I108" s="555"/>
      <c r="N108" s="614" t="s">
        <v>65</v>
      </c>
      <c r="O108" s="614"/>
      <c r="P108" s="614"/>
      <c r="Q108" s="614"/>
      <c r="R108" s="614"/>
      <c r="S108" s="614"/>
      <c r="T108" s="614"/>
      <c r="U108" s="614"/>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0" t="s">
        <v>499</v>
      </c>
      <c r="C110" s="43"/>
      <c r="D110" s="69"/>
      <c r="E110" s="43" t="s">
        <v>32</v>
      </c>
      <c r="F110" s="556"/>
      <c r="G110" s="556"/>
      <c r="H110" s="556"/>
      <c r="I110" s="556"/>
      <c r="N110" s="600" t="s">
        <v>499</v>
      </c>
      <c r="O110" s="601"/>
      <c r="P110" s="601"/>
      <c r="Q110" s="615"/>
      <c r="R110" s="615"/>
      <c r="S110" s="615"/>
      <c r="T110" s="615"/>
      <c r="U110" s="103"/>
    </row>
    <row r="111" spans="1:21" x14ac:dyDescent="0.25">
      <c r="B111" s="69"/>
      <c r="C111" s="88" t="s">
        <v>494</v>
      </c>
      <c r="D111" s="333" t="s">
        <v>495</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57" t="s">
        <v>381</v>
      </c>
      <c r="B113" s="558"/>
      <c r="C113" s="143">
        <v>160</v>
      </c>
      <c r="D113" s="143">
        <v>172</v>
      </c>
      <c r="E113" s="116">
        <f>(C113+D113)/2</f>
        <v>166</v>
      </c>
      <c r="F113" s="126" t="s">
        <v>30</v>
      </c>
      <c r="G113" s="304">
        <f>'1461'!G113</f>
        <v>576</v>
      </c>
      <c r="I113" s="101">
        <f>ROUND(G113*E113,2)</f>
        <v>95616</v>
      </c>
      <c r="N113" s="630" t="s">
        <v>52</v>
      </c>
      <c r="O113" s="630"/>
      <c r="P113" s="610">
        <f>IF(H133=1,E113,0)</f>
        <v>0</v>
      </c>
      <c r="Q113" s="610"/>
      <c r="R113" s="610"/>
      <c r="S113" s="83" t="s">
        <v>30</v>
      </c>
      <c r="T113" s="58">
        <f>G113</f>
        <v>576</v>
      </c>
      <c r="U113" s="473">
        <f>ROUND(T113*P113,2)</f>
        <v>0</v>
      </c>
    </row>
    <row r="114" spans="1:21" x14ac:dyDescent="0.25">
      <c r="A114" s="557" t="s">
        <v>382</v>
      </c>
      <c r="B114" s="558"/>
      <c r="C114" s="143">
        <v>0</v>
      </c>
      <c r="D114" s="143">
        <v>0</v>
      </c>
      <c r="E114" s="116">
        <f>(C114+D114)/2</f>
        <v>0</v>
      </c>
      <c r="F114" s="126" t="s">
        <v>30</v>
      </c>
      <c r="G114" s="304">
        <f>'1461'!G114</f>
        <v>1823</v>
      </c>
      <c r="I114" s="101">
        <f>ROUND(G114*E114,2)</f>
        <v>0</v>
      </c>
      <c r="N114" s="630" t="s">
        <v>64</v>
      </c>
      <c r="O114" s="630"/>
      <c r="P114" s="608"/>
      <c r="Q114" s="608"/>
      <c r="R114" s="608"/>
      <c r="S114" s="83" t="s">
        <v>30</v>
      </c>
      <c r="T114" s="58">
        <f>G114</f>
        <v>1823</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4" t="s">
        <v>430</v>
      </c>
      <c r="B117" s="578"/>
      <c r="C117" s="578"/>
      <c r="D117" s="69"/>
      <c r="E117" s="39" t="s">
        <v>300</v>
      </c>
      <c r="F117" s="563"/>
      <c r="G117" s="563"/>
      <c r="H117" s="563"/>
      <c r="I117" s="563"/>
      <c r="N117" s="600" t="s">
        <v>431</v>
      </c>
      <c r="O117" s="601"/>
      <c r="P117" s="601"/>
      <c r="Q117" s="601"/>
      <c r="R117" s="601"/>
      <c r="S117" s="601"/>
      <c r="T117" s="601"/>
      <c r="U117" s="601"/>
    </row>
    <row r="118" spans="1:21" hidden="1" x14ac:dyDescent="0.25">
      <c r="B118" s="69"/>
      <c r="C118" s="564" t="s">
        <v>66</v>
      </c>
      <c r="D118" s="564"/>
      <c r="E118" s="564"/>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5" t="s">
        <v>109</v>
      </c>
      <c r="G119" s="563"/>
      <c r="H119" s="37" t="s">
        <v>29</v>
      </c>
      <c r="I119" s="37"/>
      <c r="N119" s="45"/>
      <c r="O119" s="45"/>
      <c r="P119" s="45"/>
      <c r="Q119" s="45"/>
      <c r="R119" s="45"/>
      <c r="S119" s="45"/>
      <c r="T119" s="45"/>
      <c r="U119" s="45"/>
    </row>
    <row r="120" spans="1:21" hidden="1" x14ac:dyDescent="0.25">
      <c r="A120" s="564" t="s">
        <v>69</v>
      </c>
      <c r="B120" s="564"/>
      <c r="C120" s="90" t="s">
        <v>2</v>
      </c>
      <c r="D120" s="90" t="s">
        <v>2</v>
      </c>
      <c r="E120" s="59" t="s">
        <v>2</v>
      </c>
      <c r="F120" s="564" t="s">
        <v>28</v>
      </c>
      <c r="G120" s="564"/>
      <c r="H120" s="59" t="s">
        <v>28</v>
      </c>
      <c r="I120" s="59" t="s">
        <v>8</v>
      </c>
      <c r="N120" s="609" t="s">
        <v>53</v>
      </c>
      <c r="O120" s="609"/>
      <c r="P120" s="610" t="s">
        <v>66</v>
      </c>
      <c r="Q120" s="610"/>
      <c r="R120" s="609" t="s">
        <v>54</v>
      </c>
      <c r="S120" s="609"/>
      <c r="T120" s="60" t="s">
        <v>55</v>
      </c>
      <c r="U120" s="60" t="s">
        <v>8</v>
      </c>
    </row>
    <row r="121" spans="1:21" hidden="1" x14ac:dyDescent="0.25">
      <c r="A121" s="561" t="s">
        <v>56</v>
      </c>
      <c r="B121" s="561"/>
      <c r="C121" s="141">
        <v>0</v>
      </c>
      <c r="D121" s="141">
        <v>0</v>
      </c>
      <c r="E121" s="187">
        <f>IF(D30=0,C121*2,C121+D121)</f>
        <v>0</v>
      </c>
      <c r="F121" s="562">
        <v>0</v>
      </c>
      <c r="G121" s="562"/>
      <c r="H121" s="224">
        <f>IF(C121=0,0,125)</f>
        <v>0</v>
      </c>
      <c r="I121" s="101">
        <f>ROUND((H121+F121)*E121,2)</f>
        <v>0</v>
      </c>
      <c r="N121" s="601" t="s">
        <v>56</v>
      </c>
      <c r="O121" s="601"/>
      <c r="P121" s="608">
        <f>IF(H$133=1,C121,0)</f>
        <v>0</v>
      </c>
      <c r="Q121" s="608"/>
      <c r="R121" s="628">
        <f>F121</f>
        <v>0</v>
      </c>
      <c r="S121" s="628"/>
      <c r="T121" s="62">
        <f>H121</f>
        <v>0</v>
      </c>
      <c r="U121" s="96">
        <f>ROUND((T121+R121)*P121,0)</f>
        <v>0</v>
      </c>
    </row>
    <row r="122" spans="1:21" hidden="1" x14ac:dyDescent="0.25">
      <c r="A122" s="581" t="s">
        <v>57</v>
      </c>
      <c r="B122" s="581"/>
      <c r="C122" s="143">
        <v>0</v>
      </c>
      <c r="D122" s="143">
        <v>0</v>
      </c>
      <c r="E122" s="116">
        <f>IF(D31=0,C122*2,C122+D122)</f>
        <v>0</v>
      </c>
      <c r="F122" s="598">
        <f>ROUND(F121/2,2)</f>
        <v>0</v>
      </c>
      <c r="G122" s="598"/>
      <c r="H122" s="224">
        <f>IF(C122=0,0,62.5)</f>
        <v>0</v>
      </c>
      <c r="I122" s="101">
        <f>ROUND((H122+F122)*E122,2)</f>
        <v>0</v>
      </c>
      <c r="N122" s="601" t="s">
        <v>57</v>
      </c>
      <c r="O122" s="601"/>
      <c r="P122" s="608">
        <f>IF(H$133=1,C122,0)</f>
        <v>0</v>
      </c>
      <c r="Q122" s="608"/>
      <c r="R122" s="629">
        <f>ROUND(R121/2,2)</f>
        <v>0</v>
      </c>
      <c r="S122" s="629"/>
      <c r="T122" s="62">
        <f>H122</f>
        <v>0</v>
      </c>
      <c r="U122" s="96">
        <f>ROUND((T122+R122)*P122,0)</f>
        <v>0</v>
      </c>
    </row>
    <row r="123" spans="1:21" ht="16.5" hidden="1" thickBot="1" x14ac:dyDescent="0.3">
      <c r="A123" s="581" t="s">
        <v>58</v>
      </c>
      <c r="B123" s="581"/>
      <c r="C123" s="143">
        <v>0</v>
      </c>
      <c r="D123" s="143">
        <v>0</v>
      </c>
      <c r="E123" s="116">
        <f>IF(D32=0,C123*2,C123+D123)</f>
        <v>0</v>
      </c>
      <c r="F123" s="599"/>
      <c r="G123" s="599"/>
      <c r="H123" s="225">
        <f>IF(H121&gt;0,436,0)</f>
        <v>0</v>
      </c>
      <c r="I123" s="101">
        <f>ROUND(H123*E123,2)</f>
        <v>0</v>
      </c>
      <c r="N123" s="616" t="s">
        <v>58</v>
      </c>
      <c r="O123" s="616"/>
      <c r="P123" s="608">
        <f>IF(H$133=1,C123,0)</f>
        <v>0</v>
      </c>
      <c r="Q123" s="608"/>
      <c r="R123" s="609"/>
      <c r="S123" s="609"/>
      <c r="T123" s="64">
        <f>H123</f>
        <v>0</v>
      </c>
      <c r="U123" s="103">
        <f>ROUND(T123*P123,0)</f>
        <v>0</v>
      </c>
    </row>
    <row r="124" spans="1:21" ht="16.5" hidden="1" thickBot="1" x14ac:dyDescent="0.3">
      <c r="A124" s="563" t="s">
        <v>8</v>
      </c>
      <c r="B124" s="563"/>
      <c r="C124" s="65"/>
      <c r="D124" s="65"/>
      <c r="E124" s="65"/>
      <c r="F124" s="65"/>
      <c r="G124" s="65"/>
      <c r="H124" s="65"/>
      <c r="I124" s="97">
        <f>SUM(I121:I123)</f>
        <v>0</v>
      </c>
      <c r="N124" s="627" t="s">
        <v>8</v>
      </c>
      <c r="O124" s="627"/>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4" t="s">
        <v>432</v>
      </c>
      <c r="B126" s="578"/>
      <c r="C126" s="578"/>
      <c r="D126" s="69"/>
      <c r="E126" s="68" t="s">
        <v>34</v>
      </c>
      <c r="F126" s="597"/>
      <c r="G126" s="597"/>
      <c r="H126" s="597"/>
      <c r="I126" s="154">
        <v>0</v>
      </c>
      <c r="N126" s="600" t="s">
        <v>432</v>
      </c>
      <c r="O126" s="601"/>
      <c r="P126" s="601"/>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90" t="s">
        <v>8</v>
      </c>
      <c r="B128" s="590"/>
      <c r="C128" s="590"/>
      <c r="D128" s="590"/>
      <c r="E128" s="590"/>
      <c r="F128" s="590"/>
      <c r="G128" s="590"/>
      <c r="H128" s="590"/>
      <c r="I128" s="94">
        <f>SUM(I46,I66,I85,I88,I90,I92,I94,I96,I107,I113,I114,I124,I126)</f>
        <v>8268546.9199999999</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434</v>
      </c>
      <c r="B130" s="26"/>
      <c r="C130" s="26"/>
      <c r="D130" s="26"/>
      <c r="E130" s="26"/>
      <c r="F130" s="26"/>
      <c r="G130" s="26"/>
      <c r="H130" s="26"/>
      <c r="I130" s="101">
        <f>I128-I53</f>
        <v>7935749.5800000001</v>
      </c>
      <c r="N130" s="601" t="s">
        <v>434</v>
      </c>
      <c r="O130" s="601"/>
      <c r="P130" s="601"/>
      <c r="Q130" s="601"/>
      <c r="R130" s="601"/>
      <c r="S130" s="601"/>
      <c r="T130" s="601"/>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4" t="s">
        <v>502</v>
      </c>
      <c r="B132" s="578"/>
      <c r="C132" s="578"/>
      <c r="D132" s="578"/>
      <c r="E132" s="578"/>
      <c r="F132" s="578"/>
      <c r="G132" s="578"/>
      <c r="H132" s="81" t="s">
        <v>333</v>
      </c>
      <c r="I132" s="134"/>
      <c r="N132" s="600" t="s">
        <v>502</v>
      </c>
      <c r="O132" s="601"/>
      <c r="P132" s="601"/>
      <c r="Q132" s="601"/>
      <c r="R132" s="601"/>
      <c r="S132" s="601"/>
      <c r="T132" s="601"/>
      <c r="U132" s="138"/>
    </row>
    <row r="133" spans="1:21" x14ac:dyDescent="0.25">
      <c r="A133" s="578" t="s">
        <v>70</v>
      </c>
      <c r="B133" s="578"/>
      <c r="C133" s="578"/>
      <c r="D133" s="578"/>
      <c r="E133" s="578"/>
      <c r="F133" s="578"/>
      <c r="G133" s="578"/>
      <c r="H133" s="70" t="str">
        <f>IF(E30=0,"",IF((E15+E17+SUM(E19:E25))/E30&gt;0.75,1,""))</f>
        <v/>
      </c>
      <c r="I133" s="116">
        <f>U130</f>
        <v>0</v>
      </c>
      <c r="N133" s="601" t="s">
        <v>70</v>
      </c>
      <c r="O133" s="601"/>
      <c r="P133" s="601"/>
      <c r="Q133" s="601"/>
      <c r="R133" s="601"/>
      <c r="S133" s="601"/>
      <c r="T133" s="601"/>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8" t="s">
        <v>240</v>
      </c>
      <c r="H135" s="139">
        <f>IF(H133=1,I133,I130)</f>
        <v>7935749.5800000001</v>
      </c>
      <c r="I135" s="94">
        <f>ROUND(IF(E30=0,0,IF(E30&gt;250,-(((250/E30)*H135)*IF(G135="H",0.02,0.05)),IF(G135="H",-0.02*H135,-0.05*H135))),2)</f>
        <v>-41532.339999999997</v>
      </c>
      <c r="N135" s="626"/>
      <c r="O135" s="626"/>
      <c r="P135" s="626"/>
      <c r="Q135" s="626"/>
      <c r="R135" s="626"/>
      <c r="S135" s="626"/>
      <c r="T135" s="626"/>
      <c r="U135" s="626"/>
    </row>
    <row r="136" spans="1:21" x14ac:dyDescent="0.25">
      <c r="B136" s="69"/>
      <c r="C136" s="69"/>
      <c r="D136" s="69"/>
      <c r="E136" s="69"/>
      <c r="F136" s="69"/>
      <c r="G136" s="69"/>
      <c r="H136" s="65"/>
      <c r="I136" s="101"/>
      <c r="N136" s="624" t="s">
        <v>7</v>
      </c>
      <c r="O136" s="624"/>
      <c r="P136" s="624"/>
      <c r="Q136" s="624"/>
      <c r="R136" s="624"/>
      <c r="S136" s="624"/>
      <c r="T136" s="624"/>
      <c r="U136" s="624"/>
    </row>
    <row r="137" spans="1:21" x14ac:dyDescent="0.25">
      <c r="A137" s="309" t="s">
        <v>74</v>
      </c>
      <c r="B137" s="310"/>
      <c r="C137" s="310"/>
      <c r="D137" s="310"/>
      <c r="E137" s="310"/>
      <c r="F137" s="310"/>
      <c r="G137" s="310"/>
      <c r="H137" s="311"/>
      <c r="I137" s="312">
        <f>I128+I135</f>
        <v>8227014.5800000001</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81" t="s">
        <v>242</v>
      </c>
      <c r="B139" s="69"/>
      <c r="C139" s="140"/>
      <c r="D139" s="69"/>
      <c r="F139" s="69"/>
      <c r="G139" s="69"/>
      <c r="H139" s="65"/>
      <c r="I139" s="272">
        <f>-'Cumulative Payments'!Q105</f>
        <v>0</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8227014.5800000001</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685584.55</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117182.65</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372</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373</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374</v>
      </c>
      <c r="B155" s="252"/>
      <c r="C155" s="252"/>
      <c r="D155" s="252"/>
      <c r="E155" s="252"/>
      <c r="F155" s="252"/>
      <c r="G155" s="252"/>
      <c r="H155" s="252"/>
      <c r="I155" s="252"/>
      <c r="N155" s="625"/>
      <c r="O155" s="625"/>
      <c r="P155" s="625"/>
      <c r="Q155" s="625"/>
      <c r="R155" s="625"/>
      <c r="S155" s="625"/>
      <c r="T155" s="625"/>
      <c r="U155" s="625"/>
    </row>
    <row r="156" spans="1:21" s="76" customFormat="1" x14ac:dyDescent="0.2">
      <c r="A156" s="320" t="s">
        <v>375</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376</v>
      </c>
      <c r="B157" s="252"/>
      <c r="C157" s="252"/>
      <c r="D157" s="252"/>
      <c r="E157" s="252"/>
      <c r="F157" s="252"/>
      <c r="G157" s="252"/>
      <c r="H157" s="252"/>
      <c r="I157" s="252"/>
      <c r="N157" s="78"/>
      <c r="O157" s="79"/>
      <c r="P157" s="79"/>
      <c r="Q157" s="79"/>
      <c r="R157" s="79"/>
      <c r="S157" s="79"/>
      <c r="T157" s="79"/>
      <c r="U157" s="79"/>
    </row>
    <row r="158" spans="1:21" s="76" customFormat="1" x14ac:dyDescent="0.2">
      <c r="A158" s="320" t="s">
        <v>377</v>
      </c>
      <c r="B158" s="252"/>
      <c r="C158" s="252"/>
      <c r="D158" s="252"/>
      <c r="E158" s="252"/>
      <c r="F158" s="252"/>
      <c r="G158" s="252"/>
      <c r="H158" s="252"/>
      <c r="I158" s="252"/>
      <c r="N158" s="78"/>
    </row>
    <row r="159" spans="1:21" s="76" customFormat="1" x14ac:dyDescent="0.2">
      <c r="A159" s="320" t="s">
        <v>379</v>
      </c>
      <c r="B159" s="252"/>
      <c r="C159" s="252"/>
      <c r="D159" s="252"/>
      <c r="E159" s="252"/>
      <c r="F159" s="252"/>
      <c r="G159" s="252"/>
      <c r="H159" s="252"/>
      <c r="I159" s="252"/>
      <c r="N159" s="78"/>
    </row>
    <row r="160" spans="1:21" s="76" customFormat="1" x14ac:dyDescent="0.2">
      <c r="A160" s="385" t="s">
        <v>378</v>
      </c>
      <c r="B160" s="252"/>
      <c r="C160" s="252"/>
      <c r="D160" s="252"/>
      <c r="E160" s="252"/>
      <c r="F160" s="252"/>
      <c r="G160" s="252"/>
      <c r="H160" s="252"/>
      <c r="I160" s="252"/>
      <c r="N160" s="78"/>
    </row>
    <row r="161" spans="1:14" s="76" customFormat="1" x14ac:dyDescent="0.2">
      <c r="A161" s="320" t="s">
        <v>380</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383</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385</v>
      </c>
      <c r="B165" s="293"/>
      <c r="C165" s="293"/>
      <c r="D165" s="293"/>
      <c r="E165" s="293"/>
      <c r="F165" s="293"/>
      <c r="G165" s="293"/>
      <c r="H165" s="293"/>
      <c r="I165" s="293"/>
      <c r="N165" s="78"/>
    </row>
    <row r="166" spans="1:14" s="76" customFormat="1" ht="15.75" customHeight="1" x14ac:dyDescent="0.2">
      <c r="A166" s="351" t="s">
        <v>384</v>
      </c>
      <c r="B166" s="293"/>
      <c r="C166" s="293"/>
      <c r="D166" s="293"/>
      <c r="E166" s="293"/>
      <c r="F166" s="293"/>
      <c r="G166" s="293"/>
      <c r="H166" s="293"/>
      <c r="I166" s="293"/>
      <c r="N166" s="78"/>
    </row>
    <row r="167" spans="1:14" s="76" customFormat="1" ht="15.75" customHeight="1" x14ac:dyDescent="0.2">
      <c r="A167" s="320" t="s">
        <v>386</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388</v>
      </c>
      <c r="B169" s="343"/>
      <c r="C169" s="343"/>
      <c r="D169" s="343"/>
      <c r="E169" s="343"/>
      <c r="F169" s="343"/>
      <c r="G169" s="343"/>
      <c r="H169" s="343"/>
      <c r="I169" s="343"/>
      <c r="N169" s="78"/>
    </row>
    <row r="170" spans="1:14" s="76" customFormat="1" ht="15.75" customHeight="1" x14ac:dyDescent="0.2">
      <c r="A170" s="351" t="s">
        <v>387</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389</v>
      </c>
      <c r="B175" s="293"/>
      <c r="C175" s="293"/>
      <c r="D175" s="293"/>
      <c r="E175" s="293"/>
      <c r="F175" s="293"/>
      <c r="G175" s="293"/>
      <c r="H175" s="293"/>
      <c r="I175" s="293"/>
      <c r="J175" s="3"/>
      <c r="K175" s="3"/>
      <c r="L175" s="3"/>
      <c r="M175" s="3"/>
      <c r="N175" s="78"/>
    </row>
    <row r="176" spans="1:14" s="76" customFormat="1" ht="15.75" customHeight="1" x14ac:dyDescent="0.2">
      <c r="A176" s="361" t="s">
        <v>390</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96:C96"/>
    <mergeCell ref="N96:P96"/>
    <mergeCell ref="C102:D102"/>
    <mergeCell ref="C103:D103"/>
    <mergeCell ref="N103:O103"/>
    <mergeCell ref="P103:Q103"/>
    <mergeCell ref="R103:U103"/>
    <mergeCell ref="C104:D104"/>
    <mergeCell ref="P104:Q104"/>
    <mergeCell ref="A87:C87"/>
    <mergeCell ref="N87:P87"/>
    <mergeCell ref="A94:C94"/>
    <mergeCell ref="A88:C88"/>
    <mergeCell ref="N94:P94"/>
    <mergeCell ref="A78:B78"/>
    <mergeCell ref="D78:G78"/>
    <mergeCell ref="N78:O78"/>
    <mergeCell ref="Q78:S78"/>
    <mergeCell ref="N79:S79"/>
    <mergeCell ref="A81:B81"/>
    <mergeCell ref="D81:G81"/>
    <mergeCell ref="N81:O81"/>
    <mergeCell ref="Q81:S81"/>
    <mergeCell ref="A75:B75"/>
    <mergeCell ref="D75:G75"/>
    <mergeCell ref="N75:O75"/>
    <mergeCell ref="Q75:S75"/>
    <mergeCell ref="T75:U75"/>
    <mergeCell ref="N76:S76"/>
    <mergeCell ref="T76:U76"/>
    <mergeCell ref="N70:S70"/>
    <mergeCell ref="T70:U70"/>
    <mergeCell ref="A72:B72"/>
    <mergeCell ref="D72:G72"/>
    <mergeCell ref="N72:O72"/>
    <mergeCell ref="Q72:S72"/>
    <mergeCell ref="T72:U72"/>
    <mergeCell ref="N73:S73"/>
    <mergeCell ref="T73:U73"/>
    <mergeCell ref="A43:B43"/>
    <mergeCell ref="N43:O43"/>
    <mergeCell ref="P43:T43"/>
    <mergeCell ref="N44:Q44"/>
    <mergeCell ref="S44:T44"/>
    <mergeCell ref="N46:Q46"/>
    <mergeCell ref="S46:T46"/>
    <mergeCell ref="A69:B69"/>
    <mergeCell ref="D69:G69"/>
    <mergeCell ref="N69:O69"/>
    <mergeCell ref="Q69:S69"/>
    <mergeCell ref="T69:U69"/>
    <mergeCell ref="P61:Q61"/>
    <mergeCell ref="P62:Q62"/>
    <mergeCell ref="P63:Q63"/>
    <mergeCell ref="P64:Q64"/>
    <mergeCell ref="P65:Q65"/>
    <mergeCell ref="P66:Q66"/>
    <mergeCell ref="R66:T66"/>
    <mergeCell ref="A57:B65"/>
    <mergeCell ref="A40:B40"/>
    <mergeCell ref="N40:O40"/>
    <mergeCell ref="P40:T40"/>
    <mergeCell ref="A41:B41"/>
    <mergeCell ref="N41:O41"/>
    <mergeCell ref="P41:T41"/>
    <mergeCell ref="A42:B42"/>
    <mergeCell ref="N42:O42"/>
    <mergeCell ref="P42:T42"/>
    <mergeCell ref="A37:B37"/>
    <mergeCell ref="N37:O37"/>
    <mergeCell ref="P37:T37"/>
    <mergeCell ref="A38:B38"/>
    <mergeCell ref="N38:O38"/>
    <mergeCell ref="P38:T38"/>
    <mergeCell ref="F34:H37"/>
    <mergeCell ref="A39:B39"/>
    <mergeCell ref="N39:O39"/>
    <mergeCell ref="P39:T39"/>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6:B16"/>
    <mergeCell ref="F16:G16"/>
    <mergeCell ref="A18:B18"/>
    <mergeCell ref="F18:G18"/>
    <mergeCell ref="N18:O18"/>
    <mergeCell ref="P18:Q18"/>
    <mergeCell ref="R18:S18"/>
    <mergeCell ref="A15:B15"/>
    <mergeCell ref="F15:G15"/>
    <mergeCell ref="N15:O15"/>
    <mergeCell ref="P15:Q15"/>
    <mergeCell ref="R15:S15"/>
    <mergeCell ref="A14:B14"/>
    <mergeCell ref="F14:G14"/>
    <mergeCell ref="N16:O16"/>
    <mergeCell ref="P16:Q16"/>
    <mergeCell ref="R16:S16"/>
    <mergeCell ref="A13:B13"/>
    <mergeCell ref="F13:G13"/>
    <mergeCell ref="N13:O13"/>
    <mergeCell ref="P13:Q13"/>
    <mergeCell ref="R13:S13"/>
    <mergeCell ref="A12:B12"/>
    <mergeCell ref="F12:G12"/>
    <mergeCell ref="N14:O14"/>
    <mergeCell ref="P14:Q14"/>
    <mergeCell ref="R14:S14"/>
    <mergeCell ref="A4:B4"/>
    <mergeCell ref="C4:E4"/>
    <mergeCell ref="N4:O4"/>
    <mergeCell ref="P4:Q4"/>
    <mergeCell ref="B1:I1"/>
    <mergeCell ref="N7:U7"/>
    <mergeCell ref="N8:O8"/>
    <mergeCell ref="P8:Q8"/>
    <mergeCell ref="R8:S8"/>
    <mergeCell ref="T8:U8"/>
    <mergeCell ref="A7:I7"/>
    <mergeCell ref="T81:U81"/>
    <mergeCell ref="N82:S82"/>
    <mergeCell ref="T82:U82"/>
    <mergeCell ref="N88:P88"/>
    <mergeCell ref="O1:U1"/>
    <mergeCell ref="N2:U2"/>
    <mergeCell ref="N3:U3"/>
    <mergeCell ref="F11:G11"/>
    <mergeCell ref="R11:S11"/>
    <mergeCell ref="N12:O12"/>
    <mergeCell ref="P12:Q12"/>
    <mergeCell ref="R12:S12"/>
    <mergeCell ref="T9:U9"/>
    <mergeCell ref="N35:T35"/>
    <mergeCell ref="T78:U78"/>
    <mergeCell ref="T79:U79"/>
    <mergeCell ref="F66:H66"/>
    <mergeCell ref="N57:O65"/>
    <mergeCell ref="P56:Q56"/>
    <mergeCell ref="P57:Q57"/>
    <mergeCell ref="P58:Q58"/>
    <mergeCell ref="P59:Q59"/>
    <mergeCell ref="P60:Q60"/>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4">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6" t="s">
        <v>15</v>
      </c>
      <c r="C1" s="567"/>
      <c r="D1" s="567"/>
      <c r="E1" s="567"/>
      <c r="F1" s="567"/>
      <c r="G1" s="567"/>
      <c r="H1" s="567"/>
      <c r="I1" s="567"/>
      <c r="J1" s="135"/>
      <c r="K1" s="135"/>
      <c r="L1" s="135"/>
      <c r="N1" s="82">
        <f>A1</f>
        <v>0</v>
      </c>
      <c r="O1" s="658" t="s">
        <v>15</v>
      </c>
      <c r="P1" s="659"/>
      <c r="Q1" s="659"/>
      <c r="R1" s="659"/>
      <c r="S1" s="659"/>
      <c r="T1" s="659"/>
      <c r="U1" s="659"/>
    </row>
    <row r="2" spans="1:21" ht="21" x14ac:dyDescent="0.35">
      <c r="A2" s="1" t="s">
        <v>244</v>
      </c>
      <c r="B2" s="2"/>
      <c r="C2" s="2"/>
      <c r="D2" s="2"/>
      <c r="E2" s="2"/>
      <c r="F2" s="2"/>
      <c r="G2" s="2"/>
      <c r="H2" s="2"/>
      <c r="I2" s="2"/>
      <c r="N2" s="660" t="s">
        <v>18</v>
      </c>
      <c r="O2" s="660"/>
      <c r="P2" s="660"/>
      <c r="Q2" s="660"/>
      <c r="R2" s="660"/>
      <c r="S2" s="660"/>
      <c r="T2" s="660"/>
      <c r="U2" s="660"/>
    </row>
    <row r="3" spans="1:21" x14ac:dyDescent="0.25">
      <c r="A3" s="81" t="str">
        <f>'1461'!A3</f>
        <v>Based on the FLDOE 2024-25 Conference Calculation</v>
      </c>
      <c r="N3" s="627" t="str">
        <f>A3</f>
        <v>Based on the FLDOE 2024-25 Conference Calculation</v>
      </c>
      <c r="O3" s="627"/>
      <c r="P3" s="627"/>
      <c r="Q3" s="627"/>
      <c r="R3" s="627"/>
      <c r="S3" s="627"/>
      <c r="T3" s="627"/>
      <c r="U3" s="627"/>
    </row>
    <row r="4" spans="1:21" x14ac:dyDescent="0.25">
      <c r="A4" s="568" t="s">
        <v>0</v>
      </c>
      <c r="B4" s="568"/>
      <c r="C4" s="569" t="s">
        <v>9</v>
      </c>
      <c r="D4" s="569"/>
      <c r="E4" s="569"/>
      <c r="F4" s="4" t="str">
        <f>'1461'!F4</f>
        <v>July 2024</v>
      </c>
      <c r="G4" s="4"/>
      <c r="H4" s="4"/>
      <c r="I4" s="4"/>
      <c r="N4" s="661" t="s">
        <v>0</v>
      </c>
      <c r="O4" s="661"/>
      <c r="P4" s="662" t="str">
        <f>C4</f>
        <v>Palm Beach</v>
      </c>
      <c r="Q4" s="662"/>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70" t="s">
        <v>433</v>
      </c>
      <c r="B7" s="664"/>
      <c r="C7" s="664"/>
      <c r="D7" s="664"/>
      <c r="E7" s="664"/>
      <c r="F7" s="664"/>
      <c r="G7" s="664"/>
      <c r="H7" s="664"/>
      <c r="I7" s="664"/>
      <c r="N7" s="661" t="str">
        <f>A7</f>
        <v>1A.   2023-24 FEFP State and Local Funding</v>
      </c>
      <c r="O7" s="661"/>
      <c r="P7" s="661"/>
      <c r="Q7" s="661"/>
      <c r="R7" s="661"/>
      <c r="S7" s="661"/>
      <c r="T7" s="661"/>
      <c r="U7" s="661"/>
    </row>
    <row r="8" spans="1:21" x14ac:dyDescent="0.25">
      <c r="A8" s="84"/>
      <c r="B8" s="85" t="s">
        <v>92</v>
      </c>
      <c r="C8" s="299">
        <f>'1461'!C8</f>
        <v>5330.98</v>
      </c>
      <c r="D8" s="86"/>
      <c r="E8" s="87"/>
      <c r="F8" s="84"/>
      <c r="G8" s="85" t="s">
        <v>393</v>
      </c>
      <c r="H8" s="287">
        <f>'1461'!H8</f>
        <v>1.0407999999999999</v>
      </c>
      <c r="I8" s="75"/>
      <c r="N8" s="665" t="s">
        <v>10</v>
      </c>
      <c r="O8" s="665"/>
      <c r="P8" s="666">
        <f>C8</f>
        <v>5330.98</v>
      </c>
      <c r="Q8" s="666"/>
      <c r="R8" s="648" t="s">
        <v>394</v>
      </c>
      <c r="S8" s="649"/>
      <c r="T8" s="650">
        <f>H8</f>
        <v>1.0407999999999999</v>
      </c>
      <c r="U8" s="650"/>
    </row>
    <row r="9" spans="1:21" x14ac:dyDescent="0.25">
      <c r="A9" s="84"/>
      <c r="B9" s="85"/>
      <c r="C9" s="222"/>
      <c r="D9" s="86"/>
      <c r="E9" s="87"/>
      <c r="F9" s="84"/>
      <c r="G9" s="85" t="s">
        <v>391</v>
      </c>
      <c r="H9" s="287">
        <f>'1461'!H9</f>
        <v>1</v>
      </c>
      <c r="I9" s="75"/>
      <c r="N9" s="12"/>
      <c r="O9" s="12"/>
      <c r="P9" s="13"/>
      <c r="Q9" s="13"/>
      <c r="R9" s="387" t="s">
        <v>392</v>
      </c>
      <c r="S9" s="384"/>
      <c r="T9" s="650">
        <f>H9</f>
        <v>1</v>
      </c>
      <c r="U9" s="650"/>
    </row>
    <row r="10" spans="1:21" x14ac:dyDescent="0.25">
      <c r="A10" s="7"/>
      <c r="B10" s="42" t="s">
        <v>310</v>
      </c>
      <c r="C10" s="456" t="str">
        <f>'1461'!C10</f>
        <v xml:space="preserve"> </v>
      </c>
      <c r="D10" s="88" t="str">
        <f>'1461'!D10</f>
        <v xml:space="preserve"> </v>
      </c>
      <c r="E10" s="8"/>
      <c r="F10" s="9"/>
      <c r="G10" s="9"/>
      <c r="H10" s="10"/>
      <c r="I10" s="305" t="str">
        <f>'1461'!I10</f>
        <v>2024-25</v>
      </c>
      <c r="N10" s="12"/>
      <c r="O10" s="12"/>
      <c r="P10" s="13"/>
      <c r="Q10" s="13"/>
      <c r="R10" s="14"/>
      <c r="S10" s="14"/>
      <c r="T10" s="15"/>
      <c r="U10" s="366" t="str">
        <f>I10</f>
        <v>2024-25</v>
      </c>
    </row>
    <row r="11" spans="1:21" x14ac:dyDescent="0.25">
      <c r="A11" s="7"/>
      <c r="B11" s="7"/>
      <c r="C11" s="88" t="str">
        <f>'1461'!C11</f>
        <v>Oct 2023</v>
      </c>
      <c r="D11" s="333" t="str">
        <f>'1461'!D11</f>
        <v>Feb 2024</v>
      </c>
      <c r="E11" s="89" t="s">
        <v>8</v>
      </c>
      <c r="F11" s="571" t="s">
        <v>1</v>
      </c>
      <c r="G11" s="571"/>
      <c r="H11" s="10" t="s">
        <v>60</v>
      </c>
      <c r="I11" s="11" t="s">
        <v>27</v>
      </c>
      <c r="N11" s="12"/>
      <c r="O11" s="12"/>
      <c r="P11" s="13"/>
      <c r="Q11" s="13"/>
      <c r="R11" s="651" t="s">
        <v>1</v>
      </c>
      <c r="S11" s="651"/>
      <c r="T11" s="15" t="s">
        <v>60</v>
      </c>
      <c r="U11" s="16" t="s">
        <v>27</v>
      </c>
    </row>
    <row r="12" spans="1:21" ht="15.75" customHeight="1" x14ac:dyDescent="0.25">
      <c r="A12" s="572" t="s">
        <v>1</v>
      </c>
      <c r="B12" s="572"/>
      <c r="C12" s="324" t="str">
        <f>'1461'!C12</f>
        <v>FTE</v>
      </c>
      <c r="D12" s="324" t="str">
        <f>'1461'!D12</f>
        <v>FTE</v>
      </c>
      <c r="E12" s="324" t="s">
        <v>2</v>
      </c>
      <c r="F12" s="573" t="s">
        <v>63</v>
      </c>
      <c r="G12" s="573"/>
      <c r="H12" s="17" t="s">
        <v>59</v>
      </c>
      <c r="I12" s="388" t="s">
        <v>395</v>
      </c>
      <c r="N12" s="639" t="s">
        <v>1</v>
      </c>
      <c r="O12" s="639"/>
      <c r="P12" s="652" t="s">
        <v>19</v>
      </c>
      <c r="Q12" s="652"/>
      <c r="R12" s="653" t="s">
        <v>63</v>
      </c>
      <c r="S12" s="653"/>
      <c r="T12" s="18" t="s">
        <v>59</v>
      </c>
      <c r="U12" s="19" t="str">
        <f>I12</f>
        <v>(WFTE x BSA x CWF x SDF)</v>
      </c>
    </row>
    <row r="13" spans="1:21" x14ac:dyDescent="0.25">
      <c r="A13" s="574" t="s">
        <v>36</v>
      </c>
      <c r="B13" s="574"/>
      <c r="C13" s="91"/>
      <c r="D13" s="91"/>
      <c r="E13" s="92" t="s">
        <v>37</v>
      </c>
      <c r="F13" s="575" t="s">
        <v>38</v>
      </c>
      <c r="G13" s="575"/>
      <c r="H13" s="20" t="s">
        <v>39</v>
      </c>
      <c r="I13" s="21" t="s">
        <v>40</v>
      </c>
      <c r="N13" s="654" t="s">
        <v>36</v>
      </c>
      <c r="O13" s="654"/>
      <c r="P13" s="655" t="s">
        <v>37</v>
      </c>
      <c r="Q13" s="655"/>
      <c r="R13" s="656" t="s">
        <v>38</v>
      </c>
      <c r="S13" s="656"/>
      <c r="T13" s="22" t="s">
        <v>39</v>
      </c>
      <c r="U13" s="23" t="s">
        <v>40</v>
      </c>
    </row>
    <row r="14" spans="1:21" x14ac:dyDescent="0.25">
      <c r="A14" s="576" t="s">
        <v>20</v>
      </c>
      <c r="B14" s="576"/>
      <c r="C14" s="143">
        <v>42.76</v>
      </c>
      <c r="D14" s="141">
        <v>40.729999999999997</v>
      </c>
      <c r="E14" s="187">
        <f>IF(D$30=0,C14*2,C14+D14)</f>
        <v>83.49</v>
      </c>
      <c r="F14" s="667">
        <f>'1461'!F14:G14</f>
        <v>1.1180000000000001</v>
      </c>
      <c r="G14" s="667"/>
      <c r="H14" s="145">
        <f>ROUND(E14*F14,4)</f>
        <v>93.341800000000006</v>
      </c>
      <c r="I14" s="111">
        <f>ROUND(ROUND(ROUND(H14*$C$8,4)*($H$8),2)*(MAX($H$9,1)),2)</f>
        <v>517905.48</v>
      </c>
      <c r="N14" s="641" t="s">
        <v>20</v>
      </c>
      <c r="O14" s="641"/>
      <c r="P14" s="642">
        <f t="shared" ref="P14:P29" si="0">IF($H$133=1,E14,0)</f>
        <v>0</v>
      </c>
      <c r="Q14" s="642"/>
      <c r="R14" s="657">
        <v>1</v>
      </c>
      <c r="S14" s="657"/>
      <c r="T14" s="95">
        <f>ROUND(P14*R14,4)</f>
        <v>0</v>
      </c>
      <c r="U14" s="473">
        <f>ROUND(ROUND(ROUND(T14*$C$8,4)*($H$8),2)*(MAX($H$9,1)),2)</f>
        <v>0</v>
      </c>
    </row>
    <row r="15" spans="1:21" x14ac:dyDescent="0.25">
      <c r="A15" s="578" t="s">
        <v>21</v>
      </c>
      <c r="B15" s="578"/>
      <c r="C15" s="143">
        <v>3.5</v>
      </c>
      <c r="D15" s="143">
        <v>3.5</v>
      </c>
      <c r="E15" s="116">
        <f t="shared" ref="E15:E29" si="1">IF(D$30=0,C15*2,C15+D15)</f>
        <v>7</v>
      </c>
      <c r="F15" s="663">
        <f>'1461'!F15:G15</f>
        <v>1.1180000000000001</v>
      </c>
      <c r="G15" s="663"/>
      <c r="H15" s="80">
        <f t="shared" ref="H15:H29" si="2">ROUND(E15*F15,4)</f>
        <v>7.8259999999999996</v>
      </c>
      <c r="I15" s="101">
        <f t="shared" ref="I15:I29" si="3">ROUND(ROUND(ROUND(H15*$C$8,4)*($H$8),2)*(MAX($H$9,1)),2)</f>
        <v>43422.44</v>
      </c>
      <c r="J15" s="65" t="str">
        <f>IF(ROUND(E15,2)=ROUND(SUM(E57:E59),2)," ","CHECK PK-3 LINES BELOW")</f>
        <v xml:space="preserve"> </v>
      </c>
      <c r="N15" s="601" t="s">
        <v>21</v>
      </c>
      <c r="O15" s="601"/>
      <c r="P15" s="642">
        <f t="shared" si="0"/>
        <v>0</v>
      </c>
      <c r="Q15" s="642"/>
      <c r="R15" s="647">
        <v>1</v>
      </c>
      <c r="S15" s="647"/>
      <c r="T15" s="95">
        <f t="shared" ref="T15:T29" si="4">ROUND(P15*R15,4)</f>
        <v>0</v>
      </c>
      <c r="U15" s="473">
        <f t="shared" ref="U15:U29" si="5">ROUND(ROUND(ROUND(T15*$C$8,4)*($H$8),2)*(MAX($H$9,1)),2)</f>
        <v>0</v>
      </c>
    </row>
    <row r="16" spans="1:21" x14ac:dyDescent="0.25">
      <c r="A16" s="578" t="s">
        <v>22</v>
      </c>
      <c r="B16" s="578"/>
      <c r="C16" s="143">
        <v>68.22</v>
      </c>
      <c r="D16" s="143">
        <v>74.16</v>
      </c>
      <c r="E16" s="116">
        <f t="shared" si="1"/>
        <v>142.38</v>
      </c>
      <c r="F16" s="663">
        <f>'1461'!F16:G16</f>
        <v>1</v>
      </c>
      <c r="G16" s="663"/>
      <c r="H16" s="80">
        <f t="shared" si="2"/>
        <v>142.38</v>
      </c>
      <c r="I16" s="101">
        <f t="shared" si="3"/>
        <v>789993.15</v>
      </c>
      <c r="N16" s="601" t="s">
        <v>22</v>
      </c>
      <c r="O16" s="601"/>
      <c r="P16" s="642">
        <f t="shared" si="0"/>
        <v>0</v>
      </c>
      <c r="Q16" s="642"/>
      <c r="R16" s="647">
        <v>1</v>
      </c>
      <c r="S16" s="647"/>
      <c r="T16" s="95">
        <f t="shared" si="4"/>
        <v>0</v>
      </c>
      <c r="U16" s="473">
        <f t="shared" si="5"/>
        <v>0</v>
      </c>
    </row>
    <row r="17" spans="1:21" x14ac:dyDescent="0.25">
      <c r="A17" s="578" t="s">
        <v>23</v>
      </c>
      <c r="B17" s="578"/>
      <c r="C17" s="143">
        <v>13</v>
      </c>
      <c r="D17" s="143">
        <v>11.5</v>
      </c>
      <c r="E17" s="116">
        <f t="shared" si="1"/>
        <v>24.5</v>
      </c>
      <c r="F17" s="663">
        <f>'1461'!F17:G17</f>
        <v>1</v>
      </c>
      <c r="G17" s="663"/>
      <c r="H17" s="80">
        <f t="shared" si="2"/>
        <v>24.5</v>
      </c>
      <c r="I17" s="101">
        <f t="shared" si="3"/>
        <v>135937.85999999999</v>
      </c>
      <c r="J17" s="65" t="str">
        <f>IF(ROUND(E17,2)=ROUND(SUM(E60:E62),2)," ","CHECK 4-8 LINES BELOW")</f>
        <v xml:space="preserve"> </v>
      </c>
      <c r="N17" s="601" t="s">
        <v>23</v>
      </c>
      <c r="O17" s="601"/>
      <c r="P17" s="642">
        <f t="shared" si="0"/>
        <v>0</v>
      </c>
      <c r="Q17" s="642"/>
      <c r="R17" s="647">
        <v>1</v>
      </c>
      <c r="S17" s="647"/>
      <c r="T17" s="95">
        <f t="shared" si="4"/>
        <v>0</v>
      </c>
      <c r="U17" s="473">
        <f t="shared" si="5"/>
        <v>0</v>
      </c>
    </row>
    <row r="18" spans="1:21" x14ac:dyDescent="0.25">
      <c r="A18" s="578" t="s">
        <v>24</v>
      </c>
      <c r="B18" s="578"/>
      <c r="C18" s="143">
        <v>0</v>
      </c>
      <c r="D18" s="143">
        <v>0</v>
      </c>
      <c r="E18" s="116">
        <f t="shared" si="1"/>
        <v>0</v>
      </c>
      <c r="F18" s="663">
        <f>'1461'!F18:G18</f>
        <v>0.97799999999999998</v>
      </c>
      <c r="G18" s="663"/>
      <c r="H18" s="80">
        <f t="shared" si="2"/>
        <v>0</v>
      </c>
      <c r="I18" s="101">
        <f t="shared" si="3"/>
        <v>0</v>
      </c>
      <c r="N18" s="601" t="s">
        <v>24</v>
      </c>
      <c r="O18" s="601"/>
      <c r="P18" s="642">
        <f t="shared" si="0"/>
        <v>0</v>
      </c>
      <c r="Q18" s="642"/>
      <c r="R18" s="647">
        <v>1</v>
      </c>
      <c r="S18" s="647"/>
      <c r="T18" s="95">
        <f t="shared" si="4"/>
        <v>0</v>
      </c>
      <c r="U18" s="473">
        <f t="shared" si="5"/>
        <v>0</v>
      </c>
    </row>
    <row r="19" spans="1:21" x14ac:dyDescent="0.25">
      <c r="A19" s="578" t="s">
        <v>25</v>
      </c>
      <c r="B19" s="578"/>
      <c r="C19" s="143">
        <v>0</v>
      </c>
      <c r="D19" s="143">
        <v>0</v>
      </c>
      <c r="E19" s="116">
        <f t="shared" si="1"/>
        <v>0</v>
      </c>
      <c r="F19" s="663">
        <f>'1461'!F19:G19</f>
        <v>0.97799999999999998</v>
      </c>
      <c r="G19" s="663"/>
      <c r="H19" s="80">
        <f t="shared" si="2"/>
        <v>0</v>
      </c>
      <c r="I19" s="101">
        <f t="shared" si="3"/>
        <v>0</v>
      </c>
      <c r="J19" s="65" t="str">
        <f>IF(ROUND(E19,2)=ROUND(SUM(E63:E65),2)," ","CHECK 4-8 LINES BELOW")</f>
        <v xml:space="preserve"> </v>
      </c>
      <c r="N19" s="601" t="s">
        <v>25</v>
      </c>
      <c r="O19" s="601"/>
      <c r="P19" s="642">
        <f t="shared" si="0"/>
        <v>0</v>
      </c>
      <c r="Q19" s="642"/>
      <c r="R19" s="647">
        <v>1</v>
      </c>
      <c r="S19" s="647"/>
      <c r="T19" s="95">
        <f t="shared" si="4"/>
        <v>0</v>
      </c>
      <c r="U19" s="472">
        <f t="shared" si="5"/>
        <v>0</v>
      </c>
    </row>
    <row r="20" spans="1:21" x14ac:dyDescent="0.25">
      <c r="A20" s="578" t="s">
        <v>79</v>
      </c>
      <c r="B20" s="578"/>
      <c r="C20" s="143">
        <v>0</v>
      </c>
      <c r="D20" s="143">
        <v>0</v>
      </c>
      <c r="E20" s="116">
        <f t="shared" si="1"/>
        <v>0</v>
      </c>
      <c r="F20" s="663">
        <f>'1461'!F20:G20</f>
        <v>3.6970000000000001</v>
      </c>
      <c r="G20" s="663"/>
      <c r="H20" s="80">
        <f t="shared" si="2"/>
        <v>0</v>
      </c>
      <c r="I20" s="101">
        <f t="shared" si="3"/>
        <v>0</v>
      </c>
      <c r="N20" s="601" t="s">
        <v>79</v>
      </c>
      <c r="O20" s="601"/>
      <c r="P20" s="642">
        <f t="shared" si="0"/>
        <v>0</v>
      </c>
      <c r="Q20" s="642"/>
      <c r="R20" s="647">
        <v>1</v>
      </c>
      <c r="S20" s="647"/>
      <c r="T20" s="95">
        <f t="shared" si="4"/>
        <v>0</v>
      </c>
      <c r="U20" s="473">
        <f t="shared" si="5"/>
        <v>0</v>
      </c>
    </row>
    <row r="21" spans="1:21" x14ac:dyDescent="0.25">
      <c r="A21" s="578" t="s">
        <v>80</v>
      </c>
      <c r="B21" s="578"/>
      <c r="C21" s="143">
        <v>0</v>
      </c>
      <c r="D21" s="143">
        <v>0</v>
      </c>
      <c r="E21" s="116">
        <f t="shared" si="1"/>
        <v>0</v>
      </c>
      <c r="F21" s="663">
        <f>'1461'!F21:G21</f>
        <v>3.6970000000000001</v>
      </c>
      <c r="G21" s="663"/>
      <c r="H21" s="80">
        <f t="shared" si="2"/>
        <v>0</v>
      </c>
      <c r="I21" s="101">
        <f t="shared" si="3"/>
        <v>0</v>
      </c>
      <c r="N21" s="601" t="s">
        <v>80</v>
      </c>
      <c r="O21" s="601"/>
      <c r="P21" s="642">
        <f t="shared" si="0"/>
        <v>0</v>
      </c>
      <c r="Q21" s="642"/>
      <c r="R21" s="647">
        <v>1</v>
      </c>
      <c r="S21" s="647"/>
      <c r="T21" s="95">
        <f t="shared" si="4"/>
        <v>0</v>
      </c>
      <c r="U21" s="473">
        <f t="shared" si="5"/>
        <v>0</v>
      </c>
    </row>
    <row r="22" spans="1:21" x14ac:dyDescent="0.25">
      <c r="A22" s="578" t="s">
        <v>81</v>
      </c>
      <c r="B22" s="578"/>
      <c r="C22" s="143">
        <v>0</v>
      </c>
      <c r="D22" s="143">
        <v>0</v>
      </c>
      <c r="E22" s="116">
        <f t="shared" si="1"/>
        <v>0</v>
      </c>
      <c r="F22" s="663">
        <f>'1461'!F22:G22</f>
        <v>3.6970000000000001</v>
      </c>
      <c r="G22" s="663"/>
      <c r="H22" s="80">
        <f t="shared" si="2"/>
        <v>0</v>
      </c>
      <c r="I22" s="101">
        <f t="shared" si="3"/>
        <v>0</v>
      </c>
      <c r="N22" s="601" t="s">
        <v>81</v>
      </c>
      <c r="O22" s="601"/>
      <c r="P22" s="642">
        <f t="shared" si="0"/>
        <v>0</v>
      </c>
      <c r="Q22" s="642"/>
      <c r="R22" s="647">
        <v>1</v>
      </c>
      <c r="S22" s="647"/>
      <c r="T22" s="95">
        <f t="shared" si="4"/>
        <v>0</v>
      </c>
      <c r="U22" s="473">
        <f t="shared" si="5"/>
        <v>0</v>
      </c>
    </row>
    <row r="23" spans="1:21" x14ac:dyDescent="0.25">
      <c r="A23" s="578" t="s">
        <v>82</v>
      </c>
      <c r="B23" s="578"/>
      <c r="C23" s="143">
        <v>0</v>
      </c>
      <c r="D23" s="143">
        <v>0</v>
      </c>
      <c r="E23" s="116">
        <f t="shared" si="1"/>
        <v>0</v>
      </c>
      <c r="F23" s="663">
        <f>'1461'!F23:G23</f>
        <v>5.992</v>
      </c>
      <c r="G23" s="663"/>
      <c r="H23" s="80">
        <f t="shared" si="2"/>
        <v>0</v>
      </c>
      <c r="I23" s="101">
        <f t="shared" si="3"/>
        <v>0</v>
      </c>
      <c r="N23" s="601" t="s">
        <v>82</v>
      </c>
      <c r="O23" s="601"/>
      <c r="P23" s="642">
        <f t="shared" si="0"/>
        <v>0</v>
      </c>
      <c r="Q23" s="642"/>
      <c r="R23" s="647">
        <v>1</v>
      </c>
      <c r="S23" s="647"/>
      <c r="T23" s="95">
        <f t="shared" si="4"/>
        <v>0</v>
      </c>
      <c r="U23" s="473">
        <f t="shared" si="5"/>
        <v>0</v>
      </c>
    </row>
    <row r="24" spans="1:21" x14ac:dyDescent="0.25">
      <c r="A24" s="578" t="s">
        <v>83</v>
      </c>
      <c r="B24" s="578"/>
      <c r="C24" s="143">
        <v>0</v>
      </c>
      <c r="D24" s="143">
        <v>0</v>
      </c>
      <c r="E24" s="116">
        <f t="shared" si="1"/>
        <v>0</v>
      </c>
      <c r="F24" s="663">
        <f>'1461'!F24:G24</f>
        <v>5.992</v>
      </c>
      <c r="G24" s="663"/>
      <c r="H24" s="80">
        <f t="shared" si="2"/>
        <v>0</v>
      </c>
      <c r="I24" s="101">
        <f t="shared" si="3"/>
        <v>0</v>
      </c>
      <c r="N24" s="601" t="s">
        <v>83</v>
      </c>
      <c r="O24" s="601"/>
      <c r="P24" s="642">
        <f t="shared" si="0"/>
        <v>0</v>
      </c>
      <c r="Q24" s="642"/>
      <c r="R24" s="647">
        <v>1</v>
      </c>
      <c r="S24" s="647"/>
      <c r="T24" s="95">
        <f t="shared" si="4"/>
        <v>0</v>
      </c>
      <c r="U24" s="473">
        <f t="shared" si="5"/>
        <v>0</v>
      </c>
    </row>
    <row r="25" spans="1:21" x14ac:dyDescent="0.25">
      <c r="A25" s="578" t="s">
        <v>84</v>
      </c>
      <c r="B25" s="578"/>
      <c r="C25" s="143">
        <v>0</v>
      </c>
      <c r="D25" s="143">
        <v>0</v>
      </c>
      <c r="E25" s="116">
        <f t="shared" si="1"/>
        <v>0</v>
      </c>
      <c r="F25" s="663">
        <f>'1461'!F25:G25</f>
        <v>5.992</v>
      </c>
      <c r="G25" s="663"/>
      <c r="H25" s="80">
        <f t="shared" si="2"/>
        <v>0</v>
      </c>
      <c r="I25" s="101">
        <f t="shared" si="3"/>
        <v>0</v>
      </c>
      <c r="N25" s="601" t="s">
        <v>84</v>
      </c>
      <c r="O25" s="601"/>
      <c r="P25" s="642">
        <f t="shared" si="0"/>
        <v>0</v>
      </c>
      <c r="Q25" s="642"/>
      <c r="R25" s="647">
        <v>1</v>
      </c>
      <c r="S25" s="647"/>
      <c r="T25" s="95">
        <f t="shared" si="4"/>
        <v>0</v>
      </c>
      <c r="U25" s="473">
        <f t="shared" si="5"/>
        <v>0</v>
      </c>
    </row>
    <row r="26" spans="1:21" x14ac:dyDescent="0.25">
      <c r="A26" s="578" t="s">
        <v>85</v>
      </c>
      <c r="B26" s="578"/>
      <c r="C26" s="143">
        <v>7.24</v>
      </c>
      <c r="D26" s="143">
        <v>6.81</v>
      </c>
      <c r="E26" s="116">
        <f t="shared" si="1"/>
        <v>14.05</v>
      </c>
      <c r="F26" s="663">
        <f>'1461'!F26:G26</f>
        <v>1.1919999999999999</v>
      </c>
      <c r="G26" s="663"/>
      <c r="H26" s="80">
        <f t="shared" si="2"/>
        <v>16.747599999999998</v>
      </c>
      <c r="I26" s="101">
        <f t="shared" si="3"/>
        <v>92923.79</v>
      </c>
      <c r="N26" s="601" t="s">
        <v>85</v>
      </c>
      <c r="O26" s="601"/>
      <c r="P26" s="642">
        <f t="shared" si="0"/>
        <v>0</v>
      </c>
      <c r="Q26" s="642"/>
      <c r="R26" s="647">
        <v>1</v>
      </c>
      <c r="S26" s="647"/>
      <c r="T26" s="95">
        <f t="shared" si="4"/>
        <v>0</v>
      </c>
      <c r="U26" s="473">
        <f t="shared" si="5"/>
        <v>0</v>
      </c>
    </row>
    <row r="27" spans="1:21" x14ac:dyDescent="0.25">
      <c r="A27" s="578" t="s">
        <v>86</v>
      </c>
      <c r="B27" s="578"/>
      <c r="C27" s="143">
        <v>3.29</v>
      </c>
      <c r="D27" s="143">
        <v>3.29</v>
      </c>
      <c r="E27" s="116">
        <f t="shared" si="1"/>
        <v>6.58</v>
      </c>
      <c r="F27" s="663">
        <f>'1461'!F27:G27</f>
        <v>1.1919999999999999</v>
      </c>
      <c r="G27" s="663"/>
      <c r="H27" s="80">
        <f t="shared" si="2"/>
        <v>7.8433999999999999</v>
      </c>
      <c r="I27" s="101">
        <f t="shared" si="3"/>
        <v>43518.98</v>
      </c>
      <c r="N27" s="601" t="s">
        <v>86</v>
      </c>
      <c r="O27" s="601"/>
      <c r="P27" s="642">
        <f t="shared" si="0"/>
        <v>0</v>
      </c>
      <c r="Q27" s="642"/>
      <c r="R27" s="647">
        <v>1</v>
      </c>
      <c r="S27" s="647"/>
      <c r="T27" s="95">
        <f t="shared" si="4"/>
        <v>0</v>
      </c>
      <c r="U27" s="473">
        <f t="shared" si="5"/>
        <v>0</v>
      </c>
    </row>
    <row r="28" spans="1:21" x14ac:dyDescent="0.25">
      <c r="A28" s="578" t="s">
        <v>87</v>
      </c>
      <c r="B28" s="578"/>
      <c r="C28" s="143">
        <v>0</v>
      </c>
      <c r="D28" s="143">
        <v>0</v>
      </c>
      <c r="E28" s="116">
        <f t="shared" si="1"/>
        <v>0</v>
      </c>
      <c r="F28" s="663">
        <f>'1461'!F28:G28</f>
        <v>1.1919999999999999</v>
      </c>
      <c r="G28" s="663"/>
      <c r="H28" s="80">
        <f t="shared" si="2"/>
        <v>0</v>
      </c>
      <c r="I28" s="101">
        <f t="shared" si="3"/>
        <v>0</v>
      </c>
      <c r="N28" s="601" t="s">
        <v>87</v>
      </c>
      <c r="O28" s="601"/>
      <c r="P28" s="642">
        <f t="shared" si="0"/>
        <v>0</v>
      </c>
      <c r="Q28" s="642"/>
      <c r="R28" s="647">
        <v>1</v>
      </c>
      <c r="S28" s="647"/>
      <c r="T28" s="95">
        <f t="shared" si="4"/>
        <v>0</v>
      </c>
      <c r="U28" s="473">
        <f t="shared" si="5"/>
        <v>0</v>
      </c>
    </row>
    <row r="29" spans="1:21" x14ac:dyDescent="0.25">
      <c r="A29" s="578" t="s">
        <v>88</v>
      </c>
      <c r="B29" s="578"/>
      <c r="C29" s="110">
        <v>0</v>
      </c>
      <c r="D29" s="110">
        <v>0</v>
      </c>
      <c r="E29" s="154">
        <f t="shared" si="1"/>
        <v>0</v>
      </c>
      <c r="F29" s="663">
        <f>'1461'!F29:G29</f>
        <v>1.079</v>
      </c>
      <c r="G29" s="663"/>
      <c r="H29" s="93">
        <f t="shared" si="2"/>
        <v>0</v>
      </c>
      <c r="I29" s="94">
        <f t="shared" si="3"/>
        <v>0</v>
      </c>
      <c r="N29" s="616" t="s">
        <v>88</v>
      </c>
      <c r="O29" s="616"/>
      <c r="P29" s="642">
        <f t="shared" si="0"/>
        <v>0</v>
      </c>
      <c r="Q29" s="642"/>
      <c r="R29" s="643">
        <v>1</v>
      </c>
      <c r="S29" s="643"/>
      <c r="T29" s="95">
        <f t="shared" si="4"/>
        <v>0</v>
      </c>
      <c r="U29" s="473">
        <f t="shared" si="5"/>
        <v>0</v>
      </c>
    </row>
    <row r="30" spans="1:21" x14ac:dyDescent="0.25">
      <c r="A30" s="590" t="s">
        <v>5</v>
      </c>
      <c r="B30" s="590"/>
      <c r="C30" s="94">
        <f>SUM(C14:C29)</f>
        <v>138.01</v>
      </c>
      <c r="D30" s="94">
        <f>SUM(D14:D29)</f>
        <v>139.98999999999998</v>
      </c>
      <c r="E30" s="94">
        <f>SUM(E14:E29)</f>
        <v>278</v>
      </c>
      <c r="F30" s="582"/>
      <c r="G30" s="582"/>
      <c r="H30" s="99">
        <f>SUM(H14:H29)</f>
        <v>292.63879999999995</v>
      </c>
      <c r="I30" s="94">
        <f>SUM(I14:I29)</f>
        <v>1623701.6999999997</v>
      </c>
      <c r="N30" s="644" t="s">
        <v>5</v>
      </c>
      <c r="O30" s="644"/>
      <c r="P30" s="645">
        <f>SUM(P14:P29)</f>
        <v>0</v>
      </c>
      <c r="Q30" s="645"/>
      <c r="R30" s="617"/>
      <c r="S30" s="617"/>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0" t="s">
        <v>233</v>
      </c>
      <c r="G34" s="670"/>
      <c r="H34" s="670"/>
      <c r="I34" s="101"/>
      <c r="N34" s="28"/>
      <c r="O34" s="28"/>
      <c r="P34" s="29"/>
      <c r="Q34" s="29"/>
      <c r="R34" s="30"/>
      <c r="S34" s="30"/>
      <c r="T34" s="102"/>
      <c r="U34" s="103"/>
    </row>
    <row r="35" spans="1:21" hidden="1" x14ac:dyDescent="0.25">
      <c r="A35" s="3"/>
      <c r="B35" s="69"/>
      <c r="C35" s="69"/>
      <c r="D35" s="69"/>
      <c r="E35" s="69"/>
      <c r="F35" s="670"/>
      <c r="G35" s="670"/>
      <c r="H35" s="670"/>
      <c r="I35" s="24" t="s">
        <v>61</v>
      </c>
      <c r="N35" s="627" t="s">
        <v>26</v>
      </c>
      <c r="O35" s="627"/>
      <c r="P35" s="627"/>
      <c r="Q35" s="627"/>
      <c r="R35" s="627"/>
      <c r="S35" s="627"/>
      <c r="T35" s="627"/>
      <c r="U35" s="25" t="str">
        <f>I35</f>
        <v>2015-16</v>
      </c>
    </row>
    <row r="36" spans="1:21" hidden="1" x14ac:dyDescent="0.25">
      <c r="A36" s="26"/>
      <c r="B36" s="26"/>
      <c r="C36" s="88" t="s">
        <v>93</v>
      </c>
      <c r="D36" s="88" t="s">
        <v>94</v>
      </c>
      <c r="E36" s="89" t="s">
        <v>8</v>
      </c>
      <c r="F36" s="670"/>
      <c r="G36" s="670"/>
      <c r="H36" s="670"/>
      <c r="I36" s="24" t="s">
        <v>27</v>
      </c>
      <c r="N36" s="28"/>
      <c r="O36" s="28"/>
      <c r="P36" s="29"/>
      <c r="Q36" s="29"/>
      <c r="R36" s="30"/>
      <c r="S36" s="30"/>
      <c r="T36" s="102"/>
      <c r="U36" s="25" t="s">
        <v>27</v>
      </c>
    </row>
    <row r="37" spans="1:21" ht="26.25" hidden="1" x14ac:dyDescent="0.25">
      <c r="A37" s="572" t="s">
        <v>50</v>
      </c>
      <c r="B37" s="572"/>
      <c r="C37" s="90" t="s">
        <v>2</v>
      </c>
      <c r="D37" s="90" t="s">
        <v>2</v>
      </c>
      <c r="E37" s="90" t="s">
        <v>2</v>
      </c>
      <c r="F37" s="671"/>
      <c r="G37" s="671"/>
      <c r="H37" s="671"/>
      <c r="I37" s="31" t="s">
        <v>395</v>
      </c>
      <c r="N37" s="639" t="s">
        <v>50</v>
      </c>
      <c r="O37" s="639"/>
      <c r="P37" s="640" t="s">
        <v>19</v>
      </c>
      <c r="Q37" s="640"/>
      <c r="R37" s="640"/>
      <c r="S37" s="640"/>
      <c r="T37" s="640"/>
      <c r="U37" s="19" t="str">
        <f>I37</f>
        <v>(WFTE x BSA x CWF x SDF)</v>
      </c>
    </row>
    <row r="38" spans="1:21" hidden="1" x14ac:dyDescent="0.25">
      <c r="A38" s="576" t="s">
        <v>45</v>
      </c>
      <c r="B38" s="576"/>
      <c r="C38" s="147">
        <v>0</v>
      </c>
      <c r="D38" s="147">
        <v>0</v>
      </c>
      <c r="E38" s="142">
        <f t="shared" ref="E38:E43" si="6">IF(D$44=0,C38*2,C38+D38)</f>
        <v>0</v>
      </c>
      <c r="F38" s="148"/>
      <c r="G38" s="148"/>
      <c r="H38" s="148"/>
      <c r="I38" s="111">
        <f>ROUND(ROUND(ROUND(E38*$C$8,4)*($H$8),2)*(MAX($H$9,1)),2)</f>
        <v>0</v>
      </c>
      <c r="N38" s="641" t="s">
        <v>45</v>
      </c>
      <c r="O38" s="641"/>
      <c r="P38" s="608">
        <f t="shared" ref="P38:P43" si="7">IF($H$133=1,E38,0)</f>
        <v>0</v>
      </c>
      <c r="Q38" s="608"/>
      <c r="R38" s="608"/>
      <c r="S38" s="608"/>
      <c r="T38" s="608"/>
      <c r="U38" s="98">
        <f>ROUND(ROUND(ROUND(P38*$C$8,4)*($H$8),2)*(MAX($H$9,1)),2)</f>
        <v>0</v>
      </c>
    </row>
    <row r="39" spans="1:21" hidden="1" x14ac:dyDescent="0.25">
      <c r="A39" s="578" t="s">
        <v>46</v>
      </c>
      <c r="B39" s="578"/>
      <c r="C39" s="150">
        <v>0</v>
      </c>
      <c r="D39" s="150">
        <v>0</v>
      </c>
      <c r="E39" s="144">
        <f t="shared" si="6"/>
        <v>0</v>
      </c>
      <c r="F39" s="151"/>
      <c r="G39" s="151"/>
      <c r="H39" s="151"/>
      <c r="I39" s="101">
        <f t="shared" ref="I39:I43" si="8">ROUND(ROUND(ROUND(E39*$C$8,4)*($H$8),2)*(MAX($H$9,1)),2)</f>
        <v>0</v>
      </c>
      <c r="N39" s="601" t="s">
        <v>46</v>
      </c>
      <c r="O39" s="601"/>
      <c r="P39" s="608">
        <f t="shared" si="7"/>
        <v>0</v>
      </c>
      <c r="Q39" s="608"/>
      <c r="R39" s="608"/>
      <c r="S39" s="608"/>
      <c r="T39" s="608"/>
      <c r="U39" s="98">
        <f t="shared" ref="U39:U43" si="9">ROUND(ROUND(ROUND(P39*$C$8,4)*($H$8),2)*(MAX($H$9,1)),2)</f>
        <v>0</v>
      </c>
    </row>
    <row r="40" spans="1:21" hidden="1" x14ac:dyDescent="0.25">
      <c r="A40" s="583" t="s">
        <v>47</v>
      </c>
      <c r="B40" s="583"/>
      <c r="C40" s="150">
        <v>0</v>
      </c>
      <c r="D40" s="150">
        <v>0</v>
      </c>
      <c r="E40" s="144">
        <f t="shared" si="6"/>
        <v>0</v>
      </c>
      <c r="F40" s="151"/>
      <c r="G40" s="151"/>
      <c r="H40" s="151"/>
      <c r="I40" s="101">
        <f t="shared" si="8"/>
        <v>0</v>
      </c>
      <c r="N40" s="646" t="s">
        <v>47</v>
      </c>
      <c r="O40" s="646"/>
      <c r="P40" s="608">
        <f t="shared" si="7"/>
        <v>0</v>
      </c>
      <c r="Q40" s="608"/>
      <c r="R40" s="608"/>
      <c r="S40" s="608"/>
      <c r="T40" s="608"/>
      <c r="U40" s="98">
        <f t="shared" si="9"/>
        <v>0</v>
      </c>
    </row>
    <row r="41" spans="1:21" hidden="1" x14ac:dyDescent="0.25">
      <c r="A41" s="578" t="s">
        <v>48</v>
      </c>
      <c r="B41" s="578"/>
      <c r="C41" s="150">
        <v>0</v>
      </c>
      <c r="D41" s="150">
        <v>0</v>
      </c>
      <c r="E41" s="144">
        <f t="shared" si="6"/>
        <v>0</v>
      </c>
      <c r="F41" s="151"/>
      <c r="G41" s="151"/>
      <c r="H41" s="151"/>
      <c r="I41" s="101">
        <f t="shared" si="8"/>
        <v>0</v>
      </c>
      <c r="N41" s="601" t="s">
        <v>48</v>
      </c>
      <c r="O41" s="601"/>
      <c r="P41" s="608">
        <f t="shared" si="7"/>
        <v>0</v>
      </c>
      <c r="Q41" s="608"/>
      <c r="R41" s="608"/>
      <c r="S41" s="608"/>
      <c r="T41" s="608"/>
      <c r="U41" s="98">
        <f t="shared" si="9"/>
        <v>0</v>
      </c>
    </row>
    <row r="42" spans="1:21" hidden="1" x14ac:dyDescent="0.25">
      <c r="A42" s="578" t="s">
        <v>49</v>
      </c>
      <c r="B42" s="578"/>
      <c r="C42" s="150">
        <v>0</v>
      </c>
      <c r="D42" s="150">
        <v>0</v>
      </c>
      <c r="E42" s="144">
        <f t="shared" si="6"/>
        <v>0</v>
      </c>
      <c r="F42" s="151"/>
      <c r="G42" s="151"/>
      <c r="H42" s="151"/>
      <c r="I42" s="101">
        <f t="shared" si="8"/>
        <v>0</v>
      </c>
      <c r="N42" s="601" t="s">
        <v>49</v>
      </c>
      <c r="O42" s="601"/>
      <c r="P42" s="608">
        <f t="shared" si="7"/>
        <v>0</v>
      </c>
      <c r="Q42" s="608"/>
      <c r="R42" s="608"/>
      <c r="S42" s="608"/>
      <c r="T42" s="608"/>
      <c r="U42" s="98">
        <f t="shared" si="9"/>
        <v>0</v>
      </c>
    </row>
    <row r="43" spans="1:21" hidden="1" x14ac:dyDescent="0.25">
      <c r="A43" s="578" t="s">
        <v>41</v>
      </c>
      <c r="B43" s="578"/>
      <c r="C43" s="149">
        <v>0</v>
      </c>
      <c r="D43" s="149">
        <v>0</v>
      </c>
      <c r="E43" s="136">
        <f t="shared" si="6"/>
        <v>0</v>
      </c>
      <c r="F43" s="151"/>
      <c r="G43" s="151"/>
      <c r="H43" s="151"/>
      <c r="I43" s="94">
        <f t="shared" si="8"/>
        <v>0</v>
      </c>
      <c r="N43" s="616" t="s">
        <v>41</v>
      </c>
      <c r="O43" s="616"/>
      <c r="P43" s="608">
        <f t="shared" si="7"/>
        <v>0</v>
      </c>
      <c r="Q43" s="608"/>
      <c r="R43" s="608"/>
      <c r="S43" s="608"/>
      <c r="T43" s="60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3" t="s">
        <v>43</v>
      </c>
      <c r="O44" s="603"/>
      <c r="P44" s="603"/>
      <c r="Q44" s="603"/>
      <c r="R44" s="33">
        <f>SUM(P38:R43)</f>
        <v>0</v>
      </c>
      <c r="S44" s="617" t="s">
        <v>51</v>
      </c>
      <c r="T44" s="617"/>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292.63879999999995</v>
      </c>
      <c r="F46" s="34"/>
      <c r="G46" s="106"/>
      <c r="H46" s="107" t="s">
        <v>98</v>
      </c>
      <c r="I46" s="94">
        <f>SUM(I44,I30)</f>
        <v>1623701.6999999997</v>
      </c>
      <c r="N46" s="603" t="s">
        <v>44</v>
      </c>
      <c r="O46" s="603"/>
      <c r="P46" s="603"/>
      <c r="Q46" s="603"/>
      <c r="R46" s="35">
        <f>R44+T30</f>
        <v>0</v>
      </c>
      <c r="S46" s="617" t="s">
        <v>42</v>
      </c>
      <c r="T46" s="617"/>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396</v>
      </c>
      <c r="B48" s="26"/>
      <c r="C48" s="26"/>
      <c r="D48" s="26"/>
      <c r="E48" s="26"/>
      <c r="F48" s="34"/>
      <c r="G48" s="27"/>
      <c r="H48" s="27"/>
      <c r="I48" s="101"/>
      <c r="N48" s="383" t="s">
        <v>396</v>
      </c>
      <c r="O48" s="28"/>
      <c r="P48" s="28"/>
      <c r="Q48" s="28"/>
      <c r="R48" s="35"/>
      <c r="S48" s="30"/>
      <c r="T48" s="30"/>
      <c r="U48" s="402"/>
    </row>
    <row r="49" spans="1:22" s="391" customFormat="1" ht="9" customHeight="1" x14ac:dyDescent="0.2">
      <c r="A49" s="481" t="s">
        <v>397</v>
      </c>
      <c r="F49" s="392"/>
      <c r="G49" s="393"/>
      <c r="H49" s="393"/>
      <c r="I49" s="394"/>
      <c r="N49" s="403" t="s">
        <v>397</v>
      </c>
      <c r="O49" s="395"/>
      <c r="P49" s="395"/>
      <c r="Q49" s="395"/>
      <c r="R49" s="396"/>
      <c r="S49" s="397"/>
      <c r="T49" s="397"/>
      <c r="U49" s="404"/>
    </row>
    <row r="50" spans="1:22" s="391" customFormat="1" ht="11.25" customHeight="1" x14ac:dyDescent="0.2">
      <c r="A50" s="483" t="s">
        <v>398</v>
      </c>
      <c r="F50" s="392"/>
      <c r="G50" s="393"/>
      <c r="H50" s="393"/>
      <c r="I50" s="394"/>
      <c r="N50" s="405" t="s">
        <v>398</v>
      </c>
      <c r="O50" s="395"/>
      <c r="P50" s="395"/>
      <c r="Q50" s="395"/>
      <c r="R50" s="396"/>
      <c r="S50" s="397"/>
      <c r="T50" s="397"/>
      <c r="U50" s="404"/>
    </row>
    <row r="51" spans="1:22" x14ac:dyDescent="0.25">
      <c r="A51" s="389"/>
      <c r="B51" s="399" t="s">
        <v>399</v>
      </c>
      <c r="C51" s="26"/>
      <c r="D51" s="26"/>
      <c r="E51" s="43" t="s">
        <v>400</v>
      </c>
      <c r="F51" s="400">
        <f>I46</f>
        <v>1623701.6999999997</v>
      </c>
      <c r="G51" s="109" t="s">
        <v>6</v>
      </c>
      <c r="H51" s="401">
        <v>4.5199999999999997E-2</v>
      </c>
      <c r="I51" s="101">
        <f>ROUND(F51*H51,2)</f>
        <v>73391.320000000007</v>
      </c>
      <c r="N51" s="406"/>
      <c r="O51" s="407" t="s">
        <v>399</v>
      </c>
      <c r="P51" s="28"/>
      <c r="Q51" s="44" t="s">
        <v>400</v>
      </c>
      <c r="R51" s="408">
        <f>U30</f>
        <v>0</v>
      </c>
      <c r="S51" s="409" t="s">
        <v>6</v>
      </c>
      <c r="T51" s="410">
        <v>4.5199999999999997E-2</v>
      </c>
      <c r="U51" s="402">
        <f>ROUND(R51*T51,2)</f>
        <v>0</v>
      </c>
    </row>
    <row r="52" spans="1:22" x14ac:dyDescent="0.25">
      <c r="A52" s="26"/>
      <c r="B52" s="81" t="s">
        <v>401</v>
      </c>
      <c r="C52" s="26"/>
      <c r="D52" s="26"/>
      <c r="E52" s="43" t="s">
        <v>400</v>
      </c>
      <c r="F52" s="400">
        <f>I46</f>
        <v>1623701.6999999997</v>
      </c>
      <c r="G52" s="109" t="s">
        <v>6</v>
      </c>
      <c r="H52" s="401">
        <v>1.41E-2</v>
      </c>
      <c r="I52" s="101">
        <f>ROUND(F52*H52,2)</f>
        <v>22894.19</v>
      </c>
      <c r="N52" s="28"/>
      <c r="O52" s="383" t="s">
        <v>401</v>
      </c>
      <c r="P52" s="28"/>
      <c r="Q52" s="44" t="s">
        <v>400</v>
      </c>
      <c r="R52" s="408">
        <f>U30</f>
        <v>0</v>
      </c>
      <c r="S52" s="409" t="s">
        <v>6</v>
      </c>
      <c r="T52" s="410">
        <v>1.41E-2</v>
      </c>
      <c r="U52" s="411">
        <f>ROUND(R52*T52,2)</f>
        <v>0</v>
      </c>
    </row>
    <row r="53" spans="1:22" x14ac:dyDescent="0.25">
      <c r="A53" s="26"/>
      <c r="B53" s="81" t="s">
        <v>402</v>
      </c>
      <c r="C53" s="26"/>
      <c r="D53" s="26"/>
      <c r="E53" s="43"/>
      <c r="F53" s="400"/>
      <c r="G53" s="109"/>
      <c r="H53" s="401"/>
      <c r="I53" s="97">
        <f>SUM(I51:I52)</f>
        <v>96285.510000000009</v>
      </c>
      <c r="N53" s="28"/>
      <c r="O53" s="383" t="s">
        <v>402</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440</v>
      </c>
      <c r="G55" s="109" t="s">
        <v>441</v>
      </c>
      <c r="H55" s="454" t="s">
        <v>442</v>
      </c>
      <c r="I55" s="101"/>
      <c r="N55" s="448"/>
      <c r="O55" s="448"/>
      <c r="P55" s="464"/>
      <c r="Q55" s="465"/>
      <c r="R55" s="466"/>
      <c r="S55" s="468" t="s">
        <v>441</v>
      </c>
      <c r="T55" s="469" t="s">
        <v>442</v>
      </c>
      <c r="U55" s="467"/>
      <c r="V55" s="424"/>
    </row>
    <row r="56" spans="1:22" x14ac:dyDescent="0.25">
      <c r="A56" s="36" t="s">
        <v>443</v>
      </c>
      <c r="B56" s="36"/>
      <c r="C56" s="324" t="str">
        <f>'1461'!C56</f>
        <v>FTE</v>
      </c>
      <c r="D56" s="324" t="str">
        <f>'1461'!D56</f>
        <v>FTE</v>
      </c>
      <c r="E56" s="90" t="s">
        <v>2</v>
      </c>
      <c r="F56" s="439" t="s">
        <v>444</v>
      </c>
      <c r="G56" s="441" t="s">
        <v>444</v>
      </c>
      <c r="H56" s="455" t="s">
        <v>445</v>
      </c>
      <c r="I56" s="36"/>
      <c r="N56" s="459" t="s">
        <v>443</v>
      </c>
      <c r="O56" s="459"/>
      <c r="P56" s="620" t="s">
        <v>2</v>
      </c>
      <c r="Q56" s="620"/>
      <c r="R56" s="459" t="s">
        <v>449</v>
      </c>
      <c r="S56" s="450" t="s">
        <v>444</v>
      </c>
      <c r="T56" s="470" t="s">
        <v>445</v>
      </c>
      <c r="U56" s="459"/>
      <c r="V56" s="458"/>
    </row>
    <row r="57" spans="1:22" x14ac:dyDescent="0.25">
      <c r="A57" s="588" t="s">
        <v>447</v>
      </c>
      <c r="B57" s="588"/>
      <c r="C57" s="143">
        <v>1.5</v>
      </c>
      <c r="D57" s="143">
        <v>1.48</v>
      </c>
      <c r="E57" s="116">
        <f t="shared" ref="E57:E65" si="10">IF(D$66=0,C57*2,C57+D57)</f>
        <v>2.98</v>
      </c>
      <c r="F57" s="443" t="s">
        <v>439</v>
      </c>
      <c r="G57" s="443">
        <v>251</v>
      </c>
      <c r="H57" s="457">
        <f>'1461'!H57</f>
        <v>1047</v>
      </c>
      <c r="I57" s="101">
        <f>ROUND(E57*H57,2)</f>
        <v>3120.06</v>
      </c>
      <c r="N57" s="618" t="s">
        <v>447</v>
      </c>
      <c r="O57" s="618"/>
      <c r="P57" s="621"/>
      <c r="Q57" s="621"/>
      <c r="R57" s="449" t="s">
        <v>439</v>
      </c>
      <c r="S57" s="449">
        <v>251</v>
      </c>
      <c r="T57" s="460">
        <f>H57</f>
        <v>1047</v>
      </c>
      <c r="U57" s="474">
        <f>ROUND(P57*T57,2)</f>
        <v>0</v>
      </c>
      <c r="V57" s="424"/>
    </row>
    <row r="58" spans="1:22" x14ac:dyDescent="0.25">
      <c r="A58" s="589"/>
      <c r="B58" s="589"/>
      <c r="C58" s="143">
        <v>2</v>
      </c>
      <c r="D58" s="143">
        <v>2.02</v>
      </c>
      <c r="E58" s="116">
        <f t="shared" si="10"/>
        <v>4.0199999999999996</v>
      </c>
      <c r="F58" s="443" t="s">
        <v>439</v>
      </c>
      <c r="G58" s="443">
        <v>252</v>
      </c>
      <c r="H58" s="457">
        <f>'1461'!H58</f>
        <v>3380</v>
      </c>
      <c r="I58" s="101">
        <f t="shared" ref="I58:I65" si="11">ROUND(E58*H58,2)</f>
        <v>13587.6</v>
      </c>
      <c r="N58" s="619"/>
      <c r="O58" s="619"/>
      <c r="P58" s="622"/>
      <c r="Q58" s="622"/>
      <c r="R58" s="449" t="s">
        <v>439</v>
      </c>
      <c r="S58" s="449">
        <v>252</v>
      </c>
      <c r="T58" s="460">
        <f t="shared" ref="T58:T65" si="12">H58</f>
        <v>3380</v>
      </c>
      <c r="U58" s="474">
        <f t="shared" ref="U58:U65" si="13">ROUND(P58*T58,2)</f>
        <v>0</v>
      </c>
      <c r="V58" s="424"/>
    </row>
    <row r="59" spans="1:22" x14ac:dyDescent="0.25">
      <c r="A59" s="589"/>
      <c r="B59" s="589"/>
      <c r="C59" s="143">
        <v>0</v>
      </c>
      <c r="D59" s="143">
        <v>0</v>
      </c>
      <c r="E59" s="116">
        <f t="shared" si="10"/>
        <v>0</v>
      </c>
      <c r="F59" s="443" t="s">
        <v>439</v>
      </c>
      <c r="G59" s="443">
        <v>253</v>
      </c>
      <c r="H59" s="457">
        <f>'1461'!H59</f>
        <v>6896</v>
      </c>
      <c r="I59" s="101">
        <f t="shared" si="11"/>
        <v>0</v>
      </c>
      <c r="N59" s="619"/>
      <c r="O59" s="619"/>
      <c r="P59" s="622"/>
      <c r="Q59" s="622"/>
      <c r="R59" s="449" t="s">
        <v>439</v>
      </c>
      <c r="S59" s="449">
        <v>253</v>
      </c>
      <c r="T59" s="460">
        <f t="shared" si="12"/>
        <v>6896</v>
      </c>
      <c r="U59" s="474">
        <f t="shared" si="13"/>
        <v>0</v>
      </c>
      <c r="V59" s="424"/>
    </row>
    <row r="60" spans="1:22" x14ac:dyDescent="0.25">
      <c r="A60" s="589"/>
      <c r="B60" s="589"/>
      <c r="C60" s="143">
        <v>12.5</v>
      </c>
      <c r="D60" s="143">
        <v>10.59</v>
      </c>
      <c r="E60" s="116">
        <f t="shared" si="10"/>
        <v>23.09</v>
      </c>
      <c r="F60" s="444" t="s">
        <v>13</v>
      </c>
      <c r="G60" s="443">
        <v>251</v>
      </c>
      <c r="H60" s="457">
        <f>'1461'!H60</f>
        <v>1173</v>
      </c>
      <c r="I60" s="101">
        <f t="shared" si="11"/>
        <v>27084.57</v>
      </c>
      <c r="N60" s="619"/>
      <c r="O60" s="619"/>
      <c r="P60" s="622"/>
      <c r="Q60" s="622"/>
      <c r="R60" s="40" t="s">
        <v>13</v>
      </c>
      <c r="S60" s="449">
        <v>251</v>
      </c>
      <c r="T60" s="460">
        <f t="shared" si="12"/>
        <v>1173</v>
      </c>
      <c r="U60" s="474">
        <f t="shared" si="13"/>
        <v>0</v>
      </c>
      <c r="V60" s="424"/>
    </row>
    <row r="61" spans="1:22" x14ac:dyDescent="0.25">
      <c r="A61" s="589"/>
      <c r="B61" s="589"/>
      <c r="C61" s="143">
        <v>0.5</v>
      </c>
      <c r="D61" s="143">
        <v>0.91</v>
      </c>
      <c r="E61" s="116">
        <f t="shared" si="10"/>
        <v>1.4100000000000001</v>
      </c>
      <c r="F61" s="444" t="s">
        <v>13</v>
      </c>
      <c r="G61" s="443">
        <v>252</v>
      </c>
      <c r="H61" s="457">
        <f>'1461'!H61</f>
        <v>3506</v>
      </c>
      <c r="I61" s="101">
        <f t="shared" si="11"/>
        <v>4943.46</v>
      </c>
      <c r="N61" s="619"/>
      <c r="O61" s="619"/>
      <c r="P61" s="622"/>
      <c r="Q61" s="622"/>
      <c r="R61" s="40" t="s">
        <v>13</v>
      </c>
      <c r="S61" s="449">
        <v>252</v>
      </c>
      <c r="T61" s="460">
        <f t="shared" si="12"/>
        <v>3506</v>
      </c>
      <c r="U61" s="474">
        <f t="shared" si="13"/>
        <v>0</v>
      </c>
      <c r="V61" s="424"/>
    </row>
    <row r="62" spans="1:22" x14ac:dyDescent="0.25">
      <c r="A62" s="589"/>
      <c r="B62" s="589"/>
      <c r="C62" s="143">
        <v>0</v>
      </c>
      <c r="D62" s="143">
        <v>0</v>
      </c>
      <c r="E62" s="116">
        <f t="shared" si="10"/>
        <v>0</v>
      </c>
      <c r="F62" s="444" t="s">
        <v>13</v>
      </c>
      <c r="G62" s="443">
        <v>253</v>
      </c>
      <c r="H62" s="457">
        <f>'1461'!H62</f>
        <v>7023</v>
      </c>
      <c r="I62" s="101">
        <f t="shared" si="11"/>
        <v>0</v>
      </c>
      <c r="N62" s="619"/>
      <c r="O62" s="619"/>
      <c r="P62" s="622"/>
      <c r="Q62" s="622"/>
      <c r="R62" s="40" t="s">
        <v>13</v>
      </c>
      <c r="S62" s="449">
        <v>253</v>
      </c>
      <c r="T62" s="460">
        <f t="shared" si="12"/>
        <v>7023</v>
      </c>
      <c r="U62" s="474">
        <f t="shared" si="13"/>
        <v>0</v>
      </c>
      <c r="V62" s="424"/>
    </row>
    <row r="63" spans="1:22" x14ac:dyDescent="0.25">
      <c r="A63" s="589"/>
      <c r="B63" s="589"/>
      <c r="C63" s="143">
        <v>0</v>
      </c>
      <c r="D63" s="143">
        <v>0</v>
      </c>
      <c r="E63" s="116">
        <f t="shared" si="10"/>
        <v>0</v>
      </c>
      <c r="F63" s="444" t="s">
        <v>14</v>
      </c>
      <c r="G63" s="443">
        <v>251</v>
      </c>
      <c r="H63" s="457">
        <f>'1461'!H63</f>
        <v>835</v>
      </c>
      <c r="I63" s="101">
        <f t="shared" si="11"/>
        <v>0</v>
      </c>
      <c r="N63" s="619"/>
      <c r="O63" s="619"/>
      <c r="P63" s="622"/>
      <c r="Q63" s="622"/>
      <c r="R63" s="40" t="s">
        <v>14</v>
      </c>
      <c r="S63" s="449">
        <v>251</v>
      </c>
      <c r="T63" s="460">
        <f t="shared" si="12"/>
        <v>835</v>
      </c>
      <c r="U63" s="474">
        <f t="shared" si="13"/>
        <v>0</v>
      </c>
      <c r="V63" s="424"/>
    </row>
    <row r="64" spans="1:22" x14ac:dyDescent="0.25">
      <c r="A64" s="589"/>
      <c r="B64" s="589"/>
      <c r="C64" s="143">
        <v>0</v>
      </c>
      <c r="D64" s="143">
        <v>0</v>
      </c>
      <c r="E64" s="116">
        <f t="shared" si="10"/>
        <v>0</v>
      </c>
      <c r="F64" s="444" t="s">
        <v>14</v>
      </c>
      <c r="G64" s="443">
        <v>252</v>
      </c>
      <c r="H64" s="457">
        <f>'1461'!H64</f>
        <v>3168</v>
      </c>
      <c r="I64" s="101">
        <f t="shared" si="11"/>
        <v>0</v>
      </c>
      <c r="N64" s="619"/>
      <c r="O64" s="619"/>
      <c r="P64" s="622"/>
      <c r="Q64" s="622"/>
      <c r="R64" s="40" t="s">
        <v>14</v>
      </c>
      <c r="S64" s="449">
        <v>252</v>
      </c>
      <c r="T64" s="460">
        <f t="shared" si="12"/>
        <v>3168</v>
      </c>
      <c r="U64" s="474">
        <f t="shared" si="13"/>
        <v>0</v>
      </c>
      <c r="V64" s="424"/>
    </row>
    <row r="65" spans="1:22" ht="16.5" thickBot="1" x14ac:dyDescent="0.3">
      <c r="A65" s="589"/>
      <c r="B65" s="589"/>
      <c r="C65" s="143">
        <v>0</v>
      </c>
      <c r="D65" s="143">
        <v>0</v>
      </c>
      <c r="E65" s="116">
        <f t="shared" si="10"/>
        <v>0</v>
      </c>
      <c r="F65" s="444" t="s">
        <v>14</v>
      </c>
      <c r="G65" s="443">
        <v>253</v>
      </c>
      <c r="H65" s="457">
        <f>'1461'!H65</f>
        <v>6685</v>
      </c>
      <c r="I65" s="101">
        <f t="shared" si="11"/>
        <v>0</v>
      </c>
      <c r="N65" s="619"/>
      <c r="O65" s="619"/>
      <c r="P65" s="623"/>
      <c r="Q65" s="623"/>
      <c r="R65" s="40" t="s">
        <v>14</v>
      </c>
      <c r="S65" s="449">
        <v>253</v>
      </c>
      <c r="T65" s="460">
        <f t="shared" si="12"/>
        <v>6685</v>
      </c>
      <c r="U65" s="475">
        <f t="shared" si="13"/>
        <v>0</v>
      </c>
      <c r="V65" s="424"/>
    </row>
    <row r="66" spans="1:22" ht="16.5" thickBot="1" x14ac:dyDescent="0.3">
      <c r="A66" s="440"/>
      <c r="C66" s="97">
        <f>SUM(C57:C65)</f>
        <v>16.5</v>
      </c>
      <c r="D66" s="97">
        <f>SUM(D57:D65)</f>
        <v>15</v>
      </c>
      <c r="E66" s="97">
        <f>SUM(E57:E65)</f>
        <v>31.5</v>
      </c>
      <c r="F66" s="590" t="s">
        <v>448</v>
      </c>
      <c r="G66" s="590"/>
      <c r="H66" s="590"/>
      <c r="I66" s="97">
        <f>SUM(I57:I65)</f>
        <v>48735.689999999995</v>
      </c>
      <c r="N66" s="446"/>
      <c r="O66" s="51"/>
      <c r="P66" s="602">
        <f>SUM(P57:P65)</f>
        <v>0</v>
      </c>
      <c r="Q66" s="602"/>
      <c r="R66" s="603" t="s">
        <v>448</v>
      </c>
      <c r="S66" s="603"/>
      <c r="T66" s="603"/>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450</v>
      </c>
      <c r="N68" s="453" t="s">
        <v>458</v>
      </c>
      <c r="O68" s="51"/>
      <c r="P68" s="51"/>
      <c r="Q68" s="51"/>
      <c r="R68" s="51"/>
      <c r="S68" s="51"/>
      <c r="T68" s="51"/>
      <c r="U68" s="51"/>
    </row>
    <row r="69" spans="1:22" x14ac:dyDescent="0.25">
      <c r="A69" s="584" t="s">
        <v>403</v>
      </c>
      <c r="B69" s="578"/>
      <c r="C69" s="112">
        <f>E30</f>
        <v>278</v>
      </c>
      <c r="D69" s="565" t="s">
        <v>414</v>
      </c>
      <c r="E69" s="565"/>
      <c r="F69" s="565"/>
      <c r="G69" s="565"/>
      <c r="H69" s="300">
        <f>'1461'!H69</f>
        <v>210228.91</v>
      </c>
      <c r="I69" s="113"/>
      <c r="N69" s="600" t="s">
        <v>407</v>
      </c>
      <c r="O69" s="601"/>
      <c r="P69" s="41">
        <f>P30</f>
        <v>0</v>
      </c>
      <c r="Q69" s="606" t="s">
        <v>409</v>
      </c>
      <c r="R69" s="607"/>
      <c r="S69" s="607"/>
      <c r="T69" s="604">
        <f>H69</f>
        <v>210228.91</v>
      </c>
      <c r="U69" s="604"/>
    </row>
    <row r="70" spans="1:22" x14ac:dyDescent="0.25">
      <c r="B70" s="69"/>
      <c r="G70" s="42" t="s">
        <v>12</v>
      </c>
      <c r="H70" s="114">
        <f>ROUND(C69/H69,6)</f>
        <v>1.322E-3</v>
      </c>
      <c r="I70" s="115"/>
      <c r="N70" s="601"/>
      <c r="O70" s="601"/>
      <c r="P70" s="601"/>
      <c r="Q70" s="601"/>
      <c r="R70" s="601"/>
      <c r="S70" s="601"/>
      <c r="T70" s="605">
        <f>ROUND(P69/T69,6)</f>
        <v>0</v>
      </c>
      <c r="U70" s="605"/>
    </row>
    <row r="71" spans="1:22" x14ac:dyDescent="0.25">
      <c r="A71" s="442" t="s">
        <v>451</v>
      </c>
      <c r="N71" s="453" t="s">
        <v>459</v>
      </c>
      <c r="O71" s="51"/>
      <c r="P71" s="51"/>
      <c r="Q71" s="51"/>
      <c r="R71" s="51"/>
      <c r="S71" s="51"/>
      <c r="T71" s="51"/>
      <c r="U71" s="51"/>
    </row>
    <row r="72" spans="1:22" x14ac:dyDescent="0.25">
      <c r="A72" s="584" t="s">
        <v>404</v>
      </c>
      <c r="B72" s="578"/>
      <c r="C72" s="112">
        <f>H30</f>
        <v>292.63879999999995</v>
      </c>
      <c r="D72" s="565" t="s">
        <v>415</v>
      </c>
      <c r="E72" s="565"/>
      <c r="F72" s="565"/>
      <c r="G72" s="565"/>
      <c r="H72" s="301">
        <f>'1461'!H72</f>
        <v>234891.44</v>
      </c>
      <c r="I72" s="116"/>
      <c r="N72" s="600" t="s">
        <v>408</v>
      </c>
      <c r="O72" s="601"/>
      <c r="P72" s="41">
        <f>T30</f>
        <v>0</v>
      </c>
      <c r="Q72" s="606" t="s">
        <v>410</v>
      </c>
      <c r="R72" s="607"/>
      <c r="S72" s="607"/>
      <c r="T72" s="604">
        <f>H72</f>
        <v>234891.44</v>
      </c>
      <c r="U72" s="604"/>
    </row>
    <row r="73" spans="1:22" x14ac:dyDescent="0.25">
      <c r="G73" s="42" t="s">
        <v>12</v>
      </c>
      <c r="H73" s="114">
        <f>ROUND(C72/H72,6)</f>
        <v>1.2459999999999999E-3</v>
      </c>
      <c r="I73" s="114"/>
      <c r="N73" s="601"/>
      <c r="O73" s="601"/>
      <c r="P73" s="601"/>
      <c r="Q73" s="601"/>
      <c r="R73" s="601"/>
      <c r="S73" s="601"/>
      <c r="T73" s="605">
        <f>ROUND(P72/T72,6)</f>
        <v>0</v>
      </c>
      <c r="U73" s="605"/>
    </row>
    <row r="74" spans="1:22" x14ac:dyDescent="0.25">
      <c r="A74" s="417" t="s">
        <v>452</v>
      </c>
      <c r="B74" s="414"/>
      <c r="C74" s="414"/>
      <c r="D74" s="414"/>
      <c r="E74" s="414"/>
      <c r="F74" s="414"/>
      <c r="G74" s="414"/>
      <c r="H74" s="414"/>
      <c r="I74" s="414"/>
      <c r="N74" s="416" t="s">
        <v>460</v>
      </c>
      <c r="O74" s="415"/>
      <c r="P74" s="415"/>
      <c r="Q74" s="415"/>
      <c r="R74" s="415"/>
      <c r="S74" s="415"/>
      <c r="T74" s="415"/>
      <c r="U74" s="415"/>
      <c r="V74" s="414"/>
    </row>
    <row r="75" spans="1:22" x14ac:dyDescent="0.25">
      <c r="A75" s="584" t="s">
        <v>405</v>
      </c>
      <c r="B75" s="578"/>
      <c r="C75" s="112">
        <f>E30</f>
        <v>278</v>
      </c>
      <c r="D75" s="557" t="s">
        <v>416</v>
      </c>
      <c r="E75" s="557"/>
      <c r="F75" s="557"/>
      <c r="G75" s="557"/>
      <c r="H75" s="300">
        <f>'1461'!H75</f>
        <v>187665.41</v>
      </c>
      <c r="I75" s="113"/>
      <c r="N75" s="600" t="s">
        <v>406</v>
      </c>
      <c r="O75" s="601"/>
      <c r="P75" s="41">
        <f>P30</f>
        <v>0</v>
      </c>
      <c r="Q75" s="636" t="s">
        <v>411</v>
      </c>
      <c r="R75" s="637"/>
      <c r="S75" s="637"/>
      <c r="T75" s="604">
        <f>H75</f>
        <v>187665.41</v>
      </c>
      <c r="U75" s="604"/>
    </row>
    <row r="76" spans="1:22" x14ac:dyDescent="0.25">
      <c r="B76" s="69"/>
      <c r="G76" s="42" t="s">
        <v>12</v>
      </c>
      <c r="H76" s="114">
        <f>ROUND(C75/H75,6)</f>
        <v>1.4809999999999999E-3</v>
      </c>
      <c r="I76" s="115"/>
      <c r="N76" s="601"/>
      <c r="O76" s="601"/>
      <c r="P76" s="601"/>
      <c r="Q76" s="601"/>
      <c r="R76" s="601"/>
      <c r="S76" s="601"/>
      <c r="T76" s="605">
        <f>ROUND(P75/T75,6)</f>
        <v>0</v>
      </c>
      <c r="U76" s="605"/>
    </row>
    <row r="77" spans="1:22" x14ac:dyDescent="0.25">
      <c r="A77" s="417" t="s">
        <v>453</v>
      </c>
      <c r="B77" s="414"/>
      <c r="C77" s="414"/>
      <c r="D77" s="414"/>
      <c r="E77" s="414"/>
      <c r="F77" s="414"/>
      <c r="G77" s="414"/>
      <c r="H77" s="414"/>
      <c r="I77" s="414"/>
      <c r="N77" s="416" t="s">
        <v>461</v>
      </c>
      <c r="O77" s="415"/>
      <c r="P77" s="415"/>
      <c r="Q77" s="415"/>
      <c r="R77" s="415"/>
      <c r="S77" s="415"/>
      <c r="T77" s="415"/>
      <c r="U77" s="415"/>
      <c r="V77" s="414"/>
    </row>
    <row r="78" spans="1:22" x14ac:dyDescent="0.25">
      <c r="A78" s="584" t="s">
        <v>405</v>
      </c>
      <c r="B78" s="578"/>
      <c r="C78" s="112">
        <f>E30</f>
        <v>278</v>
      </c>
      <c r="D78" s="585" t="s">
        <v>417</v>
      </c>
      <c r="E78" s="585"/>
      <c r="F78" s="585"/>
      <c r="G78" s="585"/>
      <c r="H78" s="300">
        <f>'1461'!H78</f>
        <v>209892.26</v>
      </c>
      <c r="I78" s="113"/>
      <c r="N78" s="600" t="s">
        <v>406</v>
      </c>
      <c r="O78" s="601"/>
      <c r="P78" s="41">
        <f>P30</f>
        <v>0</v>
      </c>
      <c r="Q78" s="634" t="s">
        <v>412</v>
      </c>
      <c r="R78" s="635"/>
      <c r="S78" s="635"/>
      <c r="T78" s="604">
        <f>H78</f>
        <v>209892.26</v>
      </c>
      <c r="U78" s="604"/>
    </row>
    <row r="79" spans="1:22" x14ac:dyDescent="0.25">
      <c r="B79" s="69"/>
      <c r="G79" s="42" t="s">
        <v>12</v>
      </c>
      <c r="H79" s="114">
        <f>ROUND(C78/H78,6)</f>
        <v>1.3240000000000001E-3</v>
      </c>
      <c r="I79" s="115"/>
      <c r="N79" s="601"/>
      <c r="O79" s="601"/>
      <c r="P79" s="601"/>
      <c r="Q79" s="601"/>
      <c r="R79" s="601"/>
      <c r="S79" s="601"/>
      <c r="T79" s="605">
        <f>ROUND(P78/T78,6)</f>
        <v>0</v>
      </c>
      <c r="U79" s="605"/>
    </row>
    <row r="80" spans="1:22" x14ac:dyDescent="0.25">
      <c r="A80" s="417" t="s">
        <v>454</v>
      </c>
      <c r="B80" s="414"/>
      <c r="C80" s="414"/>
      <c r="D80" s="414"/>
      <c r="E80" s="414"/>
      <c r="F80" s="414"/>
      <c r="G80" s="414"/>
      <c r="H80" s="414"/>
      <c r="I80" s="414"/>
      <c r="N80" s="416" t="s">
        <v>462</v>
      </c>
      <c r="O80" s="415"/>
      <c r="P80" s="415"/>
      <c r="Q80" s="415"/>
      <c r="R80" s="415"/>
      <c r="S80" s="415"/>
      <c r="T80" s="415"/>
      <c r="U80" s="415"/>
      <c r="V80" s="414"/>
    </row>
    <row r="81" spans="1:21" x14ac:dyDescent="0.25">
      <c r="A81" s="584" t="s">
        <v>413</v>
      </c>
      <c r="B81" s="578"/>
      <c r="C81" s="112">
        <f>E30</f>
        <v>278</v>
      </c>
      <c r="D81" s="557" t="s">
        <v>418</v>
      </c>
      <c r="E81" s="557"/>
      <c r="F81" s="557"/>
      <c r="G81" s="557"/>
      <c r="H81" s="300">
        <f>'1461'!H81</f>
        <v>187328.76</v>
      </c>
      <c r="I81" s="113"/>
      <c r="N81" s="600" t="s">
        <v>419</v>
      </c>
      <c r="O81" s="601"/>
      <c r="P81" s="41">
        <f>P30</f>
        <v>0</v>
      </c>
      <c r="Q81" s="636" t="s">
        <v>420</v>
      </c>
      <c r="R81" s="637"/>
      <c r="S81" s="637"/>
      <c r="T81" s="604">
        <f>H81</f>
        <v>187328.76</v>
      </c>
      <c r="U81" s="604"/>
    </row>
    <row r="82" spans="1:21" x14ac:dyDescent="0.25">
      <c r="B82" s="69"/>
      <c r="G82" s="42" t="s">
        <v>12</v>
      </c>
      <c r="H82" s="114">
        <f>ROUND(C81/H81,6)</f>
        <v>1.4840000000000001E-3</v>
      </c>
      <c r="I82" s="115"/>
      <c r="N82" s="601"/>
      <c r="O82" s="601"/>
      <c r="P82" s="601"/>
      <c r="Q82" s="601"/>
      <c r="R82" s="601"/>
      <c r="S82" s="601"/>
      <c r="T82" s="605">
        <f>ROUND(P81/T81,6)</f>
        <v>0</v>
      </c>
      <c r="U82" s="605"/>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455</v>
      </c>
      <c r="D85" s="69"/>
      <c r="E85" s="43" t="s">
        <v>299</v>
      </c>
      <c r="F85" s="302">
        <f>'1461'!F85</f>
        <v>46163704</v>
      </c>
      <c r="G85" s="37" t="s">
        <v>6</v>
      </c>
      <c r="H85" s="422">
        <f>H79</f>
        <v>1.3240000000000001E-3</v>
      </c>
      <c r="I85" s="101">
        <f>ROUND(F85*H85,2)</f>
        <v>61120.74</v>
      </c>
      <c r="N85" s="453" t="s">
        <v>455</v>
      </c>
      <c r="O85" s="51"/>
      <c r="P85" s="51"/>
      <c r="Q85" s="44"/>
      <c r="R85" s="419">
        <f>F85</f>
        <v>46163704</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87" t="s">
        <v>71</v>
      </c>
      <c r="B87" s="578"/>
      <c r="C87" s="578"/>
      <c r="D87" s="69"/>
      <c r="E87" s="43"/>
      <c r="F87" s="153"/>
      <c r="G87" s="37"/>
      <c r="H87" s="422"/>
      <c r="I87" s="101"/>
      <c r="N87" s="600" t="s">
        <v>463</v>
      </c>
      <c r="O87" s="601"/>
      <c r="P87" s="601"/>
      <c r="Q87" s="51"/>
      <c r="R87" s="420"/>
      <c r="S87" s="51"/>
      <c r="T87" s="38"/>
      <c r="U87" s="478"/>
    </row>
    <row r="88" spans="1:21" x14ac:dyDescent="0.25">
      <c r="A88" s="587" t="s">
        <v>99</v>
      </c>
      <c r="B88" s="578"/>
      <c r="C88" s="578"/>
      <c r="D88" s="69"/>
      <c r="E88" s="43" t="s">
        <v>3</v>
      </c>
      <c r="F88" s="302">
        <f>'1461'!F88</f>
        <v>0</v>
      </c>
      <c r="G88" s="37" t="s">
        <v>6</v>
      </c>
      <c r="H88" s="422">
        <f>H70</f>
        <v>1.322E-3</v>
      </c>
      <c r="I88" s="101">
        <f>ROUND(F88*H88,2)</f>
        <v>0</v>
      </c>
      <c r="N88" s="638" t="s">
        <v>99</v>
      </c>
      <c r="O88" s="601"/>
      <c r="P88" s="601"/>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456</v>
      </c>
      <c r="D90" s="69"/>
      <c r="E90" s="43" t="s">
        <v>421</v>
      </c>
      <c r="F90" s="302">
        <f>'1461'!F90</f>
        <v>19042026</v>
      </c>
      <c r="G90" s="37" t="s">
        <v>6</v>
      </c>
      <c r="H90" s="422">
        <f>H82</f>
        <v>1.4840000000000001E-3</v>
      </c>
      <c r="I90" s="101">
        <f>ROUND(F90*H90,2)</f>
        <v>28258.37</v>
      </c>
      <c r="N90" s="453" t="s">
        <v>456</v>
      </c>
      <c r="O90" s="51"/>
      <c r="P90" s="51"/>
      <c r="Q90" s="44"/>
      <c r="R90" s="419">
        <f>F90</f>
        <v>19042026</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457</v>
      </c>
      <c r="D92" s="69"/>
      <c r="E92" s="43" t="s">
        <v>3</v>
      </c>
      <c r="F92" s="302">
        <f>'1461'!F92</f>
        <v>11441151</v>
      </c>
      <c r="G92" s="37" t="s">
        <v>6</v>
      </c>
      <c r="H92" s="422">
        <f>H76</f>
        <v>1.4809999999999999E-3</v>
      </c>
      <c r="I92" s="101">
        <f t="shared" ref="I92:I96" si="14">ROUND(F92*H92,2)</f>
        <v>16944.34</v>
      </c>
      <c r="N92" s="453" t="s">
        <v>457</v>
      </c>
      <c r="O92" s="51"/>
      <c r="P92" s="51"/>
      <c r="Q92" s="44"/>
      <c r="R92" s="419">
        <f t="shared" ref="R92:R96" si="15">F92</f>
        <v>11441151</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84" t="s">
        <v>422</v>
      </c>
      <c r="B94" s="578"/>
      <c r="C94" s="578"/>
      <c r="D94" s="69"/>
      <c r="E94" s="43" t="s">
        <v>4</v>
      </c>
      <c r="F94" s="302">
        <f>'1461'!F94</f>
        <v>247265670</v>
      </c>
      <c r="G94" s="37" t="s">
        <v>6</v>
      </c>
      <c r="H94" s="422">
        <f>H73</f>
        <v>1.2459999999999999E-3</v>
      </c>
      <c r="I94" s="101">
        <f t="shared" si="14"/>
        <v>308093.02</v>
      </c>
      <c r="N94" s="601" t="s">
        <v>422</v>
      </c>
      <c r="O94" s="601"/>
      <c r="P94" s="601"/>
      <c r="Q94" s="44"/>
      <c r="R94" s="419">
        <f t="shared" si="15"/>
        <v>247265670</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4" t="s">
        <v>423</v>
      </c>
      <c r="B96" s="578"/>
      <c r="C96" s="578"/>
      <c r="D96" s="69"/>
      <c r="E96" s="43" t="s">
        <v>4</v>
      </c>
      <c r="F96" s="302">
        <f>'1461'!F96</f>
        <v>0</v>
      </c>
      <c r="G96" s="37" t="s">
        <v>6</v>
      </c>
      <c r="H96" s="422">
        <f>H73</f>
        <v>1.2459999999999999E-3</v>
      </c>
      <c r="I96" s="101">
        <f t="shared" si="14"/>
        <v>0</v>
      </c>
      <c r="N96" s="600" t="s">
        <v>423</v>
      </c>
      <c r="O96" s="601"/>
      <c r="P96" s="601"/>
      <c r="Q96" s="44"/>
      <c r="R96" s="419">
        <f t="shared" si="15"/>
        <v>0</v>
      </c>
      <c r="S96" s="38" t="s">
        <v>6</v>
      </c>
      <c r="T96" s="421">
        <f>T73</f>
        <v>0</v>
      </c>
      <c r="U96" s="473">
        <f>ROUND(R96*T96,2)</f>
        <v>0</v>
      </c>
    </row>
    <row r="97" spans="1:21" x14ac:dyDescent="0.25">
      <c r="A97" s="81"/>
      <c r="B97" s="69"/>
      <c r="C97" s="69"/>
      <c r="D97" s="69"/>
      <c r="E97" s="43"/>
      <c r="F97" s="117">
        <v>-1</v>
      </c>
      <c r="G97" s="37"/>
      <c r="H97" s="422"/>
      <c r="I97" s="101"/>
      <c r="N97" s="383"/>
      <c r="O97" s="45"/>
      <c r="P97" s="45"/>
      <c r="Q97" s="44"/>
      <c r="R97" s="420"/>
      <c r="S97" s="38"/>
      <c r="T97" s="421"/>
      <c r="U97" s="103"/>
    </row>
    <row r="98" spans="1:21" x14ac:dyDescent="0.25">
      <c r="A98" s="530" t="s">
        <v>497</v>
      </c>
      <c r="B98" s="529"/>
      <c r="C98" s="529"/>
      <c r="D98" s="529"/>
      <c r="E98" s="527" t="s">
        <v>3</v>
      </c>
      <c r="F98" s="290">
        <v>0</v>
      </c>
      <c r="G98" s="528" t="s">
        <v>6</v>
      </c>
      <c r="H98" s="422">
        <f>H70</f>
        <v>1.322E-3</v>
      </c>
      <c r="I98" s="101">
        <f t="shared" ref="I98" si="16">ROUND(F98*H98,2)</f>
        <v>0</v>
      </c>
      <c r="N98" s="533" t="s">
        <v>497</v>
      </c>
      <c r="O98" s="533"/>
      <c r="P98" s="533"/>
      <c r="Q98" s="44"/>
      <c r="R98" s="536">
        <f>F98</f>
        <v>0</v>
      </c>
      <c r="S98" s="534" t="s">
        <v>6</v>
      </c>
      <c r="T98" s="421">
        <f>T70</f>
        <v>0</v>
      </c>
      <c r="U98" s="473">
        <f>ROUND(R98*T98,2)</f>
        <v>0</v>
      </c>
    </row>
    <row r="99" spans="1:21" x14ac:dyDescent="0.25">
      <c r="A99" s="530"/>
      <c r="B99" s="529"/>
      <c r="C99" s="529"/>
      <c r="D99" s="529"/>
      <c r="E99" s="527"/>
      <c r="F99" s="276"/>
      <c r="G99" s="528"/>
      <c r="H99" s="422"/>
      <c r="I99" s="101"/>
      <c r="N99" s="533"/>
      <c r="O99" s="533"/>
      <c r="P99" s="533"/>
      <c r="Q99" s="44"/>
      <c r="R99" s="535"/>
      <c r="S99" s="534"/>
      <c r="T99" s="421"/>
      <c r="U99" s="477"/>
    </row>
    <row r="100" spans="1:21" x14ac:dyDescent="0.25">
      <c r="A100" s="530"/>
      <c r="B100" s="529"/>
      <c r="C100" s="529"/>
      <c r="D100" s="529"/>
      <c r="E100" s="527"/>
      <c r="F100" s="276"/>
      <c r="G100" s="528"/>
      <c r="H100" s="422"/>
      <c r="I100" s="101"/>
      <c r="N100" s="533"/>
      <c r="O100" s="533"/>
      <c r="P100" s="533"/>
      <c r="Q100" s="44"/>
      <c r="R100" s="420"/>
      <c r="S100" s="534"/>
      <c r="T100" s="421"/>
      <c r="U100" s="103"/>
    </row>
    <row r="101" spans="1:21" x14ac:dyDescent="0.25">
      <c r="A101" s="399" t="s">
        <v>498</v>
      </c>
      <c r="N101" s="407" t="s">
        <v>498</v>
      </c>
      <c r="O101" s="51"/>
      <c r="P101" s="51"/>
      <c r="Q101" s="51"/>
      <c r="R101" s="51"/>
      <c r="S101" s="51"/>
      <c r="T101" s="51"/>
      <c r="U101" s="51"/>
    </row>
    <row r="102" spans="1:21" x14ac:dyDescent="0.25">
      <c r="B102" s="69"/>
      <c r="C102" s="563" t="s">
        <v>60</v>
      </c>
      <c r="D102" s="563"/>
      <c r="E102" s="69"/>
      <c r="F102" s="39" t="s">
        <v>28</v>
      </c>
      <c r="G102" s="69"/>
      <c r="H102" s="69"/>
      <c r="I102" s="69"/>
      <c r="N102" s="45"/>
      <c r="O102" s="45"/>
      <c r="P102" s="45"/>
      <c r="Q102" s="45"/>
      <c r="R102" s="45"/>
      <c r="S102" s="45"/>
      <c r="T102" s="45"/>
      <c r="U102" s="45"/>
    </row>
    <row r="103" spans="1:21" x14ac:dyDescent="0.25">
      <c r="A103" s="3"/>
      <c r="B103" s="118"/>
      <c r="C103" s="564" t="s">
        <v>101</v>
      </c>
      <c r="D103" s="564"/>
      <c r="E103" s="423" t="s">
        <v>426</v>
      </c>
      <c r="F103" s="120" t="s">
        <v>106</v>
      </c>
      <c r="G103" s="121"/>
      <c r="H103" s="121"/>
      <c r="I103" s="121"/>
      <c r="N103" s="631" t="s">
        <v>35</v>
      </c>
      <c r="O103" s="631"/>
      <c r="P103" s="672" t="s">
        <v>428</v>
      </c>
      <c r="Q103" s="633"/>
      <c r="R103" s="604" t="s">
        <v>31</v>
      </c>
      <c r="S103" s="604"/>
      <c r="T103" s="604"/>
      <c r="U103" s="604"/>
    </row>
    <row r="104" spans="1:21" x14ac:dyDescent="0.25">
      <c r="A104" s="26"/>
      <c r="B104" s="52" t="s">
        <v>105</v>
      </c>
      <c r="C104" s="596">
        <f>H14+H15+H20+H23+H26</f>
        <v>117.91540000000001</v>
      </c>
      <c r="D104" s="596"/>
      <c r="E104" s="46">
        <f>H8</f>
        <v>1.0407999999999999</v>
      </c>
      <c r="F104" s="303">
        <f>'1461'!F104</f>
        <v>950.92</v>
      </c>
      <c r="G104" s="39" t="s">
        <v>12</v>
      </c>
      <c r="H104" s="101">
        <f>ROUND(C104*E104*F104,2)</f>
        <v>116702.94</v>
      </c>
      <c r="I104" s="104"/>
      <c r="N104" s="28" t="s">
        <v>17</v>
      </c>
      <c r="O104" s="47">
        <f>T14+T15+T20+T23+T26</f>
        <v>0</v>
      </c>
      <c r="P104" s="611">
        <f>T8</f>
        <v>1.0407999999999999</v>
      </c>
      <c r="Q104" s="611"/>
      <c r="R104" s="48">
        <f>F104</f>
        <v>950.92</v>
      </c>
      <c r="S104" s="40" t="s">
        <v>12</v>
      </c>
      <c r="T104" s="479">
        <f>ROUND(O104*P104*R104,2)</f>
        <v>0</v>
      </c>
      <c r="U104" s="102"/>
    </row>
    <row r="105" spans="1:21" x14ac:dyDescent="0.25">
      <c r="A105" s="49"/>
      <c r="B105" s="49" t="s">
        <v>104</v>
      </c>
      <c r="C105" s="596">
        <f>H16+H17+H21+H24+H27</f>
        <v>174.7234</v>
      </c>
      <c r="D105" s="596"/>
      <c r="E105" s="46">
        <f>H8</f>
        <v>1.0407999999999999</v>
      </c>
      <c r="F105" s="303">
        <f>'1461'!F105</f>
        <v>907.92</v>
      </c>
      <c r="G105" s="39" t="s">
        <v>12</v>
      </c>
      <c r="H105" s="101">
        <f>ROUND(C105*E105*F105,2)</f>
        <v>165107.17000000001</v>
      </c>
      <c r="N105" s="50" t="s">
        <v>13</v>
      </c>
      <c r="O105" s="47">
        <f>T16+T17+T21+T24+T27</f>
        <v>0</v>
      </c>
      <c r="P105" s="611">
        <f>T8</f>
        <v>1.0407999999999999</v>
      </c>
      <c r="Q105" s="611"/>
      <c r="R105" s="48">
        <f>F105</f>
        <v>907.92</v>
      </c>
      <c r="S105" s="40" t="s">
        <v>12</v>
      </c>
      <c r="T105" s="479">
        <f>ROUND(O105*P105*R105,2)</f>
        <v>0</v>
      </c>
      <c r="U105" s="51"/>
    </row>
    <row r="106" spans="1:21" ht="16.5" thickBot="1" x14ac:dyDescent="0.3">
      <c r="A106" s="52"/>
      <c r="B106" s="52" t="s">
        <v>103</v>
      </c>
      <c r="C106" s="596">
        <f>H18+H19+H22+H25+H28+H29</f>
        <v>0</v>
      </c>
      <c r="D106" s="596"/>
      <c r="E106" s="46">
        <f>H8</f>
        <v>1.0407999999999999</v>
      </c>
      <c r="F106" s="303">
        <f>'1461'!F106</f>
        <v>910.12</v>
      </c>
      <c r="G106" s="39" t="s">
        <v>12</v>
      </c>
      <c r="H106" s="94">
        <f>ROUND(C106*E106*F106,2)</f>
        <v>0</v>
      </c>
      <c r="N106" s="53" t="s">
        <v>14</v>
      </c>
      <c r="O106" s="54">
        <f>T18+T19+T22+T25+T28+T29</f>
        <v>0</v>
      </c>
      <c r="P106" s="611">
        <f>T8</f>
        <v>1.0407999999999999</v>
      </c>
      <c r="Q106" s="611"/>
      <c r="R106" s="48">
        <f>F106</f>
        <v>910.12</v>
      </c>
      <c r="S106" s="40" t="s">
        <v>12</v>
      </c>
      <c r="T106" s="479">
        <f>ROUND(O106*P106*R106,2)</f>
        <v>0</v>
      </c>
      <c r="U106" s="51"/>
    </row>
    <row r="107" spans="1:21" ht="16.5" thickBot="1" x14ac:dyDescent="0.3">
      <c r="A107" s="55"/>
      <c r="B107" s="122" t="s">
        <v>102</v>
      </c>
      <c r="C107" s="586">
        <f>SUM(C104:C106)</f>
        <v>292.6388</v>
      </c>
      <c r="D107" s="586"/>
      <c r="E107" s="123"/>
      <c r="F107" s="123"/>
      <c r="G107" s="123"/>
      <c r="H107" s="124" t="s">
        <v>100</v>
      </c>
      <c r="I107" s="101">
        <f>IF(A1=75,0,H106+H105+H104)</f>
        <v>281810.11</v>
      </c>
      <c r="N107" s="56" t="s">
        <v>89</v>
      </c>
      <c r="O107" s="57">
        <f>SUM(O104:O106)</f>
        <v>0</v>
      </c>
      <c r="P107" s="612" t="s">
        <v>16</v>
      </c>
      <c r="Q107" s="613"/>
      <c r="R107" s="613"/>
      <c r="S107" s="613"/>
      <c r="T107" s="613"/>
      <c r="U107" s="473">
        <f>IF(N1=75,0,T106+T105+T104)</f>
        <v>0</v>
      </c>
    </row>
    <row r="108" spans="1:21" ht="16.5" thickTop="1" x14ac:dyDescent="0.25">
      <c r="A108" s="555" t="s">
        <v>65</v>
      </c>
      <c r="B108" s="555"/>
      <c r="C108" s="555"/>
      <c r="D108" s="555"/>
      <c r="E108" s="555"/>
      <c r="F108" s="555"/>
      <c r="G108" s="555"/>
      <c r="H108" s="555"/>
      <c r="I108" s="555"/>
      <c r="N108" s="614" t="s">
        <v>65</v>
      </c>
      <c r="O108" s="614"/>
      <c r="P108" s="614"/>
      <c r="Q108" s="614"/>
      <c r="R108" s="614"/>
      <c r="S108" s="614"/>
      <c r="T108" s="614"/>
      <c r="U108" s="614"/>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0" t="s">
        <v>499</v>
      </c>
      <c r="C110" s="43"/>
      <c r="D110" s="69"/>
      <c r="E110" s="43" t="s">
        <v>32</v>
      </c>
      <c r="F110" s="556"/>
      <c r="G110" s="556"/>
      <c r="H110" s="556"/>
      <c r="I110" s="556"/>
      <c r="N110" s="600" t="s">
        <v>499</v>
      </c>
      <c r="O110" s="601"/>
      <c r="P110" s="601"/>
      <c r="Q110" s="615"/>
      <c r="R110" s="615"/>
      <c r="S110" s="615"/>
      <c r="T110" s="615"/>
      <c r="U110" s="103"/>
    </row>
    <row r="111" spans="1:21" x14ac:dyDescent="0.25">
      <c r="B111" s="69"/>
      <c r="C111" s="88" t="s">
        <v>494</v>
      </c>
      <c r="D111" s="333" t="s">
        <v>495</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57" t="s">
        <v>381</v>
      </c>
      <c r="B113" s="558"/>
      <c r="C113" s="143">
        <v>60</v>
      </c>
      <c r="D113" s="143">
        <v>57</v>
      </c>
      <c r="E113" s="144">
        <f>(C113+D113)/2</f>
        <v>58.5</v>
      </c>
      <c r="F113" s="126" t="s">
        <v>30</v>
      </c>
      <c r="G113" s="304">
        <f>'1461'!G113</f>
        <v>576</v>
      </c>
      <c r="I113" s="101">
        <f>ROUND(G113*E113,2)</f>
        <v>33696</v>
      </c>
      <c r="N113" s="630" t="s">
        <v>52</v>
      </c>
      <c r="O113" s="630"/>
      <c r="P113" s="610">
        <f>IF(H133=1,E113,0)</f>
        <v>0</v>
      </c>
      <c r="Q113" s="610"/>
      <c r="R113" s="610"/>
      <c r="S113" s="83" t="s">
        <v>30</v>
      </c>
      <c r="T113" s="58">
        <f>G113</f>
        <v>576</v>
      </c>
      <c r="U113" s="473">
        <f>ROUND(T113*P113,2)</f>
        <v>0</v>
      </c>
    </row>
    <row r="114" spans="1:21" x14ac:dyDescent="0.25">
      <c r="A114" s="557" t="s">
        <v>382</v>
      </c>
      <c r="B114" s="558"/>
      <c r="C114" s="143">
        <v>0</v>
      </c>
      <c r="D114" s="143">
        <v>0</v>
      </c>
      <c r="E114" s="144">
        <f>C114</f>
        <v>0</v>
      </c>
      <c r="F114" s="126" t="s">
        <v>30</v>
      </c>
      <c r="G114" s="304">
        <f>'1461'!G114</f>
        <v>1823</v>
      </c>
      <c r="I114" s="101">
        <f>ROUND(G114*E114,2)</f>
        <v>0</v>
      </c>
      <c r="N114" s="630" t="s">
        <v>64</v>
      </c>
      <c r="O114" s="630"/>
      <c r="P114" s="608"/>
      <c r="Q114" s="608"/>
      <c r="R114" s="608"/>
      <c r="S114" s="83" t="s">
        <v>30</v>
      </c>
      <c r="T114" s="58">
        <f>G114</f>
        <v>1823</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4" t="s">
        <v>430</v>
      </c>
      <c r="B117" s="578"/>
      <c r="C117" s="578"/>
      <c r="D117" s="69"/>
      <c r="E117" s="39" t="s">
        <v>300</v>
      </c>
      <c r="F117" s="563"/>
      <c r="G117" s="563"/>
      <c r="H117" s="563"/>
      <c r="I117" s="563"/>
      <c r="N117" s="600" t="s">
        <v>431</v>
      </c>
      <c r="O117" s="601"/>
      <c r="P117" s="601"/>
      <c r="Q117" s="601"/>
      <c r="R117" s="601"/>
      <c r="S117" s="601"/>
      <c r="T117" s="601"/>
      <c r="U117" s="601"/>
    </row>
    <row r="118" spans="1:21" hidden="1" x14ac:dyDescent="0.25">
      <c r="B118" s="69"/>
      <c r="C118" s="564" t="s">
        <v>66</v>
      </c>
      <c r="D118" s="564"/>
      <c r="E118" s="564"/>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5" t="s">
        <v>109</v>
      </c>
      <c r="G119" s="563"/>
      <c r="H119" s="37" t="s">
        <v>29</v>
      </c>
      <c r="I119" s="37"/>
      <c r="N119" s="45"/>
      <c r="O119" s="45"/>
      <c r="P119" s="45"/>
      <c r="Q119" s="45"/>
      <c r="R119" s="45"/>
      <c r="S119" s="45"/>
      <c r="T119" s="45"/>
      <c r="U119" s="45"/>
    </row>
    <row r="120" spans="1:21" hidden="1" x14ac:dyDescent="0.25">
      <c r="A120" s="564" t="s">
        <v>69</v>
      </c>
      <c r="B120" s="564"/>
      <c r="C120" s="90" t="s">
        <v>2</v>
      </c>
      <c r="D120" s="90" t="s">
        <v>2</v>
      </c>
      <c r="E120" s="59" t="s">
        <v>2</v>
      </c>
      <c r="F120" s="564" t="s">
        <v>28</v>
      </c>
      <c r="G120" s="564"/>
      <c r="H120" s="59" t="s">
        <v>28</v>
      </c>
      <c r="I120" s="59" t="s">
        <v>8</v>
      </c>
      <c r="N120" s="609" t="s">
        <v>53</v>
      </c>
      <c r="O120" s="609"/>
      <c r="P120" s="610" t="s">
        <v>66</v>
      </c>
      <c r="Q120" s="610"/>
      <c r="R120" s="609" t="s">
        <v>54</v>
      </c>
      <c r="S120" s="609"/>
      <c r="T120" s="60" t="s">
        <v>55</v>
      </c>
      <c r="U120" s="60" t="s">
        <v>8</v>
      </c>
    </row>
    <row r="121" spans="1:21" hidden="1" x14ac:dyDescent="0.25">
      <c r="A121" s="561" t="s">
        <v>56</v>
      </c>
      <c r="B121" s="561"/>
      <c r="C121" s="141">
        <v>0</v>
      </c>
      <c r="D121" s="141">
        <v>0</v>
      </c>
      <c r="E121" s="142">
        <f>IF(D30=0,C121*2,C121+D121)</f>
        <v>0</v>
      </c>
      <c r="F121" s="675">
        <v>0</v>
      </c>
      <c r="G121" s="675"/>
      <c r="H121" s="61">
        <f>IF(C121=0,0,125)</f>
        <v>0</v>
      </c>
      <c r="I121" s="101">
        <f>ROUND((H121+F121)*E121,2)</f>
        <v>0</v>
      </c>
      <c r="N121" s="601" t="s">
        <v>56</v>
      </c>
      <c r="O121" s="601"/>
      <c r="P121" s="608">
        <f>IF(H$133=1,C121,0)</f>
        <v>0</v>
      </c>
      <c r="Q121" s="608"/>
      <c r="R121" s="628">
        <f>F121</f>
        <v>0</v>
      </c>
      <c r="S121" s="628"/>
      <c r="T121" s="62">
        <f>H121</f>
        <v>0</v>
      </c>
      <c r="U121" s="96">
        <f>ROUND((T121+R121)*P121,0)</f>
        <v>0</v>
      </c>
    </row>
    <row r="122" spans="1:21" hidden="1" x14ac:dyDescent="0.25">
      <c r="A122" s="581" t="s">
        <v>57</v>
      </c>
      <c r="B122" s="581"/>
      <c r="C122" s="143">
        <v>0</v>
      </c>
      <c r="D122" s="143">
        <v>0</v>
      </c>
      <c r="E122" s="144">
        <f>IF(D31=0,C122*2,C122+D122)</f>
        <v>0</v>
      </c>
      <c r="F122" s="598">
        <f>ROUND(F121/2,2)</f>
        <v>0</v>
      </c>
      <c r="G122" s="598"/>
      <c r="H122" s="61">
        <f>IF(C122=0,0,62.5)</f>
        <v>0</v>
      </c>
      <c r="I122" s="101">
        <f>ROUND((H122+F122)*E122,2)</f>
        <v>0</v>
      </c>
      <c r="N122" s="601" t="s">
        <v>57</v>
      </c>
      <c r="O122" s="601"/>
      <c r="P122" s="608">
        <f>IF(H$133=1,C122,0)</f>
        <v>0</v>
      </c>
      <c r="Q122" s="608"/>
      <c r="R122" s="629">
        <f>ROUND(R121/2,2)</f>
        <v>0</v>
      </c>
      <c r="S122" s="629"/>
      <c r="T122" s="62">
        <f>H122</f>
        <v>0</v>
      </c>
      <c r="U122" s="96">
        <f>ROUND((T122+R122)*P122,0)</f>
        <v>0</v>
      </c>
    </row>
    <row r="123" spans="1:21" ht="16.5" hidden="1" thickBot="1" x14ac:dyDescent="0.3">
      <c r="A123" s="581" t="s">
        <v>58</v>
      </c>
      <c r="B123" s="581"/>
      <c r="C123" s="143">
        <v>0</v>
      </c>
      <c r="D123" s="143">
        <v>0</v>
      </c>
      <c r="E123" s="144">
        <f>IF(D32=0,C123*2,C123+D123)</f>
        <v>0</v>
      </c>
      <c r="F123" s="599"/>
      <c r="G123" s="599"/>
      <c r="H123" s="63">
        <f>IF(H121&gt;0,436,0)</f>
        <v>0</v>
      </c>
      <c r="I123" s="101">
        <f>ROUND(H123*E123,2)</f>
        <v>0</v>
      </c>
      <c r="N123" s="616" t="s">
        <v>58</v>
      </c>
      <c r="O123" s="616"/>
      <c r="P123" s="608">
        <f>IF(H$133=1,C123,0)</f>
        <v>0</v>
      </c>
      <c r="Q123" s="608"/>
      <c r="R123" s="609"/>
      <c r="S123" s="609"/>
      <c r="T123" s="64">
        <f>H123</f>
        <v>0</v>
      </c>
      <c r="U123" s="103">
        <f>ROUND(T123*P123,0)</f>
        <v>0</v>
      </c>
    </row>
    <row r="124" spans="1:21" ht="16.5" hidden="1" thickBot="1" x14ac:dyDescent="0.3">
      <c r="A124" s="563" t="s">
        <v>8</v>
      </c>
      <c r="B124" s="563"/>
      <c r="C124" s="65"/>
      <c r="D124" s="65"/>
      <c r="E124" s="65"/>
      <c r="F124" s="65"/>
      <c r="G124" s="65"/>
      <c r="H124" s="65"/>
      <c r="I124" s="97">
        <f>SUM(I121:I123)</f>
        <v>0</v>
      </c>
      <c r="N124" s="627" t="s">
        <v>8</v>
      </c>
      <c r="O124" s="627"/>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4" t="s">
        <v>432</v>
      </c>
      <c r="B126" s="578"/>
      <c r="C126" s="578"/>
      <c r="D126" s="69"/>
      <c r="E126" s="68" t="s">
        <v>34</v>
      </c>
      <c r="F126" s="597"/>
      <c r="G126" s="597"/>
      <c r="H126" s="597"/>
      <c r="I126" s="154">
        <v>0</v>
      </c>
      <c r="N126" s="600" t="s">
        <v>432</v>
      </c>
      <c r="O126" s="601"/>
      <c r="P126" s="601"/>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90" t="s">
        <v>8</v>
      </c>
      <c r="B128" s="590"/>
      <c r="C128" s="590"/>
      <c r="D128" s="590"/>
      <c r="E128" s="590"/>
      <c r="F128" s="590"/>
      <c r="G128" s="590"/>
      <c r="H128" s="590"/>
      <c r="I128" s="94">
        <f>SUM(I46,I66,I85,I88,I90,I92,I94,I96,I107,I113,I114,I124,I126)</f>
        <v>2402359.9699999997</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434</v>
      </c>
      <c r="B130" s="26"/>
      <c r="C130" s="26"/>
      <c r="D130" s="26"/>
      <c r="E130" s="26"/>
      <c r="F130" s="26"/>
      <c r="G130" s="26"/>
      <c r="H130" s="26"/>
      <c r="I130" s="101">
        <f>I128-I53</f>
        <v>2306074.46</v>
      </c>
      <c r="N130" s="601" t="s">
        <v>434</v>
      </c>
      <c r="O130" s="601"/>
      <c r="P130" s="601"/>
      <c r="Q130" s="601"/>
      <c r="R130" s="601"/>
      <c r="S130" s="601"/>
      <c r="T130" s="601"/>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4" t="s">
        <v>502</v>
      </c>
      <c r="B132" s="578"/>
      <c r="C132" s="578"/>
      <c r="D132" s="578"/>
      <c r="E132" s="578"/>
      <c r="F132" s="578"/>
      <c r="G132" s="578"/>
      <c r="H132" s="81" t="s">
        <v>333</v>
      </c>
      <c r="I132" s="134"/>
      <c r="N132" s="600" t="s">
        <v>502</v>
      </c>
      <c r="O132" s="601"/>
      <c r="P132" s="601"/>
      <c r="Q132" s="601"/>
      <c r="R132" s="601"/>
      <c r="S132" s="601"/>
      <c r="T132" s="601"/>
      <c r="U132" s="138"/>
    </row>
    <row r="133" spans="1:21" x14ac:dyDescent="0.25">
      <c r="A133" s="578" t="s">
        <v>70</v>
      </c>
      <c r="B133" s="578"/>
      <c r="C133" s="578"/>
      <c r="D133" s="578"/>
      <c r="E133" s="578"/>
      <c r="F133" s="578"/>
      <c r="G133" s="578"/>
      <c r="H133" s="70" t="str">
        <f>IF(E30=0,"",IF((E15+E17+SUM(E19:E25))/E30&gt;0.75,1,""))</f>
        <v/>
      </c>
      <c r="I133" s="116">
        <f>U130</f>
        <v>0</v>
      </c>
      <c r="N133" s="601" t="s">
        <v>70</v>
      </c>
      <c r="O133" s="601"/>
      <c r="P133" s="601"/>
      <c r="Q133" s="601"/>
      <c r="R133" s="601"/>
      <c r="S133" s="601"/>
      <c r="T133" s="601"/>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2306074.46</v>
      </c>
      <c r="I135" s="94">
        <f>ROUND(IF(E30=0,0,IF(E30&gt;250,-(((250/E30)*H135)*IF(G135="H",0.02,0.05)),IF(G135="H",-0.02*H135,-0.05*H135))),2)</f>
        <v>-103690.4</v>
      </c>
      <c r="N135" s="626"/>
      <c r="O135" s="626"/>
      <c r="P135" s="626"/>
      <c r="Q135" s="626"/>
      <c r="R135" s="626"/>
      <c r="S135" s="626"/>
      <c r="T135" s="626"/>
      <c r="U135" s="626"/>
    </row>
    <row r="136" spans="1:21" x14ac:dyDescent="0.25">
      <c r="B136" s="69"/>
      <c r="C136" s="69"/>
      <c r="D136" s="69"/>
      <c r="E136" s="69"/>
      <c r="F136" s="69"/>
      <c r="G136" s="69"/>
      <c r="H136" s="65"/>
      <c r="I136" s="101"/>
      <c r="N136" s="624" t="s">
        <v>7</v>
      </c>
      <c r="O136" s="624"/>
      <c r="P136" s="624"/>
      <c r="Q136" s="624"/>
      <c r="R136" s="624"/>
      <c r="S136" s="624"/>
      <c r="T136" s="624"/>
      <c r="U136" s="624"/>
    </row>
    <row r="137" spans="1:21" x14ac:dyDescent="0.25">
      <c r="A137" s="309" t="s">
        <v>74</v>
      </c>
      <c r="B137" s="310"/>
      <c r="C137" s="310"/>
      <c r="D137" s="310"/>
      <c r="E137" s="310"/>
      <c r="F137" s="310"/>
      <c r="G137" s="310"/>
      <c r="H137" s="311"/>
      <c r="I137" s="312">
        <f>I128+I135</f>
        <v>2298669.5699999998</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Payments'!Q106</f>
        <v>0</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2298669.5699999998</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191555.8</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11613.32</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372</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373</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374</v>
      </c>
      <c r="B155" s="252"/>
      <c r="C155" s="252"/>
      <c r="D155" s="252"/>
      <c r="E155" s="252"/>
      <c r="F155" s="252"/>
      <c r="G155" s="252"/>
      <c r="H155" s="252"/>
      <c r="I155" s="252"/>
      <c r="N155" s="625"/>
      <c r="O155" s="625"/>
      <c r="P155" s="625"/>
      <c r="Q155" s="625"/>
      <c r="R155" s="625"/>
      <c r="S155" s="625"/>
      <c r="T155" s="625"/>
      <c r="U155" s="625"/>
    </row>
    <row r="156" spans="1:21" s="76" customFormat="1" x14ac:dyDescent="0.2">
      <c r="A156" s="320" t="s">
        <v>375</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376</v>
      </c>
      <c r="B157" s="252"/>
      <c r="C157" s="252"/>
      <c r="D157" s="252"/>
      <c r="E157" s="252"/>
      <c r="F157" s="252"/>
      <c r="G157" s="252"/>
      <c r="H157" s="252"/>
      <c r="I157" s="252"/>
      <c r="N157" s="78"/>
      <c r="O157" s="79"/>
      <c r="P157" s="79"/>
      <c r="Q157" s="79"/>
      <c r="R157" s="79"/>
      <c r="S157" s="79"/>
      <c r="T157" s="79"/>
      <c r="U157" s="79"/>
    </row>
    <row r="158" spans="1:21" s="76" customFormat="1" x14ac:dyDescent="0.2">
      <c r="A158" s="320" t="s">
        <v>377</v>
      </c>
      <c r="B158" s="252"/>
      <c r="C158" s="252"/>
      <c r="D158" s="252"/>
      <c r="E158" s="252"/>
      <c r="F158" s="252"/>
      <c r="G158" s="252"/>
      <c r="H158" s="252"/>
      <c r="I158" s="252"/>
      <c r="N158" s="78"/>
    </row>
    <row r="159" spans="1:21" s="76" customFormat="1" x14ac:dyDescent="0.2">
      <c r="A159" s="320" t="s">
        <v>379</v>
      </c>
      <c r="B159" s="252"/>
      <c r="C159" s="252"/>
      <c r="D159" s="252"/>
      <c r="E159" s="252"/>
      <c r="F159" s="252"/>
      <c r="G159" s="252"/>
      <c r="H159" s="252"/>
      <c r="I159" s="252"/>
      <c r="N159" s="78"/>
    </row>
    <row r="160" spans="1:21" s="76" customFormat="1" x14ac:dyDescent="0.2">
      <c r="A160" s="385" t="s">
        <v>378</v>
      </c>
      <c r="B160" s="252"/>
      <c r="C160" s="252"/>
      <c r="D160" s="252"/>
      <c r="E160" s="252"/>
      <c r="F160" s="252"/>
      <c r="G160" s="252"/>
      <c r="H160" s="252"/>
      <c r="I160" s="252"/>
      <c r="N160" s="78"/>
    </row>
    <row r="161" spans="1:14" s="76" customFormat="1" x14ac:dyDescent="0.2">
      <c r="A161" s="320" t="s">
        <v>380</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383</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385</v>
      </c>
      <c r="B165" s="293"/>
      <c r="C165" s="293"/>
      <c r="D165" s="293"/>
      <c r="E165" s="293"/>
      <c r="F165" s="293"/>
      <c r="G165" s="293"/>
      <c r="H165" s="293"/>
      <c r="I165" s="293"/>
      <c r="N165" s="78"/>
    </row>
    <row r="166" spans="1:14" s="76" customFormat="1" ht="15.75" customHeight="1" x14ac:dyDescent="0.2">
      <c r="A166" s="351" t="s">
        <v>384</v>
      </c>
      <c r="B166" s="293"/>
      <c r="C166" s="293"/>
      <c r="D166" s="293"/>
      <c r="E166" s="293"/>
      <c r="F166" s="293"/>
      <c r="G166" s="293"/>
      <c r="H166" s="293"/>
      <c r="I166" s="293"/>
      <c r="N166" s="78"/>
    </row>
    <row r="167" spans="1:14" s="76" customFormat="1" ht="15.75" customHeight="1" x14ac:dyDescent="0.2">
      <c r="A167" s="320" t="s">
        <v>386</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388</v>
      </c>
      <c r="B169" s="343"/>
      <c r="C169" s="343"/>
      <c r="D169" s="343"/>
      <c r="E169" s="343"/>
      <c r="F169" s="343"/>
      <c r="G169" s="343"/>
      <c r="H169" s="343"/>
      <c r="I169" s="343"/>
      <c r="N169" s="78"/>
    </row>
    <row r="170" spans="1:14" s="76" customFormat="1" ht="15.75" customHeight="1" x14ac:dyDescent="0.2">
      <c r="A170" s="351" t="s">
        <v>387</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389</v>
      </c>
      <c r="B175" s="293"/>
      <c r="C175" s="293"/>
      <c r="D175" s="293"/>
      <c r="E175" s="293"/>
      <c r="F175" s="293"/>
      <c r="G175" s="293"/>
      <c r="H175" s="293"/>
      <c r="I175" s="293"/>
      <c r="J175" s="3"/>
      <c r="K175" s="3"/>
      <c r="L175" s="3"/>
      <c r="M175" s="3"/>
      <c r="N175" s="78"/>
    </row>
    <row r="176" spans="1:14" s="76" customFormat="1" ht="15.75" customHeight="1" x14ac:dyDescent="0.2">
      <c r="A176" s="361" t="s">
        <v>390</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T78:U78"/>
    <mergeCell ref="A96:C96"/>
    <mergeCell ref="N96:P96"/>
    <mergeCell ref="C102:D102"/>
    <mergeCell ref="C103:D103"/>
    <mergeCell ref="N103:O103"/>
    <mergeCell ref="P103:Q103"/>
    <mergeCell ref="N88:P88"/>
    <mergeCell ref="R103:U103"/>
    <mergeCell ref="N73:S73"/>
    <mergeCell ref="R66:T66"/>
    <mergeCell ref="A94:C94"/>
    <mergeCell ref="A88:C88"/>
    <mergeCell ref="N94:P94"/>
    <mergeCell ref="N79:S79"/>
    <mergeCell ref="T79:U79"/>
    <mergeCell ref="A81:B81"/>
    <mergeCell ref="D81:G81"/>
    <mergeCell ref="N81:O81"/>
    <mergeCell ref="Q81:S81"/>
    <mergeCell ref="T81:U81"/>
    <mergeCell ref="A87:C87"/>
    <mergeCell ref="N87:P87"/>
    <mergeCell ref="N82:S82"/>
    <mergeCell ref="T82:U82"/>
    <mergeCell ref="T73:U73"/>
    <mergeCell ref="T75:U75"/>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A69:B69"/>
    <mergeCell ref="D69:G69"/>
    <mergeCell ref="N69:O69"/>
    <mergeCell ref="Q69:S69"/>
    <mergeCell ref="T69:U69"/>
    <mergeCell ref="N70:S70"/>
    <mergeCell ref="T70:U70"/>
    <mergeCell ref="A72:B72"/>
    <mergeCell ref="D72:G72"/>
    <mergeCell ref="N72:O72"/>
    <mergeCell ref="Q72:S72"/>
    <mergeCell ref="T72:U72"/>
    <mergeCell ref="A40:B40"/>
    <mergeCell ref="N40:O40"/>
    <mergeCell ref="P40:T40"/>
    <mergeCell ref="A41:B41"/>
    <mergeCell ref="N41:O41"/>
    <mergeCell ref="P41:T41"/>
    <mergeCell ref="A42:B42"/>
    <mergeCell ref="N42:O42"/>
    <mergeCell ref="P42:T42"/>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6:B26"/>
    <mergeCell ref="A28:B28"/>
    <mergeCell ref="F28:G28"/>
    <mergeCell ref="N28:O28"/>
    <mergeCell ref="P28:Q28"/>
    <mergeCell ref="R28:S28"/>
    <mergeCell ref="A25:B25"/>
    <mergeCell ref="F25:G25"/>
    <mergeCell ref="N25:O25"/>
    <mergeCell ref="P25:Q25"/>
    <mergeCell ref="R25:S25"/>
    <mergeCell ref="A24:B24"/>
    <mergeCell ref="F24:G24"/>
    <mergeCell ref="F26:G26"/>
    <mergeCell ref="N26:O26"/>
    <mergeCell ref="P26:Q26"/>
    <mergeCell ref="R26:S26"/>
    <mergeCell ref="A23:B23"/>
    <mergeCell ref="F23:G23"/>
    <mergeCell ref="N23:O23"/>
    <mergeCell ref="P23:Q23"/>
    <mergeCell ref="R23:S23"/>
    <mergeCell ref="A22:B22"/>
    <mergeCell ref="F22:G22"/>
    <mergeCell ref="N24:O24"/>
    <mergeCell ref="P24:Q24"/>
    <mergeCell ref="R24:S24"/>
    <mergeCell ref="A21:B21"/>
    <mergeCell ref="F21:G21"/>
    <mergeCell ref="N21:O21"/>
    <mergeCell ref="P21:Q21"/>
    <mergeCell ref="R21:S21"/>
    <mergeCell ref="A20:B20"/>
    <mergeCell ref="F20:G20"/>
    <mergeCell ref="N22:O22"/>
    <mergeCell ref="P22:Q22"/>
    <mergeCell ref="R22:S22"/>
    <mergeCell ref="A19:B19"/>
    <mergeCell ref="F19:G19"/>
    <mergeCell ref="N19:O19"/>
    <mergeCell ref="P19:Q19"/>
    <mergeCell ref="R19:S19"/>
    <mergeCell ref="A18:B18"/>
    <mergeCell ref="F18:G18"/>
    <mergeCell ref="N20:O20"/>
    <mergeCell ref="P20:Q20"/>
    <mergeCell ref="R20:S20"/>
    <mergeCell ref="A17:B17"/>
    <mergeCell ref="F17:G17"/>
    <mergeCell ref="N17:O17"/>
    <mergeCell ref="P17:Q17"/>
    <mergeCell ref="R17:S17"/>
    <mergeCell ref="A16:B16"/>
    <mergeCell ref="F16:G16"/>
    <mergeCell ref="N18:O18"/>
    <mergeCell ref="P18:Q18"/>
    <mergeCell ref="R18:S18"/>
    <mergeCell ref="A15:B15"/>
    <mergeCell ref="F15:G15"/>
    <mergeCell ref="N15:O15"/>
    <mergeCell ref="P15:Q15"/>
    <mergeCell ref="R15:S15"/>
    <mergeCell ref="A14:B14"/>
    <mergeCell ref="F14:G14"/>
    <mergeCell ref="N16:O16"/>
    <mergeCell ref="P16:Q16"/>
    <mergeCell ref="R16:S16"/>
    <mergeCell ref="F13:G13"/>
    <mergeCell ref="N13:O13"/>
    <mergeCell ref="P13:Q13"/>
    <mergeCell ref="R13:S13"/>
    <mergeCell ref="A12:B12"/>
    <mergeCell ref="F12:G12"/>
    <mergeCell ref="N14:O14"/>
    <mergeCell ref="P14:Q14"/>
    <mergeCell ref="R14:S14"/>
    <mergeCell ref="A13:B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5">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6" t="s">
        <v>15</v>
      </c>
      <c r="C1" s="567"/>
      <c r="D1" s="567"/>
      <c r="E1" s="567"/>
      <c r="F1" s="567"/>
      <c r="G1" s="567"/>
      <c r="H1" s="567"/>
      <c r="I1" s="567"/>
      <c r="J1" s="135"/>
      <c r="K1" s="135"/>
      <c r="L1" s="135"/>
      <c r="N1" s="82">
        <f>A1</f>
        <v>0</v>
      </c>
      <c r="O1" s="658" t="s">
        <v>15</v>
      </c>
      <c r="P1" s="659"/>
      <c r="Q1" s="659"/>
      <c r="R1" s="659"/>
      <c r="S1" s="659"/>
      <c r="T1" s="659"/>
      <c r="U1" s="659"/>
    </row>
    <row r="2" spans="1:21" ht="21" x14ac:dyDescent="0.35">
      <c r="A2" s="1" t="s">
        <v>236</v>
      </c>
      <c r="B2" s="2"/>
      <c r="C2" s="2"/>
      <c r="D2" s="2"/>
      <c r="E2" s="2"/>
      <c r="F2" s="2"/>
      <c r="G2" s="2"/>
      <c r="H2" s="2"/>
      <c r="I2" s="2"/>
      <c r="N2" s="660" t="s">
        <v>18</v>
      </c>
      <c r="O2" s="660"/>
      <c r="P2" s="660"/>
      <c r="Q2" s="660"/>
      <c r="R2" s="660"/>
      <c r="S2" s="660"/>
      <c r="T2" s="660"/>
      <c r="U2" s="660"/>
    </row>
    <row r="3" spans="1:21" x14ac:dyDescent="0.25">
      <c r="A3" s="81" t="str">
        <f>'1461'!A3</f>
        <v>Based on the FLDOE 2024-25 Conference Calculation</v>
      </c>
      <c r="N3" s="627" t="str">
        <f>A3</f>
        <v>Based on the FLDOE 2024-25 Conference Calculation</v>
      </c>
      <c r="O3" s="627"/>
      <c r="P3" s="627"/>
      <c r="Q3" s="627"/>
      <c r="R3" s="627"/>
      <c r="S3" s="627"/>
      <c r="T3" s="627"/>
      <c r="U3" s="627"/>
    </row>
    <row r="4" spans="1:21" x14ac:dyDescent="0.25">
      <c r="A4" s="568" t="s">
        <v>0</v>
      </c>
      <c r="B4" s="568"/>
      <c r="C4" s="569" t="s">
        <v>9</v>
      </c>
      <c r="D4" s="569"/>
      <c r="E4" s="569"/>
      <c r="F4" s="4" t="str">
        <f>'1461'!F4</f>
        <v>July 2024</v>
      </c>
      <c r="G4" s="4"/>
      <c r="H4" s="4"/>
      <c r="I4" s="4"/>
      <c r="N4" s="661" t="s">
        <v>0</v>
      </c>
      <c r="O4" s="661"/>
      <c r="P4" s="662" t="str">
        <f>C4</f>
        <v>Palm Beach</v>
      </c>
      <c r="Q4" s="662"/>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70" t="s">
        <v>433</v>
      </c>
      <c r="B7" s="664"/>
      <c r="C7" s="664"/>
      <c r="D7" s="664"/>
      <c r="E7" s="664"/>
      <c r="F7" s="664"/>
      <c r="G7" s="664"/>
      <c r="H7" s="664"/>
      <c r="I7" s="664"/>
      <c r="N7" s="661" t="str">
        <f>A7</f>
        <v>1A.   2023-24 FEFP State and Local Funding</v>
      </c>
      <c r="O7" s="661"/>
      <c r="P7" s="661"/>
      <c r="Q7" s="661"/>
      <c r="R7" s="661"/>
      <c r="S7" s="661"/>
      <c r="T7" s="661"/>
      <c r="U7" s="661"/>
    </row>
    <row r="8" spans="1:21" x14ac:dyDescent="0.25">
      <c r="A8" s="84"/>
      <c r="B8" s="85" t="s">
        <v>92</v>
      </c>
      <c r="C8" s="299">
        <f>'1461'!C8</f>
        <v>5330.98</v>
      </c>
      <c r="D8" s="86"/>
      <c r="E8" s="87"/>
      <c r="F8" s="84"/>
      <c r="G8" s="85" t="s">
        <v>393</v>
      </c>
      <c r="H8" s="287">
        <f>'1461'!H8</f>
        <v>1.0407999999999999</v>
      </c>
      <c r="I8" s="75"/>
      <c r="N8" s="665" t="s">
        <v>10</v>
      </c>
      <c r="O8" s="665"/>
      <c r="P8" s="666">
        <f>C8</f>
        <v>5330.98</v>
      </c>
      <c r="Q8" s="666"/>
      <c r="R8" s="648" t="s">
        <v>394</v>
      </c>
      <c r="S8" s="649"/>
      <c r="T8" s="650">
        <f>H8</f>
        <v>1.0407999999999999</v>
      </c>
      <c r="U8" s="650"/>
    </row>
    <row r="9" spans="1:21" x14ac:dyDescent="0.25">
      <c r="A9" s="84"/>
      <c r="B9" s="85"/>
      <c r="C9" s="222"/>
      <c r="D9" s="86"/>
      <c r="E9" s="87"/>
      <c r="F9" s="84"/>
      <c r="G9" s="85" t="s">
        <v>391</v>
      </c>
      <c r="H9" s="287">
        <f>'1461'!H9</f>
        <v>1</v>
      </c>
      <c r="I9" s="75"/>
      <c r="N9" s="12"/>
      <c r="O9" s="12"/>
      <c r="P9" s="13"/>
      <c r="Q9" s="13"/>
      <c r="R9" s="387" t="s">
        <v>392</v>
      </c>
      <c r="S9" s="384"/>
      <c r="T9" s="650">
        <f>H9</f>
        <v>1</v>
      </c>
      <c r="U9" s="650"/>
    </row>
    <row r="10" spans="1:21" x14ac:dyDescent="0.25">
      <c r="A10" s="7"/>
      <c r="B10" s="42" t="s">
        <v>310</v>
      </c>
      <c r="C10" s="334" t="str">
        <f>'1461'!C10</f>
        <v xml:space="preserve"> </v>
      </c>
      <c r="D10" s="334" t="str">
        <f>'1461'!D10</f>
        <v xml:space="preserve"> </v>
      </c>
      <c r="E10" s="8"/>
      <c r="F10" s="9"/>
      <c r="G10" s="9"/>
      <c r="H10" s="10"/>
      <c r="I10" s="305" t="str">
        <f>'1461'!I10</f>
        <v>2024-25</v>
      </c>
      <c r="N10" s="12"/>
      <c r="O10" s="12"/>
      <c r="P10" s="13"/>
      <c r="Q10" s="13"/>
      <c r="R10" s="14"/>
      <c r="S10" s="14"/>
      <c r="T10" s="15"/>
      <c r="U10" s="366" t="str">
        <f>I10</f>
        <v>2024-25</v>
      </c>
    </row>
    <row r="11" spans="1:21" x14ac:dyDescent="0.25">
      <c r="A11" s="7"/>
      <c r="B11" s="7"/>
      <c r="C11" s="88" t="str">
        <f>'1461'!C11</f>
        <v>Oct 2023</v>
      </c>
      <c r="D11" s="333" t="str">
        <f>'1461'!D11</f>
        <v>Feb 2024</v>
      </c>
      <c r="E11" s="89" t="s">
        <v>8</v>
      </c>
      <c r="F11" s="571" t="s">
        <v>1</v>
      </c>
      <c r="G11" s="571"/>
      <c r="H11" s="10" t="s">
        <v>60</v>
      </c>
      <c r="I11" s="11" t="s">
        <v>27</v>
      </c>
      <c r="N11" s="12"/>
      <c r="O11" s="12"/>
      <c r="P11" s="13"/>
      <c r="Q11" s="13"/>
      <c r="R11" s="651" t="s">
        <v>1</v>
      </c>
      <c r="S11" s="651"/>
      <c r="T11" s="15" t="s">
        <v>60</v>
      </c>
      <c r="U11" s="16" t="s">
        <v>27</v>
      </c>
    </row>
    <row r="12" spans="1:21" ht="15.75" customHeight="1" x14ac:dyDescent="0.25">
      <c r="A12" s="572" t="s">
        <v>1</v>
      </c>
      <c r="B12" s="572"/>
      <c r="C12" s="324" t="str">
        <f>'1461'!C12</f>
        <v>FTE</v>
      </c>
      <c r="D12" s="324" t="str">
        <f>'1461'!D12</f>
        <v>FTE</v>
      </c>
      <c r="E12" s="324" t="s">
        <v>2</v>
      </c>
      <c r="F12" s="573" t="s">
        <v>63</v>
      </c>
      <c r="G12" s="573"/>
      <c r="H12" s="17" t="s">
        <v>59</v>
      </c>
      <c r="I12" s="388" t="s">
        <v>395</v>
      </c>
      <c r="N12" s="639" t="s">
        <v>1</v>
      </c>
      <c r="O12" s="639"/>
      <c r="P12" s="652" t="s">
        <v>19</v>
      </c>
      <c r="Q12" s="652"/>
      <c r="R12" s="653" t="s">
        <v>63</v>
      </c>
      <c r="S12" s="653"/>
      <c r="T12" s="18" t="s">
        <v>59</v>
      </c>
      <c r="U12" s="19" t="str">
        <f>I12</f>
        <v>(WFTE x BSA x CWF x SDF)</v>
      </c>
    </row>
    <row r="13" spans="1:21" x14ac:dyDescent="0.25">
      <c r="A13" s="574" t="s">
        <v>36</v>
      </c>
      <c r="B13" s="574"/>
      <c r="C13" s="91"/>
      <c r="D13" s="91"/>
      <c r="E13" s="92" t="s">
        <v>37</v>
      </c>
      <c r="F13" s="575" t="s">
        <v>38</v>
      </c>
      <c r="G13" s="575"/>
      <c r="H13" s="20" t="s">
        <v>39</v>
      </c>
      <c r="I13" s="21" t="s">
        <v>40</v>
      </c>
      <c r="N13" s="654" t="s">
        <v>36</v>
      </c>
      <c r="O13" s="654"/>
      <c r="P13" s="655" t="s">
        <v>37</v>
      </c>
      <c r="Q13" s="655"/>
      <c r="R13" s="656" t="s">
        <v>38</v>
      </c>
      <c r="S13" s="656"/>
      <c r="T13" s="22" t="s">
        <v>39</v>
      </c>
      <c r="U13" s="23" t="s">
        <v>40</v>
      </c>
    </row>
    <row r="14" spans="1:21" x14ac:dyDescent="0.25">
      <c r="A14" s="576" t="s">
        <v>20</v>
      </c>
      <c r="B14" s="576"/>
      <c r="C14" s="143">
        <v>0</v>
      </c>
      <c r="D14" s="141">
        <v>0</v>
      </c>
      <c r="E14" s="187">
        <f>IF(D$30=0,C14*2,C14+D14)</f>
        <v>0</v>
      </c>
      <c r="F14" s="667">
        <f>'1461'!F14:G14</f>
        <v>1.1180000000000001</v>
      </c>
      <c r="G14" s="667"/>
      <c r="H14" s="145">
        <f>ROUND(E14*F14,4)</f>
        <v>0</v>
      </c>
      <c r="I14" s="111">
        <f>ROUND(ROUND(ROUND(H14*$C$8,4)*($H$8),2)*(MAX($H$9,1)),2)</f>
        <v>0</v>
      </c>
      <c r="N14" s="641" t="s">
        <v>20</v>
      </c>
      <c r="O14" s="641"/>
      <c r="P14" s="642">
        <f t="shared" ref="P14:P29" si="0">IF($H$133=1,E14,0)</f>
        <v>0</v>
      </c>
      <c r="Q14" s="642"/>
      <c r="R14" s="657">
        <v>1</v>
      </c>
      <c r="S14" s="657"/>
      <c r="T14" s="95">
        <f>ROUND(P14*R14,4)</f>
        <v>0</v>
      </c>
      <c r="U14" s="473">
        <f>ROUND(ROUND(ROUND(T14*$C$8,4)*($H$8),2)*(MAX($H$9,1)),2)</f>
        <v>0</v>
      </c>
    </row>
    <row r="15" spans="1:21" x14ac:dyDescent="0.25">
      <c r="A15" s="578" t="s">
        <v>21</v>
      </c>
      <c r="B15" s="578"/>
      <c r="C15" s="143">
        <v>0</v>
      </c>
      <c r="D15" s="143">
        <v>0</v>
      </c>
      <c r="E15" s="116">
        <f t="shared" ref="E15:E29" si="1">IF(D$30=0,C15*2,C15+D15)</f>
        <v>0</v>
      </c>
      <c r="F15" s="663">
        <f>'1461'!F15:G15</f>
        <v>1.1180000000000001</v>
      </c>
      <c r="G15" s="663"/>
      <c r="H15" s="80">
        <f t="shared" ref="H15:H29" si="2">ROUND(E15*F15,4)</f>
        <v>0</v>
      </c>
      <c r="I15" s="101">
        <f t="shared" ref="I15:I29" si="3">ROUND(ROUND(ROUND(H15*$C$8,4)*($H$8),2)*(MAX($H$9,1)),2)</f>
        <v>0</v>
      </c>
      <c r="J15" s="65" t="str">
        <f>IF(ROUND(E15,2)=ROUND(SUM(E57:E59),2)," ","CHECK PK-3 LINES BELOW")</f>
        <v xml:space="preserve"> </v>
      </c>
      <c r="N15" s="601" t="s">
        <v>21</v>
      </c>
      <c r="O15" s="601"/>
      <c r="P15" s="642">
        <f t="shared" si="0"/>
        <v>0</v>
      </c>
      <c r="Q15" s="642"/>
      <c r="R15" s="647">
        <v>1</v>
      </c>
      <c r="S15" s="647"/>
      <c r="T15" s="95">
        <f t="shared" ref="T15:T29" si="4">ROUND(P15*R15,4)</f>
        <v>0</v>
      </c>
      <c r="U15" s="473">
        <f t="shared" ref="U15:U29" si="5">ROUND(ROUND(ROUND(T15*$C$8,4)*($H$8),2)*(MAX($H$9,1)),2)</f>
        <v>0</v>
      </c>
    </row>
    <row r="16" spans="1:21" x14ac:dyDescent="0.25">
      <c r="A16" s="578" t="s">
        <v>22</v>
      </c>
      <c r="B16" s="578"/>
      <c r="C16" s="143">
        <v>0</v>
      </c>
      <c r="D16" s="143">
        <v>0</v>
      </c>
      <c r="E16" s="116">
        <f t="shared" si="1"/>
        <v>0</v>
      </c>
      <c r="F16" s="663">
        <f>'1461'!F16:G16</f>
        <v>1</v>
      </c>
      <c r="G16" s="663"/>
      <c r="H16" s="80">
        <f t="shared" si="2"/>
        <v>0</v>
      </c>
      <c r="I16" s="101">
        <f t="shared" si="3"/>
        <v>0</v>
      </c>
      <c r="N16" s="601" t="s">
        <v>22</v>
      </c>
      <c r="O16" s="601"/>
      <c r="P16" s="642">
        <f t="shared" si="0"/>
        <v>0</v>
      </c>
      <c r="Q16" s="642"/>
      <c r="R16" s="647">
        <v>1</v>
      </c>
      <c r="S16" s="647"/>
      <c r="T16" s="95">
        <f t="shared" si="4"/>
        <v>0</v>
      </c>
      <c r="U16" s="473">
        <f t="shared" si="5"/>
        <v>0</v>
      </c>
    </row>
    <row r="17" spans="1:21" x14ac:dyDescent="0.25">
      <c r="A17" s="578" t="s">
        <v>23</v>
      </c>
      <c r="B17" s="578"/>
      <c r="C17" s="143">
        <v>0</v>
      </c>
      <c r="D17" s="143">
        <v>0</v>
      </c>
      <c r="E17" s="116">
        <f t="shared" si="1"/>
        <v>0</v>
      </c>
      <c r="F17" s="663">
        <f>'1461'!F17:G17</f>
        <v>1</v>
      </c>
      <c r="G17" s="663"/>
      <c r="H17" s="80">
        <f t="shared" si="2"/>
        <v>0</v>
      </c>
      <c r="I17" s="101">
        <f t="shared" si="3"/>
        <v>0</v>
      </c>
      <c r="J17" s="65" t="str">
        <f>IF(ROUND(E17,2)=ROUND(SUM(E60:E62),2)," ","CHECK 4-8 LINES BELOW")</f>
        <v xml:space="preserve"> </v>
      </c>
      <c r="N17" s="601" t="s">
        <v>23</v>
      </c>
      <c r="O17" s="601"/>
      <c r="P17" s="642">
        <f t="shared" si="0"/>
        <v>0</v>
      </c>
      <c r="Q17" s="642"/>
      <c r="R17" s="647">
        <v>1</v>
      </c>
      <c r="S17" s="647"/>
      <c r="T17" s="95">
        <f t="shared" si="4"/>
        <v>0</v>
      </c>
      <c r="U17" s="473">
        <f t="shared" si="5"/>
        <v>0</v>
      </c>
    </row>
    <row r="18" spans="1:21" x14ac:dyDescent="0.25">
      <c r="A18" s="578" t="s">
        <v>24</v>
      </c>
      <c r="B18" s="578"/>
      <c r="C18" s="143">
        <v>43.7</v>
      </c>
      <c r="D18" s="143">
        <v>53.01</v>
      </c>
      <c r="E18" s="116">
        <f t="shared" si="1"/>
        <v>96.710000000000008</v>
      </c>
      <c r="F18" s="663">
        <f>'1461'!F18:G18</f>
        <v>0.97799999999999998</v>
      </c>
      <c r="G18" s="663"/>
      <c r="H18" s="80">
        <f t="shared" si="2"/>
        <v>94.582400000000007</v>
      </c>
      <c r="I18" s="101">
        <f t="shared" si="3"/>
        <v>524788.93000000005</v>
      </c>
      <c r="N18" s="601" t="s">
        <v>24</v>
      </c>
      <c r="O18" s="601"/>
      <c r="P18" s="642">
        <f t="shared" si="0"/>
        <v>0</v>
      </c>
      <c r="Q18" s="642"/>
      <c r="R18" s="647">
        <v>1</v>
      </c>
      <c r="S18" s="647"/>
      <c r="T18" s="95">
        <f t="shared" si="4"/>
        <v>0</v>
      </c>
      <c r="U18" s="473">
        <f t="shared" si="5"/>
        <v>0</v>
      </c>
    </row>
    <row r="19" spans="1:21" x14ac:dyDescent="0.25">
      <c r="A19" s="578" t="s">
        <v>25</v>
      </c>
      <c r="B19" s="578"/>
      <c r="C19" s="143">
        <v>11</v>
      </c>
      <c r="D19" s="143">
        <v>9</v>
      </c>
      <c r="E19" s="116">
        <f t="shared" si="1"/>
        <v>20</v>
      </c>
      <c r="F19" s="663">
        <f>'1461'!F19:G19</f>
        <v>0.97799999999999998</v>
      </c>
      <c r="G19" s="663"/>
      <c r="H19" s="80">
        <f t="shared" si="2"/>
        <v>19.559999999999999</v>
      </c>
      <c r="I19" s="101">
        <f t="shared" si="3"/>
        <v>108528.35</v>
      </c>
      <c r="J19" s="65" t="str">
        <f>IF(ROUND(E19,2)=ROUND(SUM(E63:E65),2)," ","CHECK 4-8 LINES BELOW")</f>
        <v xml:space="preserve"> </v>
      </c>
      <c r="N19" s="601" t="s">
        <v>25</v>
      </c>
      <c r="O19" s="601"/>
      <c r="P19" s="642">
        <f t="shared" si="0"/>
        <v>0</v>
      </c>
      <c r="Q19" s="642"/>
      <c r="R19" s="647">
        <v>1</v>
      </c>
      <c r="S19" s="647"/>
      <c r="T19" s="95">
        <f t="shared" si="4"/>
        <v>0</v>
      </c>
      <c r="U19" s="472">
        <f t="shared" si="5"/>
        <v>0</v>
      </c>
    </row>
    <row r="20" spans="1:21" x14ac:dyDescent="0.25">
      <c r="A20" s="578" t="s">
        <v>79</v>
      </c>
      <c r="B20" s="578"/>
      <c r="C20" s="143">
        <v>0</v>
      </c>
      <c r="D20" s="143">
        <v>0</v>
      </c>
      <c r="E20" s="116">
        <f t="shared" si="1"/>
        <v>0</v>
      </c>
      <c r="F20" s="663">
        <f>'1461'!F20:G20</f>
        <v>3.6970000000000001</v>
      </c>
      <c r="G20" s="663"/>
      <c r="H20" s="80">
        <f t="shared" si="2"/>
        <v>0</v>
      </c>
      <c r="I20" s="101">
        <f t="shared" si="3"/>
        <v>0</v>
      </c>
      <c r="N20" s="601" t="s">
        <v>79</v>
      </c>
      <c r="O20" s="601"/>
      <c r="P20" s="642">
        <f t="shared" si="0"/>
        <v>0</v>
      </c>
      <c r="Q20" s="642"/>
      <c r="R20" s="647">
        <v>1</v>
      </c>
      <c r="S20" s="647"/>
      <c r="T20" s="95">
        <f t="shared" si="4"/>
        <v>0</v>
      </c>
      <c r="U20" s="473">
        <f t="shared" si="5"/>
        <v>0</v>
      </c>
    </row>
    <row r="21" spans="1:21" x14ac:dyDescent="0.25">
      <c r="A21" s="578" t="s">
        <v>80</v>
      </c>
      <c r="B21" s="578"/>
      <c r="C21" s="143">
        <v>0</v>
      </c>
      <c r="D21" s="143">
        <v>0</v>
      </c>
      <c r="E21" s="116">
        <f t="shared" si="1"/>
        <v>0</v>
      </c>
      <c r="F21" s="663">
        <f>'1461'!F21:G21</f>
        <v>3.6970000000000001</v>
      </c>
      <c r="G21" s="663"/>
      <c r="H21" s="80">
        <f t="shared" si="2"/>
        <v>0</v>
      </c>
      <c r="I21" s="101">
        <f t="shared" si="3"/>
        <v>0</v>
      </c>
      <c r="N21" s="601" t="s">
        <v>80</v>
      </c>
      <c r="O21" s="601"/>
      <c r="P21" s="642">
        <f t="shared" si="0"/>
        <v>0</v>
      </c>
      <c r="Q21" s="642"/>
      <c r="R21" s="647">
        <v>1</v>
      </c>
      <c r="S21" s="647"/>
      <c r="T21" s="95">
        <f t="shared" si="4"/>
        <v>0</v>
      </c>
      <c r="U21" s="473">
        <f t="shared" si="5"/>
        <v>0</v>
      </c>
    </row>
    <row r="22" spans="1:21" x14ac:dyDescent="0.25">
      <c r="A22" s="578" t="s">
        <v>81</v>
      </c>
      <c r="B22" s="578"/>
      <c r="C22" s="143">
        <v>0</v>
      </c>
      <c r="D22" s="143">
        <v>0</v>
      </c>
      <c r="E22" s="116">
        <f t="shared" si="1"/>
        <v>0</v>
      </c>
      <c r="F22" s="663">
        <f>'1461'!F22:G22</f>
        <v>3.6970000000000001</v>
      </c>
      <c r="G22" s="663"/>
      <c r="H22" s="80">
        <f t="shared" si="2"/>
        <v>0</v>
      </c>
      <c r="I22" s="101">
        <f t="shared" si="3"/>
        <v>0</v>
      </c>
      <c r="N22" s="601" t="s">
        <v>81</v>
      </c>
      <c r="O22" s="601"/>
      <c r="P22" s="642">
        <f t="shared" si="0"/>
        <v>0</v>
      </c>
      <c r="Q22" s="642"/>
      <c r="R22" s="647">
        <v>1</v>
      </c>
      <c r="S22" s="647"/>
      <c r="T22" s="95">
        <f t="shared" si="4"/>
        <v>0</v>
      </c>
      <c r="U22" s="473">
        <f t="shared" si="5"/>
        <v>0</v>
      </c>
    </row>
    <row r="23" spans="1:21" x14ac:dyDescent="0.25">
      <c r="A23" s="578" t="s">
        <v>82</v>
      </c>
      <c r="B23" s="578"/>
      <c r="C23" s="143">
        <v>0</v>
      </c>
      <c r="D23" s="143">
        <v>0</v>
      </c>
      <c r="E23" s="116">
        <f t="shared" si="1"/>
        <v>0</v>
      </c>
      <c r="F23" s="663">
        <f>'1461'!F23:G23</f>
        <v>5.992</v>
      </c>
      <c r="G23" s="663"/>
      <c r="H23" s="80">
        <f t="shared" si="2"/>
        <v>0</v>
      </c>
      <c r="I23" s="101">
        <f t="shared" si="3"/>
        <v>0</v>
      </c>
      <c r="N23" s="601" t="s">
        <v>82</v>
      </c>
      <c r="O23" s="601"/>
      <c r="P23" s="642">
        <f t="shared" si="0"/>
        <v>0</v>
      </c>
      <c r="Q23" s="642"/>
      <c r="R23" s="647">
        <v>1</v>
      </c>
      <c r="S23" s="647"/>
      <c r="T23" s="95">
        <f t="shared" si="4"/>
        <v>0</v>
      </c>
      <c r="U23" s="473">
        <f t="shared" si="5"/>
        <v>0</v>
      </c>
    </row>
    <row r="24" spans="1:21" x14ac:dyDescent="0.25">
      <c r="A24" s="578" t="s">
        <v>83</v>
      </c>
      <c r="B24" s="578"/>
      <c r="C24" s="143">
        <v>0</v>
      </c>
      <c r="D24" s="143">
        <v>0</v>
      </c>
      <c r="E24" s="116">
        <f t="shared" si="1"/>
        <v>0</v>
      </c>
      <c r="F24" s="663">
        <f>'1461'!F24:G24</f>
        <v>5.992</v>
      </c>
      <c r="G24" s="663"/>
      <c r="H24" s="80">
        <f t="shared" si="2"/>
        <v>0</v>
      </c>
      <c r="I24" s="101">
        <f t="shared" si="3"/>
        <v>0</v>
      </c>
      <c r="N24" s="601" t="s">
        <v>83</v>
      </c>
      <c r="O24" s="601"/>
      <c r="P24" s="642">
        <f t="shared" si="0"/>
        <v>0</v>
      </c>
      <c r="Q24" s="642"/>
      <c r="R24" s="647">
        <v>1</v>
      </c>
      <c r="S24" s="647"/>
      <c r="T24" s="95">
        <f t="shared" si="4"/>
        <v>0</v>
      </c>
      <c r="U24" s="473">
        <f t="shared" si="5"/>
        <v>0</v>
      </c>
    </row>
    <row r="25" spans="1:21" x14ac:dyDescent="0.25">
      <c r="A25" s="578" t="s">
        <v>84</v>
      </c>
      <c r="B25" s="578"/>
      <c r="C25" s="143">
        <v>0.5</v>
      </c>
      <c r="D25" s="143">
        <v>0.5</v>
      </c>
      <c r="E25" s="116">
        <f t="shared" si="1"/>
        <v>1</v>
      </c>
      <c r="F25" s="663">
        <f>'1461'!F25:G25</f>
        <v>5.992</v>
      </c>
      <c r="G25" s="663"/>
      <c r="H25" s="80">
        <f t="shared" si="2"/>
        <v>5.992</v>
      </c>
      <c r="I25" s="101">
        <f t="shared" si="3"/>
        <v>33246.519999999997</v>
      </c>
      <c r="N25" s="601" t="s">
        <v>84</v>
      </c>
      <c r="O25" s="601"/>
      <c r="P25" s="642">
        <f t="shared" si="0"/>
        <v>0</v>
      </c>
      <c r="Q25" s="642"/>
      <c r="R25" s="647">
        <v>1</v>
      </c>
      <c r="S25" s="647"/>
      <c r="T25" s="95">
        <f t="shared" si="4"/>
        <v>0</v>
      </c>
      <c r="U25" s="473">
        <f t="shared" si="5"/>
        <v>0</v>
      </c>
    </row>
    <row r="26" spans="1:21" x14ac:dyDescent="0.25">
      <c r="A26" s="578" t="s">
        <v>85</v>
      </c>
      <c r="B26" s="578"/>
      <c r="C26" s="143">
        <v>0</v>
      </c>
      <c r="D26" s="143">
        <v>0</v>
      </c>
      <c r="E26" s="116">
        <f t="shared" si="1"/>
        <v>0</v>
      </c>
      <c r="F26" s="663">
        <f>'1461'!F26:G26</f>
        <v>1.1919999999999999</v>
      </c>
      <c r="G26" s="663"/>
      <c r="H26" s="80">
        <f t="shared" si="2"/>
        <v>0</v>
      </c>
      <c r="I26" s="101">
        <f t="shared" si="3"/>
        <v>0</v>
      </c>
      <c r="N26" s="601" t="s">
        <v>85</v>
      </c>
      <c r="O26" s="601"/>
      <c r="P26" s="642">
        <f t="shared" si="0"/>
        <v>0</v>
      </c>
      <c r="Q26" s="642"/>
      <c r="R26" s="647">
        <v>1</v>
      </c>
      <c r="S26" s="647"/>
      <c r="T26" s="95">
        <f t="shared" si="4"/>
        <v>0</v>
      </c>
      <c r="U26" s="473">
        <f t="shared" si="5"/>
        <v>0</v>
      </c>
    </row>
    <row r="27" spans="1:21" x14ac:dyDescent="0.25">
      <c r="A27" s="578" t="s">
        <v>86</v>
      </c>
      <c r="B27" s="578"/>
      <c r="C27" s="143">
        <v>0</v>
      </c>
      <c r="D27" s="143">
        <v>0</v>
      </c>
      <c r="E27" s="116">
        <f t="shared" si="1"/>
        <v>0</v>
      </c>
      <c r="F27" s="663">
        <f>'1461'!F27:G27</f>
        <v>1.1919999999999999</v>
      </c>
      <c r="G27" s="663"/>
      <c r="H27" s="80">
        <f t="shared" si="2"/>
        <v>0</v>
      </c>
      <c r="I27" s="101">
        <f t="shared" si="3"/>
        <v>0</v>
      </c>
      <c r="N27" s="601" t="s">
        <v>86</v>
      </c>
      <c r="O27" s="601"/>
      <c r="P27" s="642">
        <f t="shared" si="0"/>
        <v>0</v>
      </c>
      <c r="Q27" s="642"/>
      <c r="R27" s="647">
        <v>1</v>
      </c>
      <c r="S27" s="647"/>
      <c r="T27" s="95">
        <f t="shared" si="4"/>
        <v>0</v>
      </c>
      <c r="U27" s="473">
        <f t="shared" si="5"/>
        <v>0</v>
      </c>
    </row>
    <row r="28" spans="1:21" x14ac:dyDescent="0.25">
      <c r="A28" s="578" t="s">
        <v>87</v>
      </c>
      <c r="B28" s="578"/>
      <c r="C28" s="143">
        <v>1.04</v>
      </c>
      <c r="D28" s="143">
        <v>1.77</v>
      </c>
      <c r="E28" s="116">
        <f t="shared" si="1"/>
        <v>2.81</v>
      </c>
      <c r="F28" s="663">
        <f>'1461'!F28:G28</f>
        <v>1.1919999999999999</v>
      </c>
      <c r="G28" s="663"/>
      <c r="H28" s="80">
        <f t="shared" si="2"/>
        <v>3.3494999999999999</v>
      </c>
      <c r="I28" s="101">
        <f t="shared" si="3"/>
        <v>18584.650000000001</v>
      </c>
      <c r="N28" s="601" t="s">
        <v>87</v>
      </c>
      <c r="O28" s="601"/>
      <c r="P28" s="642">
        <f t="shared" si="0"/>
        <v>0</v>
      </c>
      <c r="Q28" s="642"/>
      <c r="R28" s="647">
        <v>1</v>
      </c>
      <c r="S28" s="647"/>
      <c r="T28" s="95">
        <f t="shared" si="4"/>
        <v>0</v>
      </c>
      <c r="U28" s="473">
        <f t="shared" si="5"/>
        <v>0</v>
      </c>
    </row>
    <row r="29" spans="1:21" x14ac:dyDescent="0.25">
      <c r="A29" s="578" t="s">
        <v>88</v>
      </c>
      <c r="B29" s="578"/>
      <c r="C29" s="110">
        <v>0</v>
      </c>
      <c r="D29" s="110">
        <v>0</v>
      </c>
      <c r="E29" s="154">
        <f t="shared" si="1"/>
        <v>0</v>
      </c>
      <c r="F29" s="663">
        <f>'1461'!F29:G29</f>
        <v>1.079</v>
      </c>
      <c r="G29" s="663"/>
      <c r="H29" s="93">
        <f t="shared" si="2"/>
        <v>0</v>
      </c>
      <c r="I29" s="94">
        <f t="shared" si="3"/>
        <v>0</v>
      </c>
      <c r="N29" s="616" t="s">
        <v>88</v>
      </c>
      <c r="O29" s="616"/>
      <c r="P29" s="642">
        <f t="shared" si="0"/>
        <v>0</v>
      </c>
      <c r="Q29" s="642"/>
      <c r="R29" s="643">
        <v>1</v>
      </c>
      <c r="S29" s="643"/>
      <c r="T29" s="95">
        <f t="shared" si="4"/>
        <v>0</v>
      </c>
      <c r="U29" s="473">
        <f t="shared" si="5"/>
        <v>0</v>
      </c>
    </row>
    <row r="30" spans="1:21" x14ac:dyDescent="0.25">
      <c r="A30" s="590" t="s">
        <v>5</v>
      </c>
      <c r="B30" s="590"/>
      <c r="C30" s="94">
        <f>SUM(C14:C29)</f>
        <v>56.24</v>
      </c>
      <c r="D30" s="94">
        <f>SUM(D14:D29)</f>
        <v>64.28</v>
      </c>
      <c r="E30" s="94">
        <f>SUM(E14:E29)</f>
        <v>120.52000000000001</v>
      </c>
      <c r="F30" s="582"/>
      <c r="G30" s="582"/>
      <c r="H30" s="99">
        <f>SUM(H14:H29)</f>
        <v>123.48390000000002</v>
      </c>
      <c r="I30" s="94">
        <f>SUM(I14:I29)</f>
        <v>685148.45000000007</v>
      </c>
      <c r="N30" s="644" t="s">
        <v>5</v>
      </c>
      <c r="O30" s="644"/>
      <c r="P30" s="645">
        <f>SUM(P14:P29)</f>
        <v>0</v>
      </c>
      <c r="Q30" s="645"/>
      <c r="R30" s="617"/>
      <c r="S30" s="617"/>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0" t="s">
        <v>233</v>
      </c>
      <c r="G34" s="670"/>
      <c r="H34" s="670"/>
      <c r="I34" s="101"/>
      <c r="N34" s="28"/>
      <c r="O34" s="28"/>
      <c r="P34" s="29"/>
      <c r="Q34" s="29"/>
      <c r="R34" s="30"/>
      <c r="S34" s="30"/>
      <c r="T34" s="102"/>
      <c r="U34" s="103"/>
    </row>
    <row r="35" spans="1:21" hidden="1" x14ac:dyDescent="0.25">
      <c r="A35" s="3"/>
      <c r="B35" s="69"/>
      <c r="C35" s="69"/>
      <c r="D35" s="69"/>
      <c r="E35" s="69"/>
      <c r="F35" s="670"/>
      <c r="G35" s="670"/>
      <c r="H35" s="670"/>
      <c r="I35" s="24" t="s">
        <v>61</v>
      </c>
      <c r="N35" s="627" t="s">
        <v>26</v>
      </c>
      <c r="O35" s="627"/>
      <c r="P35" s="627"/>
      <c r="Q35" s="627"/>
      <c r="R35" s="627"/>
      <c r="S35" s="627"/>
      <c r="T35" s="627"/>
      <c r="U35" s="25" t="str">
        <f>I35</f>
        <v>2015-16</v>
      </c>
    </row>
    <row r="36" spans="1:21" hidden="1" x14ac:dyDescent="0.25">
      <c r="A36" s="26"/>
      <c r="B36" s="26"/>
      <c r="C36" s="88" t="s">
        <v>93</v>
      </c>
      <c r="D36" s="88" t="s">
        <v>94</v>
      </c>
      <c r="E36" s="89" t="s">
        <v>8</v>
      </c>
      <c r="F36" s="670"/>
      <c r="G36" s="670"/>
      <c r="H36" s="670"/>
      <c r="I36" s="24" t="s">
        <v>27</v>
      </c>
      <c r="N36" s="28"/>
      <c r="O36" s="28"/>
      <c r="P36" s="29"/>
      <c r="Q36" s="29"/>
      <c r="R36" s="30"/>
      <c r="S36" s="30"/>
      <c r="T36" s="102"/>
      <c r="U36" s="25" t="s">
        <v>27</v>
      </c>
    </row>
    <row r="37" spans="1:21" ht="26.25" hidden="1" x14ac:dyDescent="0.25">
      <c r="A37" s="572" t="s">
        <v>50</v>
      </c>
      <c r="B37" s="572"/>
      <c r="C37" s="90" t="s">
        <v>2</v>
      </c>
      <c r="D37" s="90" t="s">
        <v>2</v>
      </c>
      <c r="E37" s="90" t="s">
        <v>2</v>
      </c>
      <c r="F37" s="671"/>
      <c r="G37" s="671"/>
      <c r="H37" s="671"/>
      <c r="I37" s="31" t="s">
        <v>395</v>
      </c>
      <c r="N37" s="639" t="s">
        <v>50</v>
      </c>
      <c r="O37" s="639"/>
      <c r="P37" s="640" t="s">
        <v>19</v>
      </c>
      <c r="Q37" s="640"/>
      <c r="R37" s="640"/>
      <c r="S37" s="640"/>
      <c r="T37" s="640"/>
      <c r="U37" s="19" t="str">
        <f>I37</f>
        <v>(WFTE x BSA x CWF x SDF)</v>
      </c>
    </row>
    <row r="38" spans="1:21" hidden="1" x14ac:dyDescent="0.25">
      <c r="A38" s="576" t="s">
        <v>45</v>
      </c>
      <c r="B38" s="576"/>
      <c r="C38" s="147">
        <v>0</v>
      </c>
      <c r="D38" s="147">
        <v>0</v>
      </c>
      <c r="E38" s="142">
        <f t="shared" ref="E38:E43" si="6">IF(D$44=0,C38*2,C38+D38)</f>
        <v>0</v>
      </c>
      <c r="F38" s="148"/>
      <c r="G38" s="148"/>
      <c r="H38" s="148"/>
      <c r="I38" s="111">
        <f>ROUND(ROUND(ROUND(E38*$C$8,4)*($H$8),2)*(MAX($H$9,1)),2)</f>
        <v>0</v>
      </c>
      <c r="N38" s="641" t="s">
        <v>45</v>
      </c>
      <c r="O38" s="641"/>
      <c r="P38" s="608">
        <f t="shared" ref="P38:P43" si="7">IF($H$133=1,E38,0)</f>
        <v>0</v>
      </c>
      <c r="Q38" s="608"/>
      <c r="R38" s="608"/>
      <c r="S38" s="608"/>
      <c r="T38" s="608"/>
      <c r="U38" s="98">
        <f>ROUND(ROUND(ROUND(P38*$C$8,4)*($H$8),2)*(MAX($H$9,1)),2)</f>
        <v>0</v>
      </c>
    </row>
    <row r="39" spans="1:21" hidden="1" x14ac:dyDescent="0.25">
      <c r="A39" s="578" t="s">
        <v>46</v>
      </c>
      <c r="B39" s="578"/>
      <c r="C39" s="150">
        <v>0</v>
      </c>
      <c r="D39" s="150">
        <v>0</v>
      </c>
      <c r="E39" s="144">
        <f t="shared" si="6"/>
        <v>0</v>
      </c>
      <c r="F39" s="151"/>
      <c r="G39" s="151"/>
      <c r="H39" s="151"/>
      <c r="I39" s="101">
        <f t="shared" ref="I39:I43" si="8">ROUND(ROUND(ROUND(E39*$C$8,4)*($H$8),2)*(MAX($H$9,1)),2)</f>
        <v>0</v>
      </c>
      <c r="N39" s="601" t="s">
        <v>46</v>
      </c>
      <c r="O39" s="601"/>
      <c r="P39" s="608">
        <f t="shared" si="7"/>
        <v>0</v>
      </c>
      <c r="Q39" s="608"/>
      <c r="R39" s="608"/>
      <c r="S39" s="608"/>
      <c r="T39" s="608"/>
      <c r="U39" s="98">
        <f t="shared" ref="U39:U43" si="9">ROUND(ROUND(ROUND(P39*$C$8,4)*($H$8),2)*(MAX($H$9,1)),2)</f>
        <v>0</v>
      </c>
    </row>
    <row r="40" spans="1:21" hidden="1" x14ac:dyDescent="0.25">
      <c r="A40" s="583" t="s">
        <v>47</v>
      </c>
      <c r="B40" s="583"/>
      <c r="C40" s="150">
        <v>0</v>
      </c>
      <c r="D40" s="150">
        <v>0</v>
      </c>
      <c r="E40" s="144">
        <f t="shared" si="6"/>
        <v>0</v>
      </c>
      <c r="F40" s="151"/>
      <c r="G40" s="151"/>
      <c r="H40" s="151"/>
      <c r="I40" s="101">
        <f t="shared" si="8"/>
        <v>0</v>
      </c>
      <c r="N40" s="646" t="s">
        <v>47</v>
      </c>
      <c r="O40" s="646"/>
      <c r="P40" s="608">
        <f t="shared" si="7"/>
        <v>0</v>
      </c>
      <c r="Q40" s="608"/>
      <c r="R40" s="608"/>
      <c r="S40" s="608"/>
      <c r="T40" s="608"/>
      <c r="U40" s="98">
        <f t="shared" si="9"/>
        <v>0</v>
      </c>
    </row>
    <row r="41" spans="1:21" hidden="1" x14ac:dyDescent="0.25">
      <c r="A41" s="578" t="s">
        <v>48</v>
      </c>
      <c r="B41" s="578"/>
      <c r="C41" s="150">
        <v>0</v>
      </c>
      <c r="D41" s="150">
        <v>0</v>
      </c>
      <c r="E41" s="144">
        <f t="shared" si="6"/>
        <v>0</v>
      </c>
      <c r="F41" s="151"/>
      <c r="G41" s="151"/>
      <c r="H41" s="151"/>
      <c r="I41" s="101">
        <f t="shared" si="8"/>
        <v>0</v>
      </c>
      <c r="N41" s="601" t="s">
        <v>48</v>
      </c>
      <c r="O41" s="601"/>
      <c r="P41" s="608">
        <f t="shared" si="7"/>
        <v>0</v>
      </c>
      <c r="Q41" s="608"/>
      <c r="R41" s="608"/>
      <c r="S41" s="608"/>
      <c r="T41" s="608"/>
      <c r="U41" s="98">
        <f t="shared" si="9"/>
        <v>0</v>
      </c>
    </row>
    <row r="42" spans="1:21" hidden="1" x14ac:dyDescent="0.25">
      <c r="A42" s="578" t="s">
        <v>49</v>
      </c>
      <c r="B42" s="578"/>
      <c r="C42" s="150">
        <v>0</v>
      </c>
      <c r="D42" s="150">
        <v>0</v>
      </c>
      <c r="E42" s="144">
        <f t="shared" si="6"/>
        <v>0</v>
      </c>
      <c r="F42" s="151"/>
      <c r="G42" s="151"/>
      <c r="H42" s="151"/>
      <c r="I42" s="101">
        <f t="shared" si="8"/>
        <v>0</v>
      </c>
      <c r="N42" s="601" t="s">
        <v>49</v>
      </c>
      <c r="O42" s="601"/>
      <c r="P42" s="608">
        <f t="shared" si="7"/>
        <v>0</v>
      </c>
      <c r="Q42" s="608"/>
      <c r="R42" s="608"/>
      <c r="S42" s="608"/>
      <c r="T42" s="608"/>
      <c r="U42" s="98">
        <f t="shared" si="9"/>
        <v>0</v>
      </c>
    </row>
    <row r="43" spans="1:21" hidden="1" x14ac:dyDescent="0.25">
      <c r="A43" s="578" t="s">
        <v>41</v>
      </c>
      <c r="B43" s="578"/>
      <c r="C43" s="149">
        <v>0</v>
      </c>
      <c r="D43" s="149">
        <v>0</v>
      </c>
      <c r="E43" s="136">
        <f t="shared" si="6"/>
        <v>0</v>
      </c>
      <c r="F43" s="151"/>
      <c r="G43" s="151"/>
      <c r="H43" s="151"/>
      <c r="I43" s="94">
        <f t="shared" si="8"/>
        <v>0</v>
      </c>
      <c r="N43" s="616" t="s">
        <v>41</v>
      </c>
      <c r="O43" s="616"/>
      <c r="P43" s="608">
        <f t="shared" si="7"/>
        <v>0</v>
      </c>
      <c r="Q43" s="608"/>
      <c r="R43" s="608"/>
      <c r="S43" s="608"/>
      <c r="T43" s="60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3" t="s">
        <v>43</v>
      </c>
      <c r="O44" s="603"/>
      <c r="P44" s="603"/>
      <c r="Q44" s="603"/>
      <c r="R44" s="33">
        <f>SUM(P38:R43)</f>
        <v>0</v>
      </c>
      <c r="S44" s="617" t="s">
        <v>51</v>
      </c>
      <c r="T44" s="617"/>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123.48390000000002</v>
      </c>
      <c r="F46" s="34"/>
      <c r="G46" s="106"/>
      <c r="H46" s="107" t="s">
        <v>98</v>
      </c>
      <c r="I46" s="94">
        <f>SUM(I44,I30)</f>
        <v>685148.45000000007</v>
      </c>
      <c r="N46" s="603" t="s">
        <v>44</v>
      </c>
      <c r="O46" s="603"/>
      <c r="P46" s="603"/>
      <c r="Q46" s="603"/>
      <c r="R46" s="35">
        <f>R44+T30</f>
        <v>0</v>
      </c>
      <c r="S46" s="617" t="s">
        <v>42</v>
      </c>
      <c r="T46" s="617"/>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396</v>
      </c>
      <c r="B48" s="26"/>
      <c r="C48" s="26"/>
      <c r="D48" s="26"/>
      <c r="E48" s="26"/>
      <c r="F48" s="34"/>
      <c r="G48" s="27"/>
      <c r="H48" s="27"/>
      <c r="I48" s="101"/>
      <c r="N48" s="383" t="s">
        <v>396</v>
      </c>
      <c r="O48" s="28"/>
      <c r="P48" s="28"/>
      <c r="Q48" s="28"/>
      <c r="R48" s="35"/>
      <c r="S48" s="30"/>
      <c r="T48" s="30"/>
      <c r="U48" s="402"/>
    </row>
    <row r="49" spans="1:22" s="391" customFormat="1" ht="9" customHeight="1" x14ac:dyDescent="0.2">
      <c r="A49" s="481" t="s">
        <v>397</v>
      </c>
      <c r="F49" s="392"/>
      <c r="G49" s="393"/>
      <c r="H49" s="393"/>
      <c r="I49" s="394"/>
      <c r="N49" s="403" t="s">
        <v>397</v>
      </c>
      <c r="O49" s="395"/>
      <c r="P49" s="395"/>
      <c r="Q49" s="395"/>
      <c r="R49" s="396"/>
      <c r="S49" s="397"/>
      <c r="T49" s="397"/>
      <c r="U49" s="404"/>
    </row>
    <row r="50" spans="1:22" s="391" customFormat="1" ht="11.25" customHeight="1" x14ac:dyDescent="0.2">
      <c r="A50" s="483" t="s">
        <v>398</v>
      </c>
      <c r="F50" s="392"/>
      <c r="G50" s="393"/>
      <c r="H50" s="393"/>
      <c r="I50" s="394"/>
      <c r="N50" s="405" t="s">
        <v>398</v>
      </c>
      <c r="O50" s="395"/>
      <c r="P50" s="395"/>
      <c r="Q50" s="395"/>
      <c r="R50" s="396"/>
      <c r="S50" s="397"/>
      <c r="T50" s="397"/>
      <c r="U50" s="404"/>
    </row>
    <row r="51" spans="1:22" x14ac:dyDescent="0.25">
      <c r="A51" s="389"/>
      <c r="B51" s="399" t="s">
        <v>399</v>
      </c>
      <c r="C51" s="26"/>
      <c r="D51" s="26"/>
      <c r="E51" s="43" t="s">
        <v>400</v>
      </c>
      <c r="F51" s="400">
        <f>I46</f>
        <v>685148.45000000007</v>
      </c>
      <c r="G51" s="109" t="s">
        <v>6</v>
      </c>
      <c r="H51" s="401">
        <v>4.5199999999999997E-2</v>
      </c>
      <c r="I51" s="101">
        <f>ROUND(F51*H51,2)</f>
        <v>30968.71</v>
      </c>
      <c r="N51" s="406"/>
      <c r="O51" s="407" t="s">
        <v>399</v>
      </c>
      <c r="P51" s="28"/>
      <c r="Q51" s="44" t="s">
        <v>400</v>
      </c>
      <c r="R51" s="408">
        <f>U30</f>
        <v>0</v>
      </c>
      <c r="S51" s="409" t="s">
        <v>6</v>
      </c>
      <c r="T51" s="410">
        <v>4.5199999999999997E-2</v>
      </c>
      <c r="U51" s="402">
        <f>ROUND(R51*T51,2)</f>
        <v>0</v>
      </c>
    </row>
    <row r="52" spans="1:22" x14ac:dyDescent="0.25">
      <c r="A52" s="26"/>
      <c r="B52" s="81" t="s">
        <v>401</v>
      </c>
      <c r="C52" s="26"/>
      <c r="D52" s="26"/>
      <c r="E52" s="43" t="s">
        <v>400</v>
      </c>
      <c r="F52" s="400">
        <f>I46</f>
        <v>685148.45000000007</v>
      </c>
      <c r="G52" s="109" t="s">
        <v>6</v>
      </c>
      <c r="H52" s="401">
        <v>1.41E-2</v>
      </c>
      <c r="I52" s="101">
        <f>ROUND(F52*H52,2)</f>
        <v>9660.59</v>
      </c>
      <c r="N52" s="28"/>
      <c r="O52" s="383" t="s">
        <v>401</v>
      </c>
      <c r="P52" s="28"/>
      <c r="Q52" s="44" t="s">
        <v>400</v>
      </c>
      <c r="R52" s="408">
        <f>U30</f>
        <v>0</v>
      </c>
      <c r="S52" s="409" t="s">
        <v>6</v>
      </c>
      <c r="T52" s="410">
        <v>1.41E-2</v>
      </c>
      <c r="U52" s="411">
        <f>ROUND(R52*T52,2)</f>
        <v>0</v>
      </c>
    </row>
    <row r="53" spans="1:22" x14ac:dyDescent="0.25">
      <c r="A53" s="26"/>
      <c r="B53" s="81" t="s">
        <v>402</v>
      </c>
      <c r="C53" s="26"/>
      <c r="D53" s="26"/>
      <c r="E53" s="43"/>
      <c r="F53" s="400"/>
      <c r="G53" s="109"/>
      <c r="H53" s="401"/>
      <c r="I53" s="97">
        <f>SUM(I51:I52)</f>
        <v>40629.300000000003</v>
      </c>
      <c r="N53" s="28"/>
      <c r="O53" s="383" t="s">
        <v>402</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440</v>
      </c>
      <c r="G55" s="109" t="s">
        <v>441</v>
      </c>
      <c r="H55" s="454" t="s">
        <v>442</v>
      </c>
      <c r="I55" s="101"/>
      <c r="N55" s="448"/>
      <c r="O55" s="448"/>
      <c r="P55" s="464"/>
      <c r="Q55" s="465"/>
      <c r="R55" s="466"/>
      <c r="S55" s="468" t="s">
        <v>441</v>
      </c>
      <c r="T55" s="469" t="s">
        <v>442</v>
      </c>
      <c r="U55" s="467"/>
      <c r="V55" s="424"/>
    </row>
    <row r="56" spans="1:22" x14ac:dyDescent="0.25">
      <c r="A56" s="36" t="s">
        <v>443</v>
      </c>
      <c r="B56" s="36"/>
      <c r="C56" s="324" t="str">
        <f>'1461'!C56</f>
        <v>FTE</v>
      </c>
      <c r="D56" s="324" t="str">
        <f>'1461'!D56</f>
        <v>FTE</v>
      </c>
      <c r="E56" s="90" t="s">
        <v>2</v>
      </c>
      <c r="F56" s="439" t="s">
        <v>444</v>
      </c>
      <c r="G56" s="441" t="s">
        <v>444</v>
      </c>
      <c r="H56" s="455" t="s">
        <v>445</v>
      </c>
      <c r="I56" s="36"/>
      <c r="N56" s="459" t="s">
        <v>443</v>
      </c>
      <c r="O56" s="459"/>
      <c r="P56" s="620" t="s">
        <v>2</v>
      </c>
      <c r="Q56" s="620"/>
      <c r="R56" s="459" t="s">
        <v>449</v>
      </c>
      <c r="S56" s="450" t="s">
        <v>444</v>
      </c>
      <c r="T56" s="470" t="s">
        <v>445</v>
      </c>
      <c r="U56" s="459"/>
      <c r="V56" s="458"/>
    </row>
    <row r="57" spans="1:22" x14ac:dyDescent="0.25">
      <c r="A57" s="588" t="s">
        <v>447</v>
      </c>
      <c r="B57" s="588"/>
      <c r="C57" s="143">
        <v>0</v>
      </c>
      <c r="D57" s="143">
        <v>0</v>
      </c>
      <c r="E57" s="116">
        <f t="shared" ref="E57:E65" si="10">IF(D$66=0,C57*2,C57+D57)</f>
        <v>0</v>
      </c>
      <c r="F57" s="443" t="s">
        <v>439</v>
      </c>
      <c r="G57" s="443">
        <v>251</v>
      </c>
      <c r="H57" s="457">
        <f>'1461'!H57</f>
        <v>1047</v>
      </c>
      <c r="I57" s="101">
        <f>ROUND(E57*H57,2)</f>
        <v>0</v>
      </c>
      <c r="N57" s="618" t="s">
        <v>447</v>
      </c>
      <c r="O57" s="618"/>
      <c r="P57" s="621"/>
      <c r="Q57" s="621"/>
      <c r="R57" s="449" t="s">
        <v>439</v>
      </c>
      <c r="S57" s="449">
        <v>251</v>
      </c>
      <c r="T57" s="460">
        <f>H57</f>
        <v>1047</v>
      </c>
      <c r="U57" s="474">
        <f>ROUND(P57*T57,2)</f>
        <v>0</v>
      </c>
      <c r="V57" s="424"/>
    </row>
    <row r="58" spans="1:22" x14ac:dyDescent="0.25">
      <c r="A58" s="589"/>
      <c r="B58" s="589"/>
      <c r="C58" s="143">
        <v>0</v>
      </c>
      <c r="D58" s="143">
        <v>0</v>
      </c>
      <c r="E58" s="116">
        <f t="shared" si="10"/>
        <v>0</v>
      </c>
      <c r="F58" s="443" t="s">
        <v>439</v>
      </c>
      <c r="G58" s="443">
        <v>252</v>
      </c>
      <c r="H58" s="457">
        <f>'1461'!H58</f>
        <v>3380</v>
      </c>
      <c r="I58" s="101">
        <f t="shared" ref="I58:I65" si="11">ROUND(E58*H58,2)</f>
        <v>0</v>
      </c>
      <c r="N58" s="619"/>
      <c r="O58" s="619"/>
      <c r="P58" s="622"/>
      <c r="Q58" s="622"/>
      <c r="R58" s="449" t="s">
        <v>439</v>
      </c>
      <c r="S58" s="449">
        <v>252</v>
      </c>
      <c r="T58" s="460">
        <f t="shared" ref="T58:T65" si="12">H58</f>
        <v>3380</v>
      </c>
      <c r="U58" s="474">
        <f t="shared" ref="U58:U65" si="13">ROUND(P58*T58,2)</f>
        <v>0</v>
      </c>
      <c r="V58" s="424"/>
    </row>
    <row r="59" spans="1:22" x14ac:dyDescent="0.25">
      <c r="A59" s="589"/>
      <c r="B59" s="589"/>
      <c r="C59" s="143">
        <v>0</v>
      </c>
      <c r="D59" s="143">
        <v>0</v>
      </c>
      <c r="E59" s="116">
        <f t="shared" si="10"/>
        <v>0</v>
      </c>
      <c r="F59" s="443" t="s">
        <v>439</v>
      </c>
      <c r="G59" s="443">
        <v>253</v>
      </c>
      <c r="H59" s="457">
        <f>'1461'!H59</f>
        <v>6896</v>
      </c>
      <c r="I59" s="101">
        <f t="shared" si="11"/>
        <v>0</v>
      </c>
      <c r="N59" s="619"/>
      <c r="O59" s="619"/>
      <c r="P59" s="622"/>
      <c r="Q59" s="622"/>
      <c r="R59" s="449" t="s">
        <v>439</v>
      </c>
      <c r="S59" s="449">
        <v>253</v>
      </c>
      <c r="T59" s="460">
        <f t="shared" si="12"/>
        <v>6896</v>
      </c>
      <c r="U59" s="474">
        <f t="shared" si="13"/>
        <v>0</v>
      </c>
      <c r="V59" s="424"/>
    </row>
    <row r="60" spans="1:22" x14ac:dyDescent="0.25">
      <c r="A60" s="589"/>
      <c r="B60" s="589"/>
      <c r="C60" s="143">
        <v>0</v>
      </c>
      <c r="D60" s="143">
        <v>0</v>
      </c>
      <c r="E60" s="116">
        <f t="shared" si="10"/>
        <v>0</v>
      </c>
      <c r="F60" s="444" t="s">
        <v>13</v>
      </c>
      <c r="G60" s="443">
        <v>251</v>
      </c>
      <c r="H60" s="457">
        <f>'1461'!H60</f>
        <v>1173</v>
      </c>
      <c r="I60" s="101">
        <f t="shared" si="11"/>
        <v>0</v>
      </c>
      <c r="N60" s="619"/>
      <c r="O60" s="619"/>
      <c r="P60" s="622"/>
      <c r="Q60" s="622"/>
      <c r="R60" s="40" t="s">
        <v>13</v>
      </c>
      <c r="S60" s="449">
        <v>251</v>
      </c>
      <c r="T60" s="460">
        <f t="shared" si="12"/>
        <v>1173</v>
      </c>
      <c r="U60" s="474">
        <f t="shared" si="13"/>
        <v>0</v>
      </c>
      <c r="V60" s="424"/>
    </row>
    <row r="61" spans="1:22" x14ac:dyDescent="0.25">
      <c r="A61" s="589"/>
      <c r="B61" s="589"/>
      <c r="C61" s="143">
        <v>0</v>
      </c>
      <c r="D61" s="143">
        <v>0</v>
      </c>
      <c r="E61" s="116">
        <f t="shared" si="10"/>
        <v>0</v>
      </c>
      <c r="F61" s="444" t="s">
        <v>13</v>
      </c>
      <c r="G61" s="443">
        <v>252</v>
      </c>
      <c r="H61" s="457">
        <f>'1461'!H61</f>
        <v>3506</v>
      </c>
      <c r="I61" s="101">
        <f t="shared" si="11"/>
        <v>0</v>
      </c>
      <c r="N61" s="619"/>
      <c r="O61" s="619"/>
      <c r="P61" s="622"/>
      <c r="Q61" s="622"/>
      <c r="R61" s="40" t="s">
        <v>13</v>
      </c>
      <c r="S61" s="449">
        <v>252</v>
      </c>
      <c r="T61" s="460">
        <f t="shared" si="12"/>
        <v>3506</v>
      </c>
      <c r="U61" s="474">
        <f t="shared" si="13"/>
        <v>0</v>
      </c>
      <c r="V61" s="424"/>
    </row>
    <row r="62" spans="1:22" x14ac:dyDescent="0.25">
      <c r="A62" s="589"/>
      <c r="B62" s="589"/>
      <c r="C62" s="143">
        <v>0</v>
      </c>
      <c r="D62" s="143">
        <v>0</v>
      </c>
      <c r="E62" s="116">
        <f t="shared" si="10"/>
        <v>0</v>
      </c>
      <c r="F62" s="444" t="s">
        <v>13</v>
      </c>
      <c r="G62" s="443">
        <v>253</v>
      </c>
      <c r="H62" s="457">
        <f>'1461'!H62</f>
        <v>7023</v>
      </c>
      <c r="I62" s="101">
        <f t="shared" si="11"/>
        <v>0</v>
      </c>
      <c r="N62" s="619"/>
      <c r="O62" s="619"/>
      <c r="P62" s="622"/>
      <c r="Q62" s="622"/>
      <c r="R62" s="40" t="s">
        <v>13</v>
      </c>
      <c r="S62" s="449">
        <v>253</v>
      </c>
      <c r="T62" s="460">
        <f t="shared" si="12"/>
        <v>7023</v>
      </c>
      <c r="U62" s="474">
        <f t="shared" si="13"/>
        <v>0</v>
      </c>
      <c r="V62" s="424"/>
    </row>
    <row r="63" spans="1:22" x14ac:dyDescent="0.25">
      <c r="A63" s="589"/>
      <c r="B63" s="589"/>
      <c r="C63" s="143">
        <v>10.5</v>
      </c>
      <c r="D63" s="143">
        <v>9</v>
      </c>
      <c r="E63" s="116">
        <f t="shared" si="10"/>
        <v>19.5</v>
      </c>
      <c r="F63" s="444" t="s">
        <v>14</v>
      </c>
      <c r="G63" s="443">
        <v>251</v>
      </c>
      <c r="H63" s="457">
        <f>'1461'!H63</f>
        <v>835</v>
      </c>
      <c r="I63" s="101">
        <f t="shared" si="11"/>
        <v>16282.5</v>
      </c>
      <c r="N63" s="619"/>
      <c r="O63" s="619"/>
      <c r="P63" s="622"/>
      <c r="Q63" s="622"/>
      <c r="R63" s="40" t="s">
        <v>14</v>
      </c>
      <c r="S63" s="449">
        <v>251</v>
      </c>
      <c r="T63" s="460">
        <f t="shared" si="12"/>
        <v>835</v>
      </c>
      <c r="U63" s="474">
        <f t="shared" si="13"/>
        <v>0</v>
      </c>
      <c r="V63" s="424"/>
    </row>
    <row r="64" spans="1:22" x14ac:dyDescent="0.25">
      <c r="A64" s="589"/>
      <c r="B64" s="589"/>
      <c r="C64" s="143">
        <v>0.5</v>
      </c>
      <c r="D64" s="143">
        <v>0</v>
      </c>
      <c r="E64" s="116">
        <f t="shared" si="10"/>
        <v>0.5</v>
      </c>
      <c r="F64" s="444" t="s">
        <v>14</v>
      </c>
      <c r="G64" s="443">
        <v>252</v>
      </c>
      <c r="H64" s="457">
        <f>'1461'!H64</f>
        <v>3168</v>
      </c>
      <c r="I64" s="101">
        <f t="shared" si="11"/>
        <v>1584</v>
      </c>
      <c r="N64" s="619"/>
      <c r="O64" s="619"/>
      <c r="P64" s="622"/>
      <c r="Q64" s="622"/>
      <c r="R64" s="40" t="s">
        <v>14</v>
      </c>
      <c r="S64" s="449">
        <v>252</v>
      </c>
      <c r="T64" s="460">
        <f t="shared" si="12"/>
        <v>3168</v>
      </c>
      <c r="U64" s="474">
        <f t="shared" si="13"/>
        <v>0</v>
      </c>
      <c r="V64" s="424"/>
    </row>
    <row r="65" spans="1:22" ht="16.5" thickBot="1" x14ac:dyDescent="0.3">
      <c r="A65" s="589"/>
      <c r="B65" s="589"/>
      <c r="C65" s="143">
        <v>0</v>
      </c>
      <c r="D65" s="143">
        <v>0</v>
      </c>
      <c r="E65" s="116">
        <f t="shared" si="10"/>
        <v>0</v>
      </c>
      <c r="F65" s="444" t="s">
        <v>14</v>
      </c>
      <c r="G65" s="443">
        <v>253</v>
      </c>
      <c r="H65" s="457">
        <f>'1461'!H65</f>
        <v>6685</v>
      </c>
      <c r="I65" s="101">
        <f t="shared" si="11"/>
        <v>0</v>
      </c>
      <c r="N65" s="619"/>
      <c r="O65" s="619"/>
      <c r="P65" s="623"/>
      <c r="Q65" s="623"/>
      <c r="R65" s="40" t="s">
        <v>14</v>
      </c>
      <c r="S65" s="449">
        <v>253</v>
      </c>
      <c r="T65" s="460">
        <f t="shared" si="12"/>
        <v>6685</v>
      </c>
      <c r="U65" s="475">
        <f t="shared" si="13"/>
        <v>0</v>
      </c>
      <c r="V65" s="424"/>
    </row>
    <row r="66" spans="1:22" ht="16.5" thickBot="1" x14ac:dyDescent="0.3">
      <c r="A66" s="440"/>
      <c r="C66" s="97">
        <f>SUM(C57:C65)</f>
        <v>11</v>
      </c>
      <c r="D66" s="97">
        <f>SUM(D57:D65)</f>
        <v>9</v>
      </c>
      <c r="E66" s="97">
        <f>SUM(E57:E65)</f>
        <v>20</v>
      </c>
      <c r="F66" s="590" t="s">
        <v>448</v>
      </c>
      <c r="G66" s="590"/>
      <c r="H66" s="590"/>
      <c r="I66" s="97">
        <f>SUM(I57:I65)</f>
        <v>17866.5</v>
      </c>
      <c r="N66" s="446"/>
      <c r="O66" s="51"/>
      <c r="P66" s="602">
        <f>SUM(P57:P65)</f>
        <v>0</v>
      </c>
      <c r="Q66" s="602"/>
      <c r="R66" s="603" t="s">
        <v>448</v>
      </c>
      <c r="S66" s="603"/>
      <c r="T66" s="603"/>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450</v>
      </c>
      <c r="N68" s="453" t="s">
        <v>458</v>
      </c>
      <c r="O68" s="51"/>
      <c r="P68" s="51"/>
      <c r="Q68" s="51"/>
      <c r="R68" s="51"/>
      <c r="S68" s="51"/>
      <c r="T68" s="51"/>
      <c r="U68" s="51"/>
    </row>
    <row r="69" spans="1:22" x14ac:dyDescent="0.25">
      <c r="A69" s="584" t="s">
        <v>403</v>
      </c>
      <c r="B69" s="578"/>
      <c r="C69" s="112">
        <f>E30</f>
        <v>120.52000000000001</v>
      </c>
      <c r="D69" s="565" t="s">
        <v>414</v>
      </c>
      <c r="E69" s="565"/>
      <c r="F69" s="565"/>
      <c r="G69" s="565"/>
      <c r="H69" s="300">
        <f>'1461'!H69</f>
        <v>210228.91</v>
      </c>
      <c r="I69" s="113"/>
      <c r="N69" s="600" t="s">
        <v>407</v>
      </c>
      <c r="O69" s="601"/>
      <c r="P69" s="41">
        <f>P30</f>
        <v>0</v>
      </c>
      <c r="Q69" s="606" t="s">
        <v>409</v>
      </c>
      <c r="R69" s="607"/>
      <c r="S69" s="607"/>
      <c r="T69" s="604">
        <f>H69</f>
        <v>210228.91</v>
      </c>
      <c r="U69" s="604"/>
    </row>
    <row r="70" spans="1:22" x14ac:dyDescent="0.25">
      <c r="B70" s="69"/>
      <c r="G70" s="42" t="s">
        <v>12</v>
      </c>
      <c r="H70" s="114">
        <f>ROUND(C69/H69,6)</f>
        <v>5.7300000000000005E-4</v>
      </c>
      <c r="I70" s="115"/>
      <c r="N70" s="601"/>
      <c r="O70" s="601"/>
      <c r="P70" s="601"/>
      <c r="Q70" s="601"/>
      <c r="R70" s="601"/>
      <c r="S70" s="601"/>
      <c r="T70" s="605">
        <f>ROUND(P69/T69,6)</f>
        <v>0</v>
      </c>
      <c r="U70" s="605"/>
    </row>
    <row r="71" spans="1:22" x14ac:dyDescent="0.25">
      <c r="A71" s="442" t="s">
        <v>451</v>
      </c>
      <c r="N71" s="453" t="s">
        <v>459</v>
      </c>
      <c r="O71" s="51"/>
      <c r="P71" s="51"/>
      <c r="Q71" s="51"/>
      <c r="R71" s="51"/>
      <c r="S71" s="51"/>
      <c r="T71" s="51"/>
      <c r="U71" s="51"/>
    </row>
    <row r="72" spans="1:22" x14ac:dyDescent="0.25">
      <c r="A72" s="584" t="s">
        <v>404</v>
      </c>
      <c r="B72" s="578"/>
      <c r="C72" s="112">
        <f>H30</f>
        <v>123.48390000000002</v>
      </c>
      <c r="D72" s="565" t="s">
        <v>415</v>
      </c>
      <c r="E72" s="565"/>
      <c r="F72" s="565"/>
      <c r="G72" s="565"/>
      <c r="H72" s="301">
        <f>'1461'!H72</f>
        <v>234891.44</v>
      </c>
      <c r="I72" s="116"/>
      <c r="N72" s="600" t="s">
        <v>408</v>
      </c>
      <c r="O72" s="601"/>
      <c r="P72" s="41">
        <f>T30</f>
        <v>0</v>
      </c>
      <c r="Q72" s="606" t="s">
        <v>410</v>
      </c>
      <c r="R72" s="607"/>
      <c r="S72" s="607"/>
      <c r="T72" s="604">
        <f>H72</f>
        <v>234891.44</v>
      </c>
      <c r="U72" s="604"/>
    </row>
    <row r="73" spans="1:22" x14ac:dyDescent="0.25">
      <c r="G73" s="42" t="s">
        <v>12</v>
      </c>
      <c r="H73" s="114">
        <f>ROUND(C72/H72,6)</f>
        <v>5.2599999999999999E-4</v>
      </c>
      <c r="I73" s="114"/>
      <c r="N73" s="601"/>
      <c r="O73" s="601"/>
      <c r="P73" s="601"/>
      <c r="Q73" s="601"/>
      <c r="R73" s="601"/>
      <c r="S73" s="601"/>
      <c r="T73" s="605">
        <f>ROUND(P72/T72,6)</f>
        <v>0</v>
      </c>
      <c r="U73" s="605"/>
    </row>
    <row r="74" spans="1:22" x14ac:dyDescent="0.25">
      <c r="A74" s="417" t="s">
        <v>452</v>
      </c>
      <c r="B74" s="414"/>
      <c r="C74" s="414"/>
      <c r="D74" s="414"/>
      <c r="E74" s="414"/>
      <c r="F74" s="414"/>
      <c r="G74" s="414"/>
      <c r="H74" s="414"/>
      <c r="I74" s="414"/>
      <c r="N74" s="416" t="s">
        <v>460</v>
      </c>
      <c r="O74" s="415"/>
      <c r="P74" s="415"/>
      <c r="Q74" s="415"/>
      <c r="R74" s="415"/>
      <c r="S74" s="415"/>
      <c r="T74" s="415"/>
      <c r="U74" s="415"/>
      <c r="V74" s="414"/>
    </row>
    <row r="75" spans="1:22" x14ac:dyDescent="0.25">
      <c r="A75" s="584" t="s">
        <v>405</v>
      </c>
      <c r="B75" s="578"/>
      <c r="C75" s="112">
        <f>E30</f>
        <v>120.52000000000001</v>
      </c>
      <c r="D75" s="557" t="s">
        <v>416</v>
      </c>
      <c r="E75" s="557"/>
      <c r="F75" s="557"/>
      <c r="G75" s="557"/>
      <c r="H75" s="300">
        <f>'1461'!H75</f>
        <v>187665.41</v>
      </c>
      <c r="I75" s="113"/>
      <c r="N75" s="600" t="s">
        <v>406</v>
      </c>
      <c r="O75" s="601"/>
      <c r="P75" s="41">
        <f>P30</f>
        <v>0</v>
      </c>
      <c r="Q75" s="636" t="s">
        <v>411</v>
      </c>
      <c r="R75" s="637"/>
      <c r="S75" s="637"/>
      <c r="T75" s="604">
        <f>H75</f>
        <v>187665.41</v>
      </c>
      <c r="U75" s="604"/>
    </row>
    <row r="76" spans="1:22" x14ac:dyDescent="0.25">
      <c r="B76" s="69"/>
      <c r="G76" s="42" t="s">
        <v>12</v>
      </c>
      <c r="H76" s="114">
        <f>ROUND(C75/H75,6)</f>
        <v>6.4199999999999999E-4</v>
      </c>
      <c r="I76" s="115"/>
      <c r="N76" s="601"/>
      <c r="O76" s="601"/>
      <c r="P76" s="601"/>
      <c r="Q76" s="601"/>
      <c r="R76" s="601"/>
      <c r="S76" s="601"/>
      <c r="T76" s="605">
        <f>ROUND(P75/T75,6)</f>
        <v>0</v>
      </c>
      <c r="U76" s="605"/>
    </row>
    <row r="77" spans="1:22" x14ac:dyDescent="0.25">
      <c r="A77" s="417" t="s">
        <v>453</v>
      </c>
      <c r="B77" s="414"/>
      <c r="C77" s="414"/>
      <c r="D77" s="414"/>
      <c r="E77" s="414"/>
      <c r="F77" s="414"/>
      <c r="G77" s="414"/>
      <c r="H77" s="414"/>
      <c r="I77" s="414"/>
      <c r="N77" s="416" t="s">
        <v>461</v>
      </c>
      <c r="O77" s="415"/>
      <c r="P77" s="415"/>
      <c r="Q77" s="415"/>
      <c r="R77" s="415"/>
      <c r="S77" s="415"/>
      <c r="T77" s="415"/>
      <c r="U77" s="415"/>
      <c r="V77" s="414"/>
    </row>
    <row r="78" spans="1:22" x14ac:dyDescent="0.25">
      <c r="A78" s="584" t="s">
        <v>405</v>
      </c>
      <c r="B78" s="578"/>
      <c r="C78" s="112">
        <f>E30</f>
        <v>120.52000000000001</v>
      </c>
      <c r="D78" s="585" t="s">
        <v>417</v>
      </c>
      <c r="E78" s="585"/>
      <c r="F78" s="585"/>
      <c r="G78" s="585"/>
      <c r="H78" s="300">
        <f>'1461'!H78</f>
        <v>209892.26</v>
      </c>
      <c r="I78" s="113"/>
      <c r="N78" s="600" t="s">
        <v>406</v>
      </c>
      <c r="O78" s="601"/>
      <c r="P78" s="41">
        <f>P30</f>
        <v>0</v>
      </c>
      <c r="Q78" s="634" t="s">
        <v>412</v>
      </c>
      <c r="R78" s="635"/>
      <c r="S78" s="635"/>
      <c r="T78" s="604">
        <f>H78</f>
        <v>209892.26</v>
      </c>
      <c r="U78" s="604"/>
    </row>
    <row r="79" spans="1:22" x14ac:dyDescent="0.25">
      <c r="B79" s="69"/>
      <c r="G79" s="42" t="s">
        <v>12</v>
      </c>
      <c r="H79" s="114">
        <f>ROUND(C78/H78,6)</f>
        <v>5.7399999999999997E-4</v>
      </c>
      <c r="I79" s="115"/>
      <c r="N79" s="601"/>
      <c r="O79" s="601"/>
      <c r="P79" s="601"/>
      <c r="Q79" s="601"/>
      <c r="R79" s="601"/>
      <c r="S79" s="601"/>
      <c r="T79" s="605">
        <f>ROUND(P78/T78,6)</f>
        <v>0</v>
      </c>
      <c r="U79" s="605"/>
    </row>
    <row r="80" spans="1:22" x14ac:dyDescent="0.25">
      <c r="A80" s="417" t="s">
        <v>454</v>
      </c>
      <c r="B80" s="414"/>
      <c r="C80" s="414"/>
      <c r="D80" s="414"/>
      <c r="E80" s="414"/>
      <c r="F80" s="414"/>
      <c r="G80" s="414"/>
      <c r="H80" s="414"/>
      <c r="I80" s="414"/>
      <c r="N80" s="416" t="s">
        <v>462</v>
      </c>
      <c r="O80" s="415"/>
      <c r="P80" s="415"/>
      <c r="Q80" s="415"/>
      <c r="R80" s="415"/>
      <c r="S80" s="415"/>
      <c r="T80" s="415"/>
      <c r="U80" s="415"/>
      <c r="V80" s="414"/>
    </row>
    <row r="81" spans="1:21" x14ac:dyDescent="0.25">
      <c r="A81" s="584" t="s">
        <v>413</v>
      </c>
      <c r="B81" s="578"/>
      <c r="C81" s="112">
        <f>E30</f>
        <v>120.52000000000001</v>
      </c>
      <c r="D81" s="557" t="s">
        <v>418</v>
      </c>
      <c r="E81" s="557"/>
      <c r="F81" s="557"/>
      <c r="G81" s="557"/>
      <c r="H81" s="300">
        <f>'1461'!H81</f>
        <v>187328.76</v>
      </c>
      <c r="I81" s="113"/>
      <c r="N81" s="600" t="s">
        <v>419</v>
      </c>
      <c r="O81" s="601"/>
      <c r="P81" s="41">
        <f>P30</f>
        <v>0</v>
      </c>
      <c r="Q81" s="636" t="s">
        <v>420</v>
      </c>
      <c r="R81" s="637"/>
      <c r="S81" s="637"/>
      <c r="T81" s="604">
        <f>H81</f>
        <v>187328.76</v>
      </c>
      <c r="U81" s="604"/>
    </row>
    <row r="82" spans="1:21" x14ac:dyDescent="0.25">
      <c r="B82" s="69"/>
      <c r="G82" s="42" t="s">
        <v>12</v>
      </c>
      <c r="H82" s="114">
        <f>ROUND(C81/H81,6)</f>
        <v>6.4300000000000002E-4</v>
      </c>
      <c r="I82" s="115"/>
      <c r="N82" s="601"/>
      <c r="O82" s="601"/>
      <c r="P82" s="601"/>
      <c r="Q82" s="601"/>
      <c r="R82" s="601"/>
      <c r="S82" s="601"/>
      <c r="T82" s="605">
        <f>ROUND(P81/T81,6)</f>
        <v>0</v>
      </c>
      <c r="U82" s="605"/>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455</v>
      </c>
      <c r="D85" s="69"/>
      <c r="E85" s="43" t="s">
        <v>299</v>
      </c>
      <c r="F85" s="302">
        <f>'1461'!F85</f>
        <v>46163704</v>
      </c>
      <c r="G85" s="37" t="s">
        <v>6</v>
      </c>
      <c r="H85" s="422">
        <f>H79</f>
        <v>5.7399999999999997E-4</v>
      </c>
      <c r="I85" s="101">
        <f>ROUND(F85*H85,2)</f>
        <v>26497.97</v>
      </c>
      <c r="N85" s="453" t="s">
        <v>455</v>
      </c>
      <c r="O85" s="51"/>
      <c r="P85" s="51"/>
      <c r="Q85" s="44"/>
      <c r="R85" s="419">
        <f>F85</f>
        <v>46163704</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87" t="s">
        <v>71</v>
      </c>
      <c r="B87" s="578"/>
      <c r="C87" s="578"/>
      <c r="D87" s="69"/>
      <c r="E87" s="43"/>
      <c r="F87" s="153"/>
      <c r="G87" s="37"/>
      <c r="H87" s="422"/>
      <c r="I87" s="101"/>
      <c r="N87" s="600" t="s">
        <v>463</v>
      </c>
      <c r="O87" s="601"/>
      <c r="P87" s="601"/>
      <c r="Q87" s="51"/>
      <c r="R87" s="420"/>
      <c r="S87" s="51"/>
      <c r="T87" s="38"/>
      <c r="U87" s="478"/>
    </row>
    <row r="88" spans="1:21" x14ac:dyDescent="0.25">
      <c r="A88" s="587" t="s">
        <v>99</v>
      </c>
      <c r="B88" s="578"/>
      <c r="C88" s="578"/>
      <c r="D88" s="69"/>
      <c r="E88" s="43" t="s">
        <v>3</v>
      </c>
      <c r="F88" s="302">
        <f>'1461'!F88</f>
        <v>0</v>
      </c>
      <c r="G88" s="37" t="s">
        <v>6</v>
      </c>
      <c r="H88" s="422">
        <f>H70</f>
        <v>5.7300000000000005E-4</v>
      </c>
      <c r="I88" s="101">
        <f>ROUND(F88*H88,2)</f>
        <v>0</v>
      </c>
      <c r="N88" s="638" t="s">
        <v>99</v>
      </c>
      <c r="O88" s="601"/>
      <c r="P88" s="601"/>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456</v>
      </c>
      <c r="D90" s="69"/>
      <c r="E90" s="43" t="s">
        <v>421</v>
      </c>
      <c r="F90" s="302">
        <f>'1461'!F90</f>
        <v>19042026</v>
      </c>
      <c r="G90" s="37" t="s">
        <v>6</v>
      </c>
      <c r="H90" s="422">
        <f>H82</f>
        <v>6.4300000000000002E-4</v>
      </c>
      <c r="I90" s="101">
        <f>ROUND(F90*H90,2)</f>
        <v>12244.02</v>
      </c>
      <c r="N90" s="453" t="s">
        <v>456</v>
      </c>
      <c r="O90" s="51"/>
      <c r="P90" s="51"/>
      <c r="Q90" s="44"/>
      <c r="R90" s="419">
        <f>F90</f>
        <v>19042026</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457</v>
      </c>
      <c r="D92" s="69"/>
      <c r="E92" s="43" t="s">
        <v>3</v>
      </c>
      <c r="F92" s="302">
        <f>'1461'!F92</f>
        <v>11441151</v>
      </c>
      <c r="G92" s="37" t="s">
        <v>6</v>
      </c>
      <c r="H92" s="422">
        <f>H76</f>
        <v>6.4199999999999999E-4</v>
      </c>
      <c r="I92" s="101">
        <f t="shared" ref="I92:I96" si="14">ROUND(F92*H92,2)</f>
        <v>7345.22</v>
      </c>
      <c r="N92" s="453" t="s">
        <v>457</v>
      </c>
      <c r="O92" s="51"/>
      <c r="P92" s="51"/>
      <c r="Q92" s="44"/>
      <c r="R92" s="419">
        <f t="shared" ref="R92:R96" si="15">F92</f>
        <v>11441151</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84" t="s">
        <v>422</v>
      </c>
      <c r="B94" s="578"/>
      <c r="C94" s="578"/>
      <c r="D94" s="69"/>
      <c r="E94" s="43" t="s">
        <v>4</v>
      </c>
      <c r="F94" s="302">
        <f>'1461'!F94</f>
        <v>247265670</v>
      </c>
      <c r="G94" s="37" t="s">
        <v>6</v>
      </c>
      <c r="H94" s="422">
        <f>H73</f>
        <v>5.2599999999999999E-4</v>
      </c>
      <c r="I94" s="101">
        <f t="shared" si="14"/>
        <v>130061.74</v>
      </c>
      <c r="N94" s="601" t="s">
        <v>422</v>
      </c>
      <c r="O94" s="601"/>
      <c r="P94" s="601"/>
      <c r="Q94" s="44"/>
      <c r="R94" s="419">
        <f t="shared" si="15"/>
        <v>247265670</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4" t="s">
        <v>423</v>
      </c>
      <c r="B96" s="578"/>
      <c r="C96" s="578"/>
      <c r="D96" s="69"/>
      <c r="E96" s="43" t="s">
        <v>4</v>
      </c>
      <c r="F96" s="302">
        <f>'1461'!F96</f>
        <v>0</v>
      </c>
      <c r="G96" s="37" t="s">
        <v>6</v>
      </c>
      <c r="H96" s="422">
        <f>H73</f>
        <v>5.2599999999999999E-4</v>
      </c>
      <c r="I96" s="101">
        <f t="shared" si="14"/>
        <v>0</v>
      </c>
      <c r="N96" s="600" t="s">
        <v>423</v>
      </c>
      <c r="O96" s="601"/>
      <c r="P96" s="601"/>
      <c r="Q96" s="44"/>
      <c r="R96" s="419">
        <f t="shared" si="15"/>
        <v>0</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530" t="s">
        <v>497</v>
      </c>
      <c r="B98" s="529"/>
      <c r="C98" s="529"/>
      <c r="D98" s="529"/>
      <c r="E98" s="527" t="s">
        <v>3</v>
      </c>
      <c r="F98" s="290">
        <v>0</v>
      </c>
      <c r="G98" s="528" t="s">
        <v>6</v>
      </c>
      <c r="H98" s="422">
        <f>H70</f>
        <v>5.7300000000000005E-4</v>
      </c>
      <c r="I98" s="101">
        <f t="shared" ref="I98" si="16">ROUND(F98*H98,2)</f>
        <v>0</v>
      </c>
      <c r="N98" s="533" t="s">
        <v>497</v>
      </c>
      <c r="O98" s="533"/>
      <c r="P98" s="533"/>
      <c r="Q98" s="44"/>
      <c r="R98" s="536">
        <f>F98</f>
        <v>0</v>
      </c>
      <c r="S98" s="534" t="s">
        <v>6</v>
      </c>
      <c r="T98" s="421">
        <f>T70</f>
        <v>0</v>
      </c>
      <c r="U98" s="473">
        <f>ROUND(R98*T98,2)</f>
        <v>0</v>
      </c>
    </row>
    <row r="99" spans="1:21" x14ac:dyDescent="0.25">
      <c r="A99" s="530"/>
      <c r="B99" s="529"/>
      <c r="C99" s="529"/>
      <c r="D99" s="529"/>
      <c r="E99" s="527"/>
      <c r="F99" s="276"/>
      <c r="G99" s="528"/>
      <c r="H99" s="422"/>
      <c r="I99" s="101"/>
      <c r="N99" s="533"/>
      <c r="O99" s="533"/>
      <c r="P99" s="533"/>
      <c r="Q99" s="44"/>
      <c r="R99" s="535"/>
      <c r="S99" s="534"/>
      <c r="T99" s="421"/>
      <c r="U99" s="477"/>
    </row>
    <row r="100" spans="1:21" x14ac:dyDescent="0.25">
      <c r="A100" s="530"/>
      <c r="B100" s="529"/>
      <c r="C100" s="529"/>
      <c r="D100" s="529"/>
      <c r="E100" s="527"/>
      <c r="F100" s="276"/>
      <c r="G100" s="528"/>
      <c r="H100" s="422"/>
      <c r="I100" s="101"/>
      <c r="N100" s="533"/>
      <c r="O100" s="533"/>
      <c r="P100" s="533"/>
      <c r="Q100" s="44"/>
      <c r="R100" s="420"/>
      <c r="S100" s="534"/>
      <c r="T100" s="421"/>
      <c r="U100" s="103"/>
    </row>
    <row r="101" spans="1:21" x14ac:dyDescent="0.25">
      <c r="A101" s="399" t="s">
        <v>498</v>
      </c>
      <c r="N101" s="407" t="s">
        <v>498</v>
      </c>
      <c r="O101" s="51"/>
      <c r="P101" s="51"/>
      <c r="Q101" s="51"/>
      <c r="R101" s="51"/>
      <c r="S101" s="51"/>
      <c r="T101" s="51"/>
      <c r="U101" s="51"/>
    </row>
    <row r="102" spans="1:21" x14ac:dyDescent="0.25">
      <c r="B102" s="69"/>
      <c r="C102" s="563" t="s">
        <v>60</v>
      </c>
      <c r="D102" s="563"/>
      <c r="E102" s="69"/>
      <c r="F102" s="39" t="s">
        <v>28</v>
      </c>
      <c r="G102" s="69"/>
      <c r="H102" s="69"/>
      <c r="I102" s="69"/>
      <c r="N102" s="45"/>
      <c r="O102" s="45"/>
      <c r="P102" s="45"/>
      <c r="Q102" s="45"/>
      <c r="R102" s="45"/>
      <c r="S102" s="45"/>
      <c r="T102" s="45"/>
      <c r="U102" s="45"/>
    </row>
    <row r="103" spans="1:21" x14ac:dyDescent="0.25">
      <c r="A103" s="3"/>
      <c r="B103" s="118"/>
      <c r="C103" s="564" t="s">
        <v>101</v>
      </c>
      <c r="D103" s="564"/>
      <c r="E103" s="423" t="s">
        <v>426</v>
      </c>
      <c r="F103" s="120" t="s">
        <v>106</v>
      </c>
      <c r="G103" s="121"/>
      <c r="H103" s="121"/>
      <c r="I103" s="121"/>
      <c r="N103" s="631" t="s">
        <v>35</v>
      </c>
      <c r="O103" s="631"/>
      <c r="P103" s="672" t="s">
        <v>428</v>
      </c>
      <c r="Q103" s="633"/>
      <c r="R103" s="604" t="s">
        <v>31</v>
      </c>
      <c r="S103" s="604"/>
      <c r="T103" s="604"/>
      <c r="U103" s="604"/>
    </row>
    <row r="104" spans="1:21" x14ac:dyDescent="0.25">
      <c r="A104" s="26"/>
      <c r="B104" s="52" t="s">
        <v>105</v>
      </c>
      <c r="C104" s="596">
        <f>H14+H15+H20+H23+H26</f>
        <v>0</v>
      </c>
      <c r="D104" s="596"/>
      <c r="E104" s="46">
        <f>H8</f>
        <v>1.0407999999999999</v>
      </c>
      <c r="F104" s="303">
        <f>'1461'!F104</f>
        <v>950.92</v>
      </c>
      <c r="G104" s="39" t="s">
        <v>12</v>
      </c>
      <c r="H104" s="101">
        <f>ROUND(C104*E104*F104,2)</f>
        <v>0</v>
      </c>
      <c r="I104" s="104"/>
      <c r="N104" s="28" t="s">
        <v>17</v>
      </c>
      <c r="O104" s="47">
        <f>T14+T15+T20+T23+T26</f>
        <v>0</v>
      </c>
      <c r="P104" s="611">
        <f>T8</f>
        <v>1.0407999999999999</v>
      </c>
      <c r="Q104" s="611"/>
      <c r="R104" s="48">
        <f>F104</f>
        <v>950.92</v>
      </c>
      <c r="S104" s="40" t="s">
        <v>12</v>
      </c>
      <c r="T104" s="479">
        <f>ROUND(O104*P104*R104,2)</f>
        <v>0</v>
      </c>
      <c r="U104" s="102"/>
    </row>
    <row r="105" spans="1:21" x14ac:dyDescent="0.25">
      <c r="A105" s="49"/>
      <c r="B105" s="49" t="s">
        <v>104</v>
      </c>
      <c r="C105" s="596">
        <f>H16+H17+H21+H24+H27</f>
        <v>0</v>
      </c>
      <c r="D105" s="596"/>
      <c r="E105" s="46">
        <f>H8</f>
        <v>1.0407999999999999</v>
      </c>
      <c r="F105" s="303">
        <f>'1461'!F105</f>
        <v>907.92</v>
      </c>
      <c r="G105" s="39" t="s">
        <v>12</v>
      </c>
      <c r="H105" s="101">
        <f>ROUND(C105*E105*F105,2)</f>
        <v>0</v>
      </c>
      <c r="N105" s="50" t="s">
        <v>13</v>
      </c>
      <c r="O105" s="47">
        <f>T16+T17+T21+T24+T27</f>
        <v>0</v>
      </c>
      <c r="P105" s="611">
        <f>T8</f>
        <v>1.0407999999999999</v>
      </c>
      <c r="Q105" s="611"/>
      <c r="R105" s="48">
        <f>F105</f>
        <v>907.92</v>
      </c>
      <c r="S105" s="40" t="s">
        <v>12</v>
      </c>
      <c r="T105" s="479">
        <f>ROUND(O105*P105*R105,2)</f>
        <v>0</v>
      </c>
      <c r="U105" s="51"/>
    </row>
    <row r="106" spans="1:21" ht="16.5" thickBot="1" x14ac:dyDescent="0.3">
      <c r="A106" s="52"/>
      <c r="B106" s="52" t="s">
        <v>103</v>
      </c>
      <c r="C106" s="596">
        <f>H18+H19+H22+H25+H28+H29</f>
        <v>123.48390000000002</v>
      </c>
      <c r="D106" s="596"/>
      <c r="E106" s="46">
        <f>H8</f>
        <v>1.0407999999999999</v>
      </c>
      <c r="F106" s="303">
        <f>'1461'!F106</f>
        <v>910.12</v>
      </c>
      <c r="G106" s="39" t="s">
        <v>12</v>
      </c>
      <c r="H106" s="94">
        <f>ROUND(C106*E106*F106,2)</f>
        <v>116970.48</v>
      </c>
      <c r="N106" s="53" t="s">
        <v>14</v>
      </c>
      <c r="O106" s="54">
        <f>T18+T19+T22+T25+T28+T29</f>
        <v>0</v>
      </c>
      <c r="P106" s="611">
        <f>T8</f>
        <v>1.0407999999999999</v>
      </c>
      <c r="Q106" s="611"/>
      <c r="R106" s="48">
        <f>F106</f>
        <v>910.12</v>
      </c>
      <c r="S106" s="40" t="s">
        <v>12</v>
      </c>
      <c r="T106" s="479">
        <f>ROUND(O106*P106*R106,2)</f>
        <v>0</v>
      </c>
      <c r="U106" s="51"/>
    </row>
    <row r="107" spans="1:21" ht="16.5" thickBot="1" x14ac:dyDescent="0.3">
      <c r="A107" s="55"/>
      <c r="B107" s="122" t="s">
        <v>102</v>
      </c>
      <c r="C107" s="586">
        <f>SUM(C104:C106)</f>
        <v>123.48390000000002</v>
      </c>
      <c r="D107" s="586"/>
      <c r="E107" s="123"/>
      <c r="F107" s="123"/>
      <c r="G107" s="123"/>
      <c r="H107" s="124" t="s">
        <v>100</v>
      </c>
      <c r="I107" s="101">
        <f>IF(A1=75,0,H106+H105+H104)</f>
        <v>116970.48</v>
      </c>
      <c r="N107" s="56" t="s">
        <v>89</v>
      </c>
      <c r="O107" s="57">
        <f>SUM(O104:O106)</f>
        <v>0</v>
      </c>
      <c r="P107" s="612" t="s">
        <v>16</v>
      </c>
      <c r="Q107" s="613"/>
      <c r="R107" s="613"/>
      <c r="S107" s="613"/>
      <c r="T107" s="613"/>
      <c r="U107" s="473">
        <f>IF(N1=75,0,T106+T105+T104)</f>
        <v>0</v>
      </c>
    </row>
    <row r="108" spans="1:21" ht="16.5" thickTop="1" x14ac:dyDescent="0.25">
      <c r="A108" s="555" t="s">
        <v>65</v>
      </c>
      <c r="B108" s="555"/>
      <c r="C108" s="555"/>
      <c r="D108" s="555"/>
      <c r="E108" s="555"/>
      <c r="F108" s="555"/>
      <c r="G108" s="555"/>
      <c r="H108" s="555"/>
      <c r="I108" s="555"/>
      <c r="N108" s="614" t="s">
        <v>65</v>
      </c>
      <c r="O108" s="614"/>
      <c r="P108" s="614"/>
      <c r="Q108" s="614"/>
      <c r="R108" s="614"/>
      <c r="S108" s="614"/>
      <c r="T108" s="614"/>
      <c r="U108" s="614"/>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0" t="s">
        <v>499</v>
      </c>
      <c r="C110" s="43"/>
      <c r="D110" s="69"/>
      <c r="E110" s="43" t="s">
        <v>32</v>
      </c>
      <c r="F110" s="556"/>
      <c r="G110" s="556"/>
      <c r="H110" s="556"/>
      <c r="I110" s="556"/>
      <c r="N110" s="600" t="s">
        <v>499</v>
      </c>
      <c r="O110" s="601"/>
      <c r="P110" s="601"/>
      <c r="Q110" s="615"/>
      <c r="R110" s="615"/>
      <c r="S110" s="615"/>
      <c r="T110" s="615"/>
      <c r="U110" s="103"/>
    </row>
    <row r="111" spans="1:21" x14ac:dyDescent="0.25">
      <c r="B111" s="69"/>
      <c r="C111" s="88" t="s">
        <v>494</v>
      </c>
      <c r="D111" s="333" t="s">
        <v>495</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57" t="s">
        <v>381</v>
      </c>
      <c r="B113" s="558"/>
      <c r="C113" s="143">
        <v>40</v>
      </c>
      <c r="D113" s="143">
        <v>36</v>
      </c>
      <c r="E113" s="144">
        <f>(C113+D113)/2</f>
        <v>38</v>
      </c>
      <c r="F113" s="126" t="s">
        <v>30</v>
      </c>
      <c r="G113" s="304">
        <f>'1461'!G113</f>
        <v>576</v>
      </c>
      <c r="I113" s="101">
        <f>ROUND(G113*E113,2)</f>
        <v>21888</v>
      </c>
      <c r="N113" s="630" t="s">
        <v>52</v>
      </c>
      <c r="O113" s="630"/>
      <c r="P113" s="610">
        <f>IF(H133=1,E113,0)</f>
        <v>0</v>
      </c>
      <c r="Q113" s="610"/>
      <c r="R113" s="610"/>
      <c r="S113" s="83" t="s">
        <v>30</v>
      </c>
      <c r="T113" s="58">
        <f>G113</f>
        <v>576</v>
      </c>
      <c r="U113" s="473">
        <f>ROUND(T113*P113,2)</f>
        <v>0</v>
      </c>
    </row>
    <row r="114" spans="1:21" x14ac:dyDescent="0.25">
      <c r="A114" s="557" t="s">
        <v>382</v>
      </c>
      <c r="B114" s="558"/>
      <c r="C114" s="143">
        <v>0</v>
      </c>
      <c r="D114" s="143">
        <v>0</v>
      </c>
      <c r="E114" s="144">
        <f>(C114+D114)/2</f>
        <v>0</v>
      </c>
      <c r="F114" s="126" t="s">
        <v>30</v>
      </c>
      <c r="G114" s="304">
        <f>'1461'!G114</f>
        <v>1823</v>
      </c>
      <c r="I114" s="101">
        <f>ROUND(G114*E114,2)</f>
        <v>0</v>
      </c>
      <c r="N114" s="630" t="s">
        <v>64</v>
      </c>
      <c r="O114" s="630"/>
      <c r="P114" s="608"/>
      <c r="Q114" s="608"/>
      <c r="R114" s="608"/>
      <c r="S114" s="83" t="s">
        <v>30</v>
      </c>
      <c r="T114" s="58">
        <f>G114</f>
        <v>1823</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4" t="s">
        <v>430</v>
      </c>
      <c r="B117" s="578"/>
      <c r="C117" s="578"/>
      <c r="D117" s="69"/>
      <c r="E117" s="39" t="s">
        <v>300</v>
      </c>
      <c r="F117" s="563"/>
      <c r="G117" s="563"/>
      <c r="H117" s="563"/>
      <c r="I117" s="563"/>
      <c r="N117" s="600" t="s">
        <v>431</v>
      </c>
      <c r="O117" s="601"/>
      <c r="P117" s="601"/>
      <c r="Q117" s="601"/>
      <c r="R117" s="601"/>
      <c r="S117" s="601"/>
      <c r="T117" s="601"/>
      <c r="U117" s="601"/>
    </row>
    <row r="118" spans="1:21" hidden="1" x14ac:dyDescent="0.25">
      <c r="B118" s="69"/>
      <c r="C118" s="564" t="s">
        <v>66</v>
      </c>
      <c r="D118" s="564"/>
      <c r="E118" s="564"/>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5" t="s">
        <v>109</v>
      </c>
      <c r="G119" s="563"/>
      <c r="H119" s="37" t="s">
        <v>29</v>
      </c>
      <c r="I119" s="37"/>
      <c r="N119" s="45"/>
      <c r="O119" s="45"/>
      <c r="P119" s="45"/>
      <c r="Q119" s="45"/>
      <c r="R119" s="45"/>
      <c r="S119" s="45"/>
      <c r="T119" s="45"/>
      <c r="U119" s="45"/>
    </row>
    <row r="120" spans="1:21" hidden="1" x14ac:dyDescent="0.25">
      <c r="A120" s="564" t="s">
        <v>69</v>
      </c>
      <c r="B120" s="564"/>
      <c r="C120" s="90" t="s">
        <v>2</v>
      </c>
      <c r="D120" s="90" t="s">
        <v>2</v>
      </c>
      <c r="E120" s="59" t="s">
        <v>2</v>
      </c>
      <c r="F120" s="564" t="s">
        <v>28</v>
      </c>
      <c r="G120" s="564"/>
      <c r="H120" s="59" t="s">
        <v>28</v>
      </c>
      <c r="I120" s="59" t="s">
        <v>8</v>
      </c>
      <c r="N120" s="609" t="s">
        <v>53</v>
      </c>
      <c r="O120" s="609"/>
      <c r="P120" s="610" t="s">
        <v>66</v>
      </c>
      <c r="Q120" s="610"/>
      <c r="R120" s="609" t="s">
        <v>54</v>
      </c>
      <c r="S120" s="609"/>
      <c r="T120" s="60" t="s">
        <v>55</v>
      </c>
      <c r="U120" s="60" t="s">
        <v>8</v>
      </c>
    </row>
    <row r="121" spans="1:21" hidden="1" x14ac:dyDescent="0.25">
      <c r="A121" s="561" t="s">
        <v>56</v>
      </c>
      <c r="B121" s="561"/>
      <c r="C121" s="141">
        <v>0</v>
      </c>
      <c r="D121" s="141">
        <v>0</v>
      </c>
      <c r="E121" s="142">
        <f>IF(D30=0,C121*2,C121+D121)</f>
        <v>0</v>
      </c>
      <c r="F121" s="675">
        <v>0</v>
      </c>
      <c r="G121" s="675"/>
      <c r="H121" s="61">
        <f>IF(C121=0,0,125)</f>
        <v>0</v>
      </c>
      <c r="I121" s="101">
        <f>ROUND((H121+F121)*E121,2)</f>
        <v>0</v>
      </c>
      <c r="N121" s="601" t="s">
        <v>56</v>
      </c>
      <c r="O121" s="601"/>
      <c r="P121" s="608">
        <f>IF(H$133=1,C121,0)</f>
        <v>0</v>
      </c>
      <c r="Q121" s="608"/>
      <c r="R121" s="628">
        <f>F121</f>
        <v>0</v>
      </c>
      <c r="S121" s="628"/>
      <c r="T121" s="62">
        <f>H121</f>
        <v>0</v>
      </c>
      <c r="U121" s="96">
        <f>ROUND((T121+R121)*P121,0)</f>
        <v>0</v>
      </c>
    </row>
    <row r="122" spans="1:21" hidden="1" x14ac:dyDescent="0.25">
      <c r="A122" s="581" t="s">
        <v>57</v>
      </c>
      <c r="B122" s="581"/>
      <c r="C122" s="143">
        <v>0</v>
      </c>
      <c r="D122" s="143">
        <v>0</v>
      </c>
      <c r="E122" s="144">
        <f>IF(D31=0,C122*2,C122+D122)</f>
        <v>0</v>
      </c>
      <c r="F122" s="598">
        <f>ROUND(F121/2,2)</f>
        <v>0</v>
      </c>
      <c r="G122" s="598"/>
      <c r="H122" s="61">
        <f>IF(C122=0,0,62.5)</f>
        <v>0</v>
      </c>
      <c r="I122" s="101">
        <f>ROUND((H122+F122)*E122,2)</f>
        <v>0</v>
      </c>
      <c r="N122" s="601" t="s">
        <v>57</v>
      </c>
      <c r="O122" s="601"/>
      <c r="P122" s="608">
        <f>IF(H$133=1,C122,0)</f>
        <v>0</v>
      </c>
      <c r="Q122" s="608"/>
      <c r="R122" s="629">
        <f>ROUND(R121/2,2)</f>
        <v>0</v>
      </c>
      <c r="S122" s="629"/>
      <c r="T122" s="62">
        <f>H122</f>
        <v>0</v>
      </c>
      <c r="U122" s="96">
        <f>ROUND((T122+R122)*P122,0)</f>
        <v>0</v>
      </c>
    </row>
    <row r="123" spans="1:21" ht="16.5" hidden="1" thickBot="1" x14ac:dyDescent="0.3">
      <c r="A123" s="581" t="s">
        <v>58</v>
      </c>
      <c r="B123" s="581"/>
      <c r="C123" s="143">
        <v>0</v>
      </c>
      <c r="D123" s="143">
        <v>0</v>
      </c>
      <c r="E123" s="144">
        <f>IF(D32=0,C123*2,C123+D123)</f>
        <v>0</v>
      </c>
      <c r="F123" s="599"/>
      <c r="G123" s="599"/>
      <c r="H123" s="63">
        <f>IF(H121&gt;0,436,0)</f>
        <v>0</v>
      </c>
      <c r="I123" s="101">
        <f>ROUND(H123*E123,2)</f>
        <v>0</v>
      </c>
      <c r="N123" s="616" t="s">
        <v>58</v>
      </c>
      <c r="O123" s="616"/>
      <c r="P123" s="608">
        <f>IF(H$133=1,C123,0)</f>
        <v>0</v>
      </c>
      <c r="Q123" s="608"/>
      <c r="R123" s="609"/>
      <c r="S123" s="609"/>
      <c r="T123" s="64">
        <f>H123</f>
        <v>0</v>
      </c>
      <c r="U123" s="103">
        <f>ROUND(T123*P123,0)</f>
        <v>0</v>
      </c>
    </row>
    <row r="124" spans="1:21" ht="16.5" hidden="1" thickBot="1" x14ac:dyDescent="0.3">
      <c r="A124" s="563" t="s">
        <v>8</v>
      </c>
      <c r="B124" s="563"/>
      <c r="C124" s="65"/>
      <c r="D124" s="65"/>
      <c r="E124" s="65"/>
      <c r="F124" s="65"/>
      <c r="G124" s="65"/>
      <c r="H124" s="65"/>
      <c r="I124" s="97">
        <f>SUM(I121:I123)</f>
        <v>0</v>
      </c>
      <c r="N124" s="627" t="s">
        <v>8</v>
      </c>
      <c r="O124" s="627"/>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4" t="s">
        <v>432</v>
      </c>
      <c r="B126" s="578"/>
      <c r="C126" s="578"/>
      <c r="D126" s="69"/>
      <c r="E126" s="68" t="s">
        <v>34</v>
      </c>
      <c r="F126" s="597"/>
      <c r="G126" s="597"/>
      <c r="H126" s="597"/>
      <c r="I126" s="154">
        <v>0</v>
      </c>
      <c r="N126" s="600" t="s">
        <v>432</v>
      </c>
      <c r="O126" s="601"/>
      <c r="P126" s="601"/>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90" t="s">
        <v>8</v>
      </c>
      <c r="B128" s="590"/>
      <c r="C128" s="590"/>
      <c r="D128" s="590"/>
      <c r="E128" s="590"/>
      <c r="F128" s="590"/>
      <c r="G128" s="590"/>
      <c r="H128" s="590"/>
      <c r="I128" s="94">
        <f>SUM(I46,I66,I85,I88,I90,I92,I94,I96,I107,I113,I114,I124,I126)</f>
        <v>1018022.38</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434</v>
      </c>
      <c r="B130" s="26"/>
      <c r="C130" s="26"/>
      <c r="D130" s="26"/>
      <c r="E130" s="26"/>
      <c r="F130" s="26"/>
      <c r="G130" s="26"/>
      <c r="H130" s="26"/>
      <c r="I130" s="101">
        <f>I128-I53</f>
        <v>977393.08</v>
      </c>
      <c r="N130" s="601" t="s">
        <v>434</v>
      </c>
      <c r="O130" s="601"/>
      <c r="P130" s="601"/>
      <c r="Q130" s="601"/>
      <c r="R130" s="601"/>
      <c r="S130" s="601"/>
      <c r="T130" s="601"/>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4" t="s">
        <v>502</v>
      </c>
      <c r="B132" s="578"/>
      <c r="C132" s="578"/>
      <c r="D132" s="578"/>
      <c r="E132" s="578"/>
      <c r="F132" s="578"/>
      <c r="G132" s="578"/>
      <c r="H132" s="81" t="s">
        <v>333</v>
      </c>
      <c r="I132" s="134"/>
      <c r="N132" s="600" t="s">
        <v>502</v>
      </c>
      <c r="O132" s="601"/>
      <c r="P132" s="601"/>
      <c r="Q132" s="601"/>
      <c r="R132" s="601"/>
      <c r="S132" s="601"/>
      <c r="T132" s="601"/>
      <c r="U132" s="138"/>
    </row>
    <row r="133" spans="1:21" x14ac:dyDescent="0.25">
      <c r="A133" s="578" t="s">
        <v>70</v>
      </c>
      <c r="B133" s="578"/>
      <c r="C133" s="578"/>
      <c r="D133" s="578"/>
      <c r="E133" s="578"/>
      <c r="F133" s="578"/>
      <c r="G133" s="578"/>
      <c r="H133" s="70" t="str">
        <f>IF(E30=0,"",IF((E15+E17+SUM(E19:E25))/E30&gt;0.75,1,""))</f>
        <v/>
      </c>
      <c r="I133" s="116">
        <f>U130</f>
        <v>0</v>
      </c>
      <c r="N133" s="601" t="s">
        <v>70</v>
      </c>
      <c r="O133" s="601"/>
      <c r="P133" s="601"/>
      <c r="Q133" s="601"/>
      <c r="R133" s="601"/>
      <c r="S133" s="601"/>
      <c r="T133" s="601"/>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977393.08</v>
      </c>
      <c r="I135" s="94">
        <f>ROUND(IF(E30=0,0,IF(E30&gt;250,-(((250/E30)*H135)*IF(G135="H",0.02,0.05)),IF(G135="H",-0.02*H135,-0.05*H135))),2)</f>
        <v>-48869.65</v>
      </c>
      <c r="N135" s="626"/>
      <c r="O135" s="626"/>
      <c r="P135" s="626"/>
      <c r="Q135" s="626"/>
      <c r="R135" s="626"/>
      <c r="S135" s="626"/>
      <c r="T135" s="626"/>
      <c r="U135" s="626"/>
    </row>
    <row r="136" spans="1:21" x14ac:dyDescent="0.25">
      <c r="B136" s="69"/>
      <c r="C136" s="69"/>
      <c r="D136" s="69"/>
      <c r="E136" s="69"/>
      <c r="F136" s="69"/>
      <c r="G136" s="69"/>
      <c r="H136" s="65"/>
      <c r="I136" s="101"/>
      <c r="N136" s="624" t="s">
        <v>7</v>
      </c>
      <c r="O136" s="624"/>
      <c r="P136" s="624"/>
      <c r="Q136" s="624"/>
      <c r="R136" s="624"/>
      <c r="S136" s="624"/>
      <c r="T136" s="624"/>
      <c r="U136" s="624"/>
    </row>
    <row r="137" spans="1:21" x14ac:dyDescent="0.25">
      <c r="A137" s="309" t="s">
        <v>74</v>
      </c>
      <c r="B137" s="310"/>
      <c r="C137" s="310"/>
      <c r="D137" s="310"/>
      <c r="E137" s="310"/>
      <c r="F137" s="310"/>
      <c r="G137" s="310"/>
      <c r="H137" s="311"/>
      <c r="I137" s="312">
        <f>I128+I135</f>
        <v>969152.73</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Payments'!Q107</f>
        <v>0</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969152.73</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80762.73</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372</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373</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374</v>
      </c>
      <c r="B155" s="252"/>
      <c r="C155" s="252"/>
      <c r="D155" s="252"/>
      <c r="E155" s="252"/>
      <c r="F155" s="252"/>
      <c r="G155" s="252"/>
      <c r="H155" s="252"/>
      <c r="I155" s="252"/>
      <c r="N155" s="625"/>
      <c r="O155" s="625"/>
      <c r="P155" s="625"/>
      <c r="Q155" s="625"/>
      <c r="R155" s="625"/>
      <c r="S155" s="625"/>
      <c r="T155" s="625"/>
      <c r="U155" s="625"/>
    </row>
    <row r="156" spans="1:21" s="76" customFormat="1" x14ac:dyDescent="0.2">
      <c r="A156" s="320" t="s">
        <v>375</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376</v>
      </c>
      <c r="B157" s="252"/>
      <c r="C157" s="252"/>
      <c r="D157" s="252"/>
      <c r="E157" s="252"/>
      <c r="F157" s="252"/>
      <c r="G157" s="252"/>
      <c r="H157" s="252"/>
      <c r="I157" s="252"/>
      <c r="N157" s="78"/>
      <c r="O157" s="79"/>
      <c r="P157" s="79"/>
      <c r="Q157" s="79"/>
      <c r="R157" s="79"/>
      <c r="S157" s="79"/>
      <c r="T157" s="79"/>
      <c r="U157" s="79"/>
    </row>
    <row r="158" spans="1:21" s="76" customFormat="1" x14ac:dyDescent="0.2">
      <c r="A158" s="320" t="s">
        <v>377</v>
      </c>
      <c r="B158" s="252"/>
      <c r="C158" s="252"/>
      <c r="D158" s="252"/>
      <c r="E158" s="252"/>
      <c r="F158" s="252"/>
      <c r="G158" s="252"/>
      <c r="H158" s="252"/>
      <c r="I158" s="252"/>
      <c r="N158" s="78"/>
    </row>
    <row r="159" spans="1:21" s="76" customFormat="1" x14ac:dyDescent="0.2">
      <c r="A159" s="320" t="s">
        <v>379</v>
      </c>
      <c r="B159" s="252"/>
      <c r="C159" s="252"/>
      <c r="D159" s="252"/>
      <c r="E159" s="252"/>
      <c r="F159" s="252"/>
      <c r="G159" s="252"/>
      <c r="H159" s="252"/>
      <c r="I159" s="252"/>
      <c r="N159" s="78"/>
    </row>
    <row r="160" spans="1:21" s="76" customFormat="1" x14ac:dyDescent="0.2">
      <c r="A160" s="385" t="s">
        <v>378</v>
      </c>
      <c r="B160" s="252"/>
      <c r="C160" s="252"/>
      <c r="D160" s="252"/>
      <c r="E160" s="252"/>
      <c r="F160" s="252"/>
      <c r="G160" s="252"/>
      <c r="H160" s="252"/>
      <c r="I160" s="252"/>
      <c r="N160" s="78"/>
    </row>
    <row r="161" spans="1:14" s="76" customFormat="1" x14ac:dyDescent="0.2">
      <c r="A161" s="320" t="s">
        <v>380</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383</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385</v>
      </c>
      <c r="B165" s="293"/>
      <c r="C165" s="293"/>
      <c r="D165" s="293"/>
      <c r="E165" s="293"/>
      <c r="F165" s="293"/>
      <c r="G165" s="293"/>
      <c r="H165" s="293"/>
      <c r="I165" s="293"/>
      <c r="N165" s="78"/>
    </row>
    <row r="166" spans="1:14" s="76" customFormat="1" ht="15.75" customHeight="1" x14ac:dyDescent="0.2">
      <c r="A166" s="351" t="s">
        <v>384</v>
      </c>
      <c r="B166" s="293"/>
      <c r="C166" s="293"/>
      <c r="D166" s="293"/>
      <c r="E166" s="293"/>
      <c r="F166" s="293"/>
      <c r="G166" s="293"/>
      <c r="H166" s="293"/>
      <c r="I166" s="293"/>
      <c r="N166" s="78"/>
    </row>
    <row r="167" spans="1:14" s="76" customFormat="1" ht="15.75" customHeight="1" x14ac:dyDescent="0.2">
      <c r="A167" s="320" t="s">
        <v>386</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388</v>
      </c>
      <c r="B169" s="343"/>
      <c r="C169" s="343"/>
      <c r="D169" s="343"/>
      <c r="E169" s="343"/>
      <c r="F169" s="343"/>
      <c r="G169" s="343"/>
      <c r="H169" s="343"/>
      <c r="I169" s="343"/>
      <c r="N169" s="78"/>
    </row>
    <row r="170" spans="1:14" s="76" customFormat="1" ht="15.75" customHeight="1" x14ac:dyDescent="0.2">
      <c r="A170" s="351" t="s">
        <v>387</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389</v>
      </c>
      <c r="B175" s="293"/>
      <c r="C175" s="293"/>
      <c r="D175" s="293"/>
      <c r="E175" s="293"/>
      <c r="F175" s="293"/>
      <c r="G175" s="293"/>
      <c r="H175" s="293"/>
      <c r="I175" s="293"/>
      <c r="J175" s="3"/>
      <c r="K175" s="3"/>
      <c r="L175" s="3"/>
      <c r="M175" s="3"/>
      <c r="N175" s="78"/>
    </row>
    <row r="176" spans="1:14" s="76" customFormat="1" ht="15.75" customHeight="1" x14ac:dyDescent="0.2">
      <c r="A176" s="361" t="s">
        <v>390</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N135:U135"/>
    <mergeCell ref="N126:P126"/>
    <mergeCell ref="A126:C126"/>
    <mergeCell ref="F126:H126"/>
    <mergeCell ref="N130:T130"/>
    <mergeCell ref="A128:H128"/>
    <mergeCell ref="A132:G132"/>
    <mergeCell ref="A12:B12"/>
    <mergeCell ref="A133:G133"/>
    <mergeCell ref="N136:U136"/>
    <mergeCell ref="A123:B123"/>
    <mergeCell ref="F123:G123"/>
    <mergeCell ref="N123:O123"/>
    <mergeCell ref="P123:Q123"/>
    <mergeCell ref="R123:S123"/>
    <mergeCell ref="A124:B124"/>
    <mergeCell ref="N124:O124"/>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96:C96"/>
    <mergeCell ref="N96:P96"/>
    <mergeCell ref="C102:D102"/>
    <mergeCell ref="C103:D103"/>
    <mergeCell ref="N103:O103"/>
    <mergeCell ref="P103:Q103"/>
    <mergeCell ref="N88:P88"/>
    <mergeCell ref="R103:U103"/>
    <mergeCell ref="C104:D104"/>
    <mergeCell ref="P104:Q104"/>
    <mergeCell ref="A94:C94"/>
    <mergeCell ref="A88:C88"/>
    <mergeCell ref="N94:P94"/>
    <mergeCell ref="N73:S73"/>
    <mergeCell ref="T73:U73"/>
    <mergeCell ref="N76:S76"/>
    <mergeCell ref="T76:U76"/>
    <mergeCell ref="A78:B78"/>
    <mergeCell ref="D78:G78"/>
    <mergeCell ref="N78:O78"/>
    <mergeCell ref="Q78:S78"/>
    <mergeCell ref="T78:U78"/>
    <mergeCell ref="N79:S79"/>
    <mergeCell ref="T79:U79"/>
    <mergeCell ref="A81:B81"/>
    <mergeCell ref="D81:G81"/>
    <mergeCell ref="N81:O81"/>
    <mergeCell ref="Q81:S81"/>
    <mergeCell ref="T81:U81"/>
    <mergeCell ref="N82:S82"/>
    <mergeCell ref="A87:C87"/>
    <mergeCell ref="N87:P87"/>
    <mergeCell ref="T82:U8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A30:B30"/>
    <mergeCell ref="F30:G30"/>
    <mergeCell ref="N30:O30"/>
    <mergeCell ref="P30:Q30"/>
    <mergeCell ref="R30:S30"/>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A13:B13"/>
    <mergeCell ref="A15:B15"/>
    <mergeCell ref="F15:G15"/>
    <mergeCell ref="N15:O15"/>
    <mergeCell ref="P15:Q15"/>
    <mergeCell ref="R15:S15"/>
    <mergeCell ref="B1:I1"/>
    <mergeCell ref="O1:U1"/>
    <mergeCell ref="N2:U2"/>
    <mergeCell ref="N3:U3"/>
    <mergeCell ref="A4:B4"/>
    <mergeCell ref="C4:E4"/>
    <mergeCell ref="N4:O4"/>
    <mergeCell ref="P4:Q4"/>
    <mergeCell ref="A7:I7"/>
    <mergeCell ref="N7:U7"/>
    <mergeCell ref="N132:T132"/>
    <mergeCell ref="N133:T133"/>
    <mergeCell ref="N8:O8"/>
    <mergeCell ref="P8:Q8"/>
    <mergeCell ref="R8:S8"/>
    <mergeCell ref="T8:U8"/>
    <mergeCell ref="F11:G11"/>
    <mergeCell ref="R11:S11"/>
    <mergeCell ref="F12:G12"/>
    <mergeCell ref="N12:O12"/>
    <mergeCell ref="P12:Q12"/>
    <mergeCell ref="R12:S12"/>
    <mergeCell ref="T9:U9"/>
    <mergeCell ref="F13:G13"/>
    <mergeCell ref="N13:O13"/>
    <mergeCell ref="P13:Q13"/>
    <mergeCell ref="R13:S13"/>
    <mergeCell ref="P60:Q60"/>
    <mergeCell ref="P61:Q61"/>
    <mergeCell ref="P62:Q62"/>
    <mergeCell ref="P63:Q63"/>
    <mergeCell ref="P64:Q64"/>
    <mergeCell ref="T72:U72"/>
    <mergeCell ref="R66:T66"/>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7">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6" t="s">
        <v>15</v>
      </c>
      <c r="C1" s="567"/>
      <c r="D1" s="567"/>
      <c r="E1" s="567"/>
      <c r="F1" s="567"/>
      <c r="G1" s="567"/>
      <c r="H1" s="567"/>
      <c r="I1" s="567"/>
      <c r="J1" s="135"/>
      <c r="K1" s="135"/>
      <c r="L1" s="135"/>
      <c r="N1" s="82">
        <f>A1</f>
        <v>0</v>
      </c>
      <c r="O1" s="658" t="s">
        <v>15</v>
      </c>
      <c r="P1" s="659"/>
      <c r="Q1" s="659"/>
      <c r="R1" s="659"/>
      <c r="S1" s="659"/>
      <c r="T1" s="659"/>
      <c r="U1" s="659"/>
    </row>
    <row r="2" spans="1:21" ht="21" x14ac:dyDescent="0.35">
      <c r="A2" s="1" t="s">
        <v>273</v>
      </c>
      <c r="B2" s="2"/>
      <c r="C2" s="2"/>
      <c r="D2" s="2"/>
      <c r="E2" s="2"/>
      <c r="F2" s="2"/>
      <c r="G2" s="2"/>
      <c r="H2" s="2"/>
      <c r="I2" s="2"/>
      <c r="N2" s="660" t="s">
        <v>18</v>
      </c>
      <c r="O2" s="660"/>
      <c r="P2" s="660"/>
      <c r="Q2" s="660"/>
      <c r="R2" s="660"/>
      <c r="S2" s="660"/>
      <c r="T2" s="660"/>
      <c r="U2" s="660"/>
    </row>
    <row r="3" spans="1:21" x14ac:dyDescent="0.25">
      <c r="A3" s="81" t="str">
        <f>'1461'!A3</f>
        <v>Based on the FLDOE 2024-25 Conference Calculation</v>
      </c>
      <c r="N3" s="627" t="str">
        <f>A3</f>
        <v>Based on the FLDOE 2024-25 Conference Calculation</v>
      </c>
      <c r="O3" s="627"/>
      <c r="P3" s="627"/>
      <c r="Q3" s="627"/>
      <c r="R3" s="627"/>
      <c r="S3" s="627"/>
      <c r="T3" s="627"/>
      <c r="U3" s="627"/>
    </row>
    <row r="4" spans="1:21" x14ac:dyDescent="0.25">
      <c r="A4" s="568" t="s">
        <v>0</v>
      </c>
      <c r="B4" s="568"/>
      <c r="C4" s="569" t="s">
        <v>9</v>
      </c>
      <c r="D4" s="569"/>
      <c r="E4" s="569"/>
      <c r="F4" s="4" t="str">
        <f>'1461'!F4</f>
        <v>July 2024</v>
      </c>
      <c r="G4" s="4"/>
      <c r="H4" s="4"/>
      <c r="I4" s="4"/>
      <c r="N4" s="661" t="s">
        <v>0</v>
      </c>
      <c r="O4" s="661"/>
      <c r="P4" s="662" t="str">
        <f>C4</f>
        <v>Palm Beach</v>
      </c>
      <c r="Q4" s="662"/>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70" t="s">
        <v>433</v>
      </c>
      <c r="B7" s="664"/>
      <c r="C7" s="664"/>
      <c r="D7" s="664"/>
      <c r="E7" s="664"/>
      <c r="F7" s="664"/>
      <c r="G7" s="664"/>
      <c r="H7" s="664"/>
      <c r="I7" s="664"/>
      <c r="N7" s="661" t="str">
        <f>A7</f>
        <v>1A.   2023-24 FEFP State and Local Funding</v>
      </c>
      <c r="O7" s="661"/>
      <c r="P7" s="661"/>
      <c r="Q7" s="661"/>
      <c r="R7" s="661"/>
      <c r="S7" s="661"/>
      <c r="T7" s="661"/>
      <c r="U7" s="661"/>
    </row>
    <row r="8" spans="1:21" x14ac:dyDescent="0.25">
      <c r="A8" s="84"/>
      <c r="B8" s="85" t="s">
        <v>92</v>
      </c>
      <c r="C8" s="299">
        <f>'1461'!C8</f>
        <v>5330.98</v>
      </c>
      <c r="D8" s="86"/>
      <c r="E8" s="87"/>
      <c r="F8" s="84"/>
      <c r="G8" s="85" t="s">
        <v>393</v>
      </c>
      <c r="H8" s="287">
        <f>'1461'!H8</f>
        <v>1.0407999999999999</v>
      </c>
      <c r="I8" s="75"/>
      <c r="N8" s="665" t="s">
        <v>10</v>
      </c>
      <c r="O8" s="665"/>
      <c r="P8" s="666">
        <f>C8</f>
        <v>5330.98</v>
      </c>
      <c r="Q8" s="666"/>
      <c r="R8" s="648" t="s">
        <v>394</v>
      </c>
      <c r="S8" s="649"/>
      <c r="T8" s="650">
        <f>H8</f>
        <v>1.0407999999999999</v>
      </c>
      <c r="U8" s="650"/>
    </row>
    <row r="9" spans="1:21" x14ac:dyDescent="0.25">
      <c r="A9" s="84"/>
      <c r="B9" s="85"/>
      <c r="C9" s="222"/>
      <c r="D9" s="86"/>
      <c r="E9" s="87"/>
      <c r="F9" s="84"/>
      <c r="G9" s="85" t="s">
        <v>391</v>
      </c>
      <c r="H9" s="287">
        <f>'1461'!H9</f>
        <v>1</v>
      </c>
      <c r="I9" s="75"/>
      <c r="N9" s="12"/>
      <c r="O9" s="12"/>
      <c r="P9" s="13"/>
      <c r="Q9" s="13"/>
      <c r="R9" s="387" t="s">
        <v>392</v>
      </c>
      <c r="S9" s="384"/>
      <c r="T9" s="650">
        <f>H9</f>
        <v>1</v>
      </c>
      <c r="U9" s="650"/>
    </row>
    <row r="10" spans="1:21" x14ac:dyDescent="0.25">
      <c r="A10" s="7"/>
      <c r="B10" s="42" t="s">
        <v>310</v>
      </c>
      <c r="C10" s="334" t="str">
        <f>'1461'!C10</f>
        <v xml:space="preserve"> </v>
      </c>
      <c r="D10" s="334" t="str">
        <f>'1461'!D10</f>
        <v xml:space="preserve"> </v>
      </c>
      <c r="E10" s="8"/>
      <c r="F10" s="9"/>
      <c r="G10" s="9"/>
      <c r="H10" s="10"/>
      <c r="I10" s="305" t="str">
        <f>'1461'!I10</f>
        <v>2024-25</v>
      </c>
      <c r="N10" s="12"/>
      <c r="O10" s="12"/>
      <c r="P10" s="13"/>
      <c r="Q10" s="13"/>
      <c r="R10" s="14"/>
      <c r="S10" s="14"/>
      <c r="T10" s="15"/>
      <c r="U10" s="366" t="str">
        <f>I10</f>
        <v>2024-25</v>
      </c>
    </row>
    <row r="11" spans="1:21" x14ac:dyDescent="0.25">
      <c r="A11" s="7"/>
      <c r="B11" s="7"/>
      <c r="C11" s="88" t="str">
        <f>'1461'!C11</f>
        <v>Oct 2023</v>
      </c>
      <c r="D11" s="333" t="str">
        <f>'1461'!D11</f>
        <v>Feb 2024</v>
      </c>
      <c r="E11" s="89" t="s">
        <v>8</v>
      </c>
      <c r="F11" s="571" t="s">
        <v>1</v>
      </c>
      <c r="G11" s="571"/>
      <c r="H11" s="10" t="s">
        <v>60</v>
      </c>
      <c r="I11" s="11" t="s">
        <v>27</v>
      </c>
      <c r="N11" s="12"/>
      <c r="O11" s="12"/>
      <c r="P11" s="13"/>
      <c r="Q11" s="13"/>
      <c r="R11" s="651" t="s">
        <v>1</v>
      </c>
      <c r="S11" s="651"/>
      <c r="T11" s="15" t="s">
        <v>60</v>
      </c>
      <c r="U11" s="16" t="s">
        <v>27</v>
      </c>
    </row>
    <row r="12" spans="1:21" ht="15.75" customHeight="1" x14ac:dyDescent="0.25">
      <c r="A12" s="572" t="s">
        <v>1</v>
      </c>
      <c r="B12" s="572"/>
      <c r="C12" s="324" t="str">
        <f>'1461'!C12</f>
        <v>FTE</v>
      </c>
      <c r="D12" s="324" t="str">
        <f>'1461'!D12</f>
        <v>FTE</v>
      </c>
      <c r="E12" s="324" t="s">
        <v>2</v>
      </c>
      <c r="F12" s="573" t="s">
        <v>63</v>
      </c>
      <c r="G12" s="573"/>
      <c r="H12" s="17" t="s">
        <v>59</v>
      </c>
      <c r="I12" s="388" t="s">
        <v>395</v>
      </c>
      <c r="N12" s="639" t="s">
        <v>1</v>
      </c>
      <c r="O12" s="639"/>
      <c r="P12" s="652" t="s">
        <v>19</v>
      </c>
      <c r="Q12" s="652"/>
      <c r="R12" s="653" t="s">
        <v>63</v>
      </c>
      <c r="S12" s="653"/>
      <c r="T12" s="18" t="s">
        <v>59</v>
      </c>
      <c r="U12" s="19" t="str">
        <f>I12</f>
        <v>(WFTE x BSA x CWF x SDF)</v>
      </c>
    </row>
    <row r="13" spans="1:21" x14ac:dyDescent="0.25">
      <c r="A13" s="574" t="s">
        <v>36</v>
      </c>
      <c r="B13" s="574"/>
      <c r="C13" s="91"/>
      <c r="D13" s="91"/>
      <c r="E13" s="92" t="s">
        <v>37</v>
      </c>
      <c r="F13" s="575" t="s">
        <v>38</v>
      </c>
      <c r="G13" s="575"/>
      <c r="H13" s="20" t="s">
        <v>39</v>
      </c>
      <c r="I13" s="21" t="s">
        <v>40</v>
      </c>
      <c r="N13" s="654" t="s">
        <v>36</v>
      </c>
      <c r="O13" s="654"/>
      <c r="P13" s="655" t="s">
        <v>37</v>
      </c>
      <c r="Q13" s="655"/>
      <c r="R13" s="656" t="s">
        <v>38</v>
      </c>
      <c r="S13" s="656"/>
      <c r="T13" s="22" t="s">
        <v>39</v>
      </c>
      <c r="U13" s="23" t="s">
        <v>40</v>
      </c>
    </row>
    <row r="14" spans="1:21" x14ac:dyDescent="0.25">
      <c r="A14" s="576" t="s">
        <v>20</v>
      </c>
      <c r="B14" s="576"/>
      <c r="C14" s="143">
        <v>0</v>
      </c>
      <c r="D14" s="141">
        <v>0</v>
      </c>
      <c r="E14" s="187">
        <f>IF(D$30=0,C14*2,C14+D14)</f>
        <v>0</v>
      </c>
      <c r="F14" s="667">
        <f>'1461'!F14:G14</f>
        <v>1.1180000000000001</v>
      </c>
      <c r="G14" s="667"/>
      <c r="H14" s="145">
        <f>ROUND(E14*F14,4)</f>
        <v>0</v>
      </c>
      <c r="I14" s="111">
        <f>ROUND(ROUND(ROUND(H14*$C$8,4)*($H$8),2)*(MAX($H$9,1)),2)</f>
        <v>0</v>
      </c>
      <c r="N14" s="641" t="s">
        <v>20</v>
      </c>
      <c r="O14" s="641"/>
      <c r="P14" s="642">
        <f t="shared" ref="P14:P29" si="0">IF($H$133=1,E14,0)</f>
        <v>0</v>
      </c>
      <c r="Q14" s="642"/>
      <c r="R14" s="657">
        <v>1</v>
      </c>
      <c r="S14" s="657"/>
      <c r="T14" s="95">
        <f>ROUND(P14*R14,4)</f>
        <v>0</v>
      </c>
      <c r="U14" s="473">
        <f>ROUND(ROUND(ROUND(T14*$C$8,4)*($H$8),2)*(MAX($H$9,1)),2)</f>
        <v>0</v>
      </c>
    </row>
    <row r="15" spans="1:21" x14ac:dyDescent="0.25">
      <c r="A15" s="578" t="s">
        <v>21</v>
      </c>
      <c r="B15" s="578"/>
      <c r="C15" s="143">
        <v>0</v>
      </c>
      <c r="D15" s="143">
        <v>0</v>
      </c>
      <c r="E15" s="116">
        <f t="shared" ref="E15:E29" si="1">IF(D$30=0,C15*2,C15+D15)</f>
        <v>0</v>
      </c>
      <c r="F15" s="663">
        <f>'1461'!F15:G15</f>
        <v>1.1180000000000001</v>
      </c>
      <c r="G15" s="663"/>
      <c r="H15" s="80">
        <f t="shared" ref="H15:H29" si="2">ROUND(E15*F15,4)</f>
        <v>0</v>
      </c>
      <c r="I15" s="101">
        <f t="shared" ref="I15:I29" si="3">ROUND(ROUND(ROUND(H15*$C$8,4)*($H$8),2)*(MAX($H$9,1)),2)</f>
        <v>0</v>
      </c>
      <c r="J15" s="65" t="str">
        <f>IF(ROUND(E15,2)=ROUND(SUM(E57:E59),2)," ","CHECK PK-3 LINES BELOW")</f>
        <v xml:space="preserve"> </v>
      </c>
      <c r="N15" s="601" t="s">
        <v>21</v>
      </c>
      <c r="O15" s="601"/>
      <c r="P15" s="642">
        <f t="shared" si="0"/>
        <v>0</v>
      </c>
      <c r="Q15" s="642"/>
      <c r="R15" s="647">
        <v>1</v>
      </c>
      <c r="S15" s="647"/>
      <c r="T15" s="95">
        <f t="shared" ref="T15:T29" si="4">ROUND(P15*R15,4)</f>
        <v>0</v>
      </c>
      <c r="U15" s="473">
        <f t="shared" ref="U15:U29" si="5">ROUND(ROUND(ROUND(T15*$C$8,4)*($H$8),2)*(MAX($H$9,1)),2)</f>
        <v>0</v>
      </c>
    </row>
    <row r="16" spans="1:21" x14ac:dyDescent="0.25">
      <c r="A16" s="578" t="s">
        <v>22</v>
      </c>
      <c r="B16" s="578"/>
      <c r="C16" s="143">
        <v>129.83000000000001</v>
      </c>
      <c r="D16" s="143">
        <v>133.41</v>
      </c>
      <c r="E16" s="116">
        <f t="shared" si="1"/>
        <v>263.24</v>
      </c>
      <c r="F16" s="663">
        <f>'1461'!F16:G16</f>
        <v>1</v>
      </c>
      <c r="G16" s="663"/>
      <c r="H16" s="80">
        <f t="shared" si="2"/>
        <v>263.24</v>
      </c>
      <c r="I16" s="101">
        <f t="shared" si="3"/>
        <v>1460582.92</v>
      </c>
      <c r="N16" s="601" t="s">
        <v>22</v>
      </c>
      <c r="O16" s="601"/>
      <c r="P16" s="642">
        <f t="shared" si="0"/>
        <v>0</v>
      </c>
      <c r="Q16" s="642"/>
      <c r="R16" s="647">
        <v>1</v>
      </c>
      <c r="S16" s="647"/>
      <c r="T16" s="95">
        <f t="shared" si="4"/>
        <v>0</v>
      </c>
      <c r="U16" s="473">
        <f t="shared" si="5"/>
        <v>0</v>
      </c>
    </row>
    <row r="17" spans="1:21" x14ac:dyDescent="0.25">
      <c r="A17" s="578" t="s">
        <v>23</v>
      </c>
      <c r="B17" s="578"/>
      <c r="C17" s="143">
        <v>23</v>
      </c>
      <c r="D17" s="143">
        <v>22.84</v>
      </c>
      <c r="E17" s="116">
        <f t="shared" si="1"/>
        <v>45.84</v>
      </c>
      <c r="F17" s="663">
        <f>'1461'!F17:G17</f>
        <v>1</v>
      </c>
      <c r="G17" s="663"/>
      <c r="H17" s="80">
        <f t="shared" si="2"/>
        <v>45.84</v>
      </c>
      <c r="I17" s="101">
        <f t="shared" si="3"/>
        <v>254342.51</v>
      </c>
      <c r="J17" s="65" t="str">
        <f>IF(ROUND(E17,2)=ROUND(SUM(E60:E62),2)," ","CHECK 4-8 LINES BELOW")</f>
        <v xml:space="preserve"> </v>
      </c>
      <c r="N17" s="601" t="s">
        <v>23</v>
      </c>
      <c r="O17" s="601"/>
      <c r="P17" s="642">
        <f t="shared" si="0"/>
        <v>0</v>
      </c>
      <c r="Q17" s="642"/>
      <c r="R17" s="647">
        <v>1</v>
      </c>
      <c r="S17" s="647"/>
      <c r="T17" s="95">
        <f t="shared" si="4"/>
        <v>0</v>
      </c>
      <c r="U17" s="473">
        <f t="shared" si="5"/>
        <v>0</v>
      </c>
    </row>
    <row r="18" spans="1:21" x14ac:dyDescent="0.25">
      <c r="A18" s="578" t="s">
        <v>24</v>
      </c>
      <c r="B18" s="578"/>
      <c r="C18" s="143">
        <v>0</v>
      </c>
      <c r="D18" s="143">
        <v>0</v>
      </c>
      <c r="E18" s="116">
        <f t="shared" si="1"/>
        <v>0</v>
      </c>
      <c r="F18" s="663">
        <f>'1461'!F18:G18</f>
        <v>0.97799999999999998</v>
      </c>
      <c r="G18" s="663"/>
      <c r="H18" s="80">
        <f t="shared" si="2"/>
        <v>0</v>
      </c>
      <c r="I18" s="101">
        <f t="shared" si="3"/>
        <v>0</v>
      </c>
      <c r="N18" s="601" t="s">
        <v>24</v>
      </c>
      <c r="O18" s="601"/>
      <c r="P18" s="642">
        <f t="shared" si="0"/>
        <v>0</v>
      </c>
      <c r="Q18" s="642"/>
      <c r="R18" s="647">
        <v>1</v>
      </c>
      <c r="S18" s="647"/>
      <c r="T18" s="95">
        <f t="shared" si="4"/>
        <v>0</v>
      </c>
      <c r="U18" s="473">
        <f t="shared" si="5"/>
        <v>0</v>
      </c>
    </row>
    <row r="19" spans="1:21" x14ac:dyDescent="0.25">
      <c r="A19" s="578" t="s">
        <v>25</v>
      </c>
      <c r="B19" s="578"/>
      <c r="C19" s="143">
        <v>0</v>
      </c>
      <c r="D19" s="143">
        <v>0</v>
      </c>
      <c r="E19" s="116">
        <f t="shared" si="1"/>
        <v>0</v>
      </c>
      <c r="F19" s="663">
        <f>'1461'!F19:G19</f>
        <v>0.97799999999999998</v>
      </c>
      <c r="G19" s="663"/>
      <c r="H19" s="80">
        <f t="shared" si="2"/>
        <v>0</v>
      </c>
      <c r="I19" s="101">
        <f t="shared" si="3"/>
        <v>0</v>
      </c>
      <c r="J19" s="65" t="str">
        <f>IF(ROUND(E19,2)=ROUND(SUM(E63:E65),2)," ","CHECK 4-8 LINES BELOW")</f>
        <v xml:space="preserve"> </v>
      </c>
      <c r="N19" s="601" t="s">
        <v>25</v>
      </c>
      <c r="O19" s="601"/>
      <c r="P19" s="642">
        <f t="shared" si="0"/>
        <v>0</v>
      </c>
      <c r="Q19" s="642"/>
      <c r="R19" s="647">
        <v>1</v>
      </c>
      <c r="S19" s="647"/>
      <c r="T19" s="95">
        <f t="shared" si="4"/>
        <v>0</v>
      </c>
      <c r="U19" s="472">
        <f t="shared" si="5"/>
        <v>0</v>
      </c>
    </row>
    <row r="20" spans="1:21" x14ac:dyDescent="0.25">
      <c r="A20" s="578" t="s">
        <v>79</v>
      </c>
      <c r="B20" s="578"/>
      <c r="C20" s="143">
        <v>0</v>
      </c>
      <c r="D20" s="143">
        <v>0</v>
      </c>
      <c r="E20" s="116">
        <f t="shared" si="1"/>
        <v>0</v>
      </c>
      <c r="F20" s="663">
        <f>'1461'!F20:G20</f>
        <v>3.6970000000000001</v>
      </c>
      <c r="G20" s="663"/>
      <c r="H20" s="80">
        <f t="shared" si="2"/>
        <v>0</v>
      </c>
      <c r="I20" s="101">
        <f t="shared" si="3"/>
        <v>0</v>
      </c>
      <c r="N20" s="601" t="s">
        <v>79</v>
      </c>
      <c r="O20" s="601"/>
      <c r="P20" s="642">
        <f t="shared" si="0"/>
        <v>0</v>
      </c>
      <c r="Q20" s="642"/>
      <c r="R20" s="647">
        <v>1</v>
      </c>
      <c r="S20" s="647"/>
      <c r="T20" s="95">
        <f t="shared" si="4"/>
        <v>0</v>
      </c>
      <c r="U20" s="473">
        <f t="shared" si="5"/>
        <v>0</v>
      </c>
    </row>
    <row r="21" spans="1:21" x14ac:dyDescent="0.25">
      <c r="A21" s="578" t="s">
        <v>80</v>
      </c>
      <c r="B21" s="578"/>
      <c r="C21" s="143">
        <v>0</v>
      </c>
      <c r="D21" s="143">
        <v>0</v>
      </c>
      <c r="E21" s="116">
        <f t="shared" si="1"/>
        <v>0</v>
      </c>
      <c r="F21" s="663">
        <f>'1461'!F21:G21</f>
        <v>3.6970000000000001</v>
      </c>
      <c r="G21" s="663"/>
      <c r="H21" s="80">
        <f t="shared" si="2"/>
        <v>0</v>
      </c>
      <c r="I21" s="101">
        <f t="shared" si="3"/>
        <v>0</v>
      </c>
      <c r="N21" s="601" t="s">
        <v>80</v>
      </c>
      <c r="O21" s="601"/>
      <c r="P21" s="642">
        <f t="shared" si="0"/>
        <v>0</v>
      </c>
      <c r="Q21" s="642"/>
      <c r="R21" s="647">
        <v>1</v>
      </c>
      <c r="S21" s="647"/>
      <c r="T21" s="95">
        <f t="shared" si="4"/>
        <v>0</v>
      </c>
      <c r="U21" s="473">
        <f t="shared" si="5"/>
        <v>0</v>
      </c>
    </row>
    <row r="22" spans="1:21" x14ac:dyDescent="0.25">
      <c r="A22" s="578" t="s">
        <v>81</v>
      </c>
      <c r="B22" s="578"/>
      <c r="C22" s="143">
        <v>0</v>
      </c>
      <c r="D22" s="143">
        <v>0</v>
      </c>
      <c r="E22" s="116">
        <f t="shared" si="1"/>
        <v>0</v>
      </c>
      <c r="F22" s="663">
        <f>'1461'!F22:G22</f>
        <v>3.6970000000000001</v>
      </c>
      <c r="G22" s="663"/>
      <c r="H22" s="80">
        <f t="shared" si="2"/>
        <v>0</v>
      </c>
      <c r="I22" s="101">
        <f t="shared" si="3"/>
        <v>0</v>
      </c>
      <c r="N22" s="601" t="s">
        <v>81</v>
      </c>
      <c r="O22" s="601"/>
      <c r="P22" s="642">
        <f t="shared" si="0"/>
        <v>0</v>
      </c>
      <c r="Q22" s="642"/>
      <c r="R22" s="647">
        <v>1</v>
      </c>
      <c r="S22" s="647"/>
      <c r="T22" s="95">
        <f t="shared" si="4"/>
        <v>0</v>
      </c>
      <c r="U22" s="473">
        <f t="shared" si="5"/>
        <v>0</v>
      </c>
    </row>
    <row r="23" spans="1:21" x14ac:dyDescent="0.25">
      <c r="A23" s="578" t="s">
        <v>82</v>
      </c>
      <c r="B23" s="578"/>
      <c r="C23" s="143">
        <v>0</v>
      </c>
      <c r="D23" s="143">
        <v>0</v>
      </c>
      <c r="E23" s="116">
        <f t="shared" si="1"/>
        <v>0</v>
      </c>
      <c r="F23" s="663">
        <f>'1461'!F23:G23</f>
        <v>5.992</v>
      </c>
      <c r="G23" s="663"/>
      <c r="H23" s="80">
        <f t="shared" si="2"/>
        <v>0</v>
      </c>
      <c r="I23" s="101">
        <f t="shared" si="3"/>
        <v>0</v>
      </c>
      <c r="N23" s="601" t="s">
        <v>82</v>
      </c>
      <c r="O23" s="601"/>
      <c r="P23" s="642">
        <f t="shared" si="0"/>
        <v>0</v>
      </c>
      <c r="Q23" s="642"/>
      <c r="R23" s="647">
        <v>1</v>
      </c>
      <c r="S23" s="647"/>
      <c r="T23" s="95">
        <f t="shared" si="4"/>
        <v>0</v>
      </c>
      <c r="U23" s="473">
        <f t="shared" si="5"/>
        <v>0</v>
      </c>
    </row>
    <row r="24" spans="1:21" x14ac:dyDescent="0.25">
      <c r="A24" s="578" t="s">
        <v>83</v>
      </c>
      <c r="B24" s="578"/>
      <c r="C24" s="143">
        <v>0</v>
      </c>
      <c r="D24" s="143">
        <v>0</v>
      </c>
      <c r="E24" s="116">
        <f t="shared" si="1"/>
        <v>0</v>
      </c>
      <c r="F24" s="663">
        <f>'1461'!F24:G24</f>
        <v>5.992</v>
      </c>
      <c r="G24" s="663"/>
      <c r="H24" s="80">
        <f t="shared" si="2"/>
        <v>0</v>
      </c>
      <c r="I24" s="101">
        <f t="shared" si="3"/>
        <v>0</v>
      </c>
      <c r="N24" s="601" t="s">
        <v>83</v>
      </c>
      <c r="O24" s="601"/>
      <c r="P24" s="642">
        <f t="shared" si="0"/>
        <v>0</v>
      </c>
      <c r="Q24" s="642"/>
      <c r="R24" s="647">
        <v>1</v>
      </c>
      <c r="S24" s="647"/>
      <c r="T24" s="95">
        <f t="shared" si="4"/>
        <v>0</v>
      </c>
      <c r="U24" s="473">
        <f t="shared" si="5"/>
        <v>0</v>
      </c>
    </row>
    <row r="25" spans="1:21" x14ac:dyDescent="0.25">
      <c r="A25" s="578" t="s">
        <v>84</v>
      </c>
      <c r="B25" s="578"/>
      <c r="C25" s="143">
        <v>0</v>
      </c>
      <c r="D25" s="143">
        <v>0</v>
      </c>
      <c r="E25" s="116">
        <f t="shared" si="1"/>
        <v>0</v>
      </c>
      <c r="F25" s="663">
        <f>'1461'!F25:G25</f>
        <v>5.992</v>
      </c>
      <c r="G25" s="663"/>
      <c r="H25" s="80">
        <f t="shared" si="2"/>
        <v>0</v>
      </c>
      <c r="I25" s="101">
        <f t="shared" si="3"/>
        <v>0</v>
      </c>
      <c r="N25" s="601" t="s">
        <v>84</v>
      </c>
      <c r="O25" s="601"/>
      <c r="P25" s="642">
        <f t="shared" si="0"/>
        <v>0</v>
      </c>
      <c r="Q25" s="642"/>
      <c r="R25" s="647">
        <v>1</v>
      </c>
      <c r="S25" s="647"/>
      <c r="T25" s="95">
        <f t="shared" si="4"/>
        <v>0</v>
      </c>
      <c r="U25" s="473">
        <f t="shared" si="5"/>
        <v>0</v>
      </c>
    </row>
    <row r="26" spans="1:21" x14ac:dyDescent="0.25">
      <c r="A26" s="578" t="s">
        <v>85</v>
      </c>
      <c r="B26" s="578"/>
      <c r="C26" s="143">
        <v>0</v>
      </c>
      <c r="D26" s="143">
        <v>0</v>
      </c>
      <c r="E26" s="116">
        <f t="shared" si="1"/>
        <v>0</v>
      </c>
      <c r="F26" s="663">
        <f>'1461'!F26:G26</f>
        <v>1.1919999999999999</v>
      </c>
      <c r="G26" s="663"/>
      <c r="H26" s="80">
        <f t="shared" si="2"/>
        <v>0</v>
      </c>
      <c r="I26" s="101">
        <f t="shared" si="3"/>
        <v>0</v>
      </c>
      <c r="N26" s="601" t="s">
        <v>85</v>
      </c>
      <c r="O26" s="601"/>
      <c r="P26" s="642">
        <f t="shared" si="0"/>
        <v>0</v>
      </c>
      <c r="Q26" s="642"/>
      <c r="R26" s="647">
        <v>1</v>
      </c>
      <c r="S26" s="647"/>
      <c r="T26" s="95">
        <f t="shared" si="4"/>
        <v>0</v>
      </c>
      <c r="U26" s="473">
        <f t="shared" si="5"/>
        <v>0</v>
      </c>
    </row>
    <row r="27" spans="1:21" x14ac:dyDescent="0.25">
      <c r="A27" s="578" t="s">
        <v>86</v>
      </c>
      <c r="B27" s="578"/>
      <c r="C27" s="143">
        <v>14.17</v>
      </c>
      <c r="D27" s="143">
        <v>16.05</v>
      </c>
      <c r="E27" s="116">
        <f t="shared" si="1"/>
        <v>30.22</v>
      </c>
      <c r="F27" s="663">
        <f>'1461'!F27:G27</f>
        <v>1.1919999999999999</v>
      </c>
      <c r="G27" s="663"/>
      <c r="H27" s="80">
        <f t="shared" si="2"/>
        <v>36.022199999999998</v>
      </c>
      <c r="I27" s="101">
        <f t="shared" si="3"/>
        <v>199868.6</v>
      </c>
      <c r="N27" s="601" t="s">
        <v>86</v>
      </c>
      <c r="O27" s="601"/>
      <c r="P27" s="642">
        <f t="shared" si="0"/>
        <v>0</v>
      </c>
      <c r="Q27" s="642"/>
      <c r="R27" s="647">
        <v>1</v>
      </c>
      <c r="S27" s="647"/>
      <c r="T27" s="95">
        <f t="shared" si="4"/>
        <v>0</v>
      </c>
      <c r="U27" s="473">
        <f t="shared" si="5"/>
        <v>0</v>
      </c>
    </row>
    <row r="28" spans="1:21" x14ac:dyDescent="0.25">
      <c r="A28" s="578" t="s">
        <v>87</v>
      </c>
      <c r="B28" s="578"/>
      <c r="C28" s="143">
        <v>0</v>
      </c>
      <c r="D28" s="143">
        <v>0</v>
      </c>
      <c r="E28" s="116">
        <f t="shared" si="1"/>
        <v>0</v>
      </c>
      <c r="F28" s="663">
        <f>'1461'!F28:G28</f>
        <v>1.1919999999999999</v>
      </c>
      <c r="G28" s="663"/>
      <c r="H28" s="80">
        <f t="shared" si="2"/>
        <v>0</v>
      </c>
      <c r="I28" s="101">
        <f t="shared" si="3"/>
        <v>0</v>
      </c>
      <c r="N28" s="601" t="s">
        <v>87</v>
      </c>
      <c r="O28" s="601"/>
      <c r="P28" s="642">
        <f t="shared" si="0"/>
        <v>0</v>
      </c>
      <c r="Q28" s="642"/>
      <c r="R28" s="647">
        <v>1</v>
      </c>
      <c r="S28" s="647"/>
      <c r="T28" s="95">
        <f t="shared" si="4"/>
        <v>0</v>
      </c>
      <c r="U28" s="473">
        <f t="shared" si="5"/>
        <v>0</v>
      </c>
    </row>
    <row r="29" spans="1:21" x14ac:dyDescent="0.25">
      <c r="A29" s="578" t="s">
        <v>88</v>
      </c>
      <c r="B29" s="578"/>
      <c r="C29" s="110">
        <v>0</v>
      </c>
      <c r="D29" s="110">
        <v>0</v>
      </c>
      <c r="E29" s="154">
        <f t="shared" si="1"/>
        <v>0</v>
      </c>
      <c r="F29" s="663">
        <f>'1461'!F29:G29</f>
        <v>1.079</v>
      </c>
      <c r="G29" s="663"/>
      <c r="H29" s="93">
        <f t="shared" si="2"/>
        <v>0</v>
      </c>
      <c r="I29" s="94">
        <f t="shared" si="3"/>
        <v>0</v>
      </c>
      <c r="N29" s="616" t="s">
        <v>88</v>
      </c>
      <c r="O29" s="616"/>
      <c r="P29" s="642">
        <f t="shared" si="0"/>
        <v>0</v>
      </c>
      <c r="Q29" s="642"/>
      <c r="R29" s="643">
        <v>1</v>
      </c>
      <c r="S29" s="643"/>
      <c r="T29" s="95">
        <f t="shared" si="4"/>
        <v>0</v>
      </c>
      <c r="U29" s="473">
        <f t="shared" si="5"/>
        <v>0</v>
      </c>
    </row>
    <row r="30" spans="1:21" x14ac:dyDescent="0.25">
      <c r="A30" s="590" t="s">
        <v>5</v>
      </c>
      <c r="B30" s="590"/>
      <c r="C30" s="94">
        <f>SUM(C14:C29)</f>
        <v>167</v>
      </c>
      <c r="D30" s="94">
        <f>SUM(D14:D29)</f>
        <v>172.3</v>
      </c>
      <c r="E30" s="94">
        <f>SUM(E14:E29)</f>
        <v>339.30000000000007</v>
      </c>
      <c r="F30" s="582"/>
      <c r="G30" s="582"/>
      <c r="H30" s="99">
        <f>SUM(H14:H29)</f>
        <v>345.10220000000004</v>
      </c>
      <c r="I30" s="94">
        <f>SUM(I14:I29)</f>
        <v>1914794.03</v>
      </c>
      <c r="N30" s="644" t="s">
        <v>5</v>
      </c>
      <c r="O30" s="644"/>
      <c r="P30" s="645">
        <f>SUM(P14:P29)</f>
        <v>0</v>
      </c>
      <c r="Q30" s="645"/>
      <c r="R30" s="617"/>
      <c r="S30" s="617"/>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0" t="s">
        <v>233</v>
      </c>
      <c r="G34" s="670"/>
      <c r="H34" s="670"/>
      <c r="I34" s="101"/>
      <c r="N34" s="28"/>
      <c r="O34" s="28"/>
      <c r="P34" s="29"/>
      <c r="Q34" s="29"/>
      <c r="R34" s="30"/>
      <c r="S34" s="30"/>
      <c r="T34" s="102"/>
      <c r="U34" s="103"/>
    </row>
    <row r="35" spans="1:21" hidden="1" x14ac:dyDescent="0.25">
      <c r="A35" s="3"/>
      <c r="B35" s="69"/>
      <c r="C35" s="69"/>
      <c r="D35" s="69"/>
      <c r="E35" s="69"/>
      <c r="F35" s="670"/>
      <c r="G35" s="670"/>
      <c r="H35" s="670"/>
      <c r="I35" s="24" t="s">
        <v>61</v>
      </c>
      <c r="N35" s="627" t="s">
        <v>26</v>
      </c>
      <c r="O35" s="627"/>
      <c r="P35" s="627"/>
      <c r="Q35" s="627"/>
      <c r="R35" s="627"/>
      <c r="S35" s="627"/>
      <c r="T35" s="627"/>
      <c r="U35" s="25" t="str">
        <f>I35</f>
        <v>2015-16</v>
      </c>
    </row>
    <row r="36" spans="1:21" hidden="1" x14ac:dyDescent="0.25">
      <c r="A36" s="26"/>
      <c r="B36" s="26"/>
      <c r="C36" s="88" t="s">
        <v>93</v>
      </c>
      <c r="D36" s="88" t="s">
        <v>94</v>
      </c>
      <c r="E36" s="89" t="s">
        <v>8</v>
      </c>
      <c r="F36" s="670"/>
      <c r="G36" s="670"/>
      <c r="H36" s="670"/>
      <c r="I36" s="24" t="s">
        <v>27</v>
      </c>
      <c r="N36" s="28"/>
      <c r="O36" s="28"/>
      <c r="P36" s="29"/>
      <c r="Q36" s="29"/>
      <c r="R36" s="30"/>
      <c r="S36" s="30"/>
      <c r="T36" s="102"/>
      <c r="U36" s="25" t="s">
        <v>27</v>
      </c>
    </row>
    <row r="37" spans="1:21" ht="26.25" hidden="1" x14ac:dyDescent="0.25">
      <c r="A37" s="572" t="s">
        <v>50</v>
      </c>
      <c r="B37" s="572"/>
      <c r="C37" s="90" t="s">
        <v>2</v>
      </c>
      <c r="D37" s="90" t="s">
        <v>2</v>
      </c>
      <c r="E37" s="90" t="s">
        <v>2</v>
      </c>
      <c r="F37" s="671"/>
      <c r="G37" s="671"/>
      <c r="H37" s="671"/>
      <c r="I37" s="31" t="s">
        <v>395</v>
      </c>
      <c r="N37" s="639" t="s">
        <v>50</v>
      </c>
      <c r="O37" s="639"/>
      <c r="P37" s="640" t="s">
        <v>19</v>
      </c>
      <c r="Q37" s="640"/>
      <c r="R37" s="640"/>
      <c r="S37" s="640"/>
      <c r="T37" s="640"/>
      <c r="U37" s="19" t="str">
        <f>I37</f>
        <v>(WFTE x BSA x CWF x SDF)</v>
      </c>
    </row>
    <row r="38" spans="1:21" hidden="1" x14ac:dyDescent="0.25">
      <c r="A38" s="576" t="s">
        <v>45</v>
      </c>
      <c r="B38" s="576"/>
      <c r="C38" s="147">
        <v>0</v>
      </c>
      <c r="D38" s="147">
        <v>0</v>
      </c>
      <c r="E38" s="142">
        <f t="shared" ref="E38:E43" si="6">IF(D$44=0,C38*2,C38+D38)</f>
        <v>0</v>
      </c>
      <c r="F38" s="148"/>
      <c r="G38" s="148"/>
      <c r="H38" s="148"/>
      <c r="I38" s="111">
        <f>ROUND(ROUND(ROUND(E38*$C$8,4)*($H$8),2)*(MAX($H$9,1)),2)</f>
        <v>0</v>
      </c>
      <c r="N38" s="641" t="s">
        <v>45</v>
      </c>
      <c r="O38" s="641"/>
      <c r="P38" s="608">
        <f t="shared" ref="P38:P43" si="7">IF($H$133=1,E38,0)</f>
        <v>0</v>
      </c>
      <c r="Q38" s="608"/>
      <c r="R38" s="608"/>
      <c r="S38" s="608"/>
      <c r="T38" s="608"/>
      <c r="U38" s="98">
        <f>ROUND(ROUND(ROUND(P38*$C$8,4)*($H$8),2)*(MAX($H$9,1)),2)</f>
        <v>0</v>
      </c>
    </row>
    <row r="39" spans="1:21" hidden="1" x14ac:dyDescent="0.25">
      <c r="A39" s="578" t="s">
        <v>46</v>
      </c>
      <c r="B39" s="578"/>
      <c r="C39" s="150">
        <v>0</v>
      </c>
      <c r="D39" s="150">
        <v>0</v>
      </c>
      <c r="E39" s="144">
        <f t="shared" si="6"/>
        <v>0</v>
      </c>
      <c r="F39" s="151"/>
      <c r="G39" s="151"/>
      <c r="H39" s="151"/>
      <c r="I39" s="101">
        <f t="shared" ref="I39:I43" si="8">ROUND(ROUND(ROUND(E39*$C$8,4)*($H$8),2)*(MAX($H$9,1)),2)</f>
        <v>0</v>
      </c>
      <c r="N39" s="601" t="s">
        <v>46</v>
      </c>
      <c r="O39" s="601"/>
      <c r="P39" s="608">
        <f t="shared" si="7"/>
        <v>0</v>
      </c>
      <c r="Q39" s="608"/>
      <c r="R39" s="608"/>
      <c r="S39" s="608"/>
      <c r="T39" s="608"/>
      <c r="U39" s="98">
        <f t="shared" ref="U39:U43" si="9">ROUND(ROUND(ROUND(P39*$C$8,4)*($H$8),2)*(MAX($H$9,1)),2)</f>
        <v>0</v>
      </c>
    </row>
    <row r="40" spans="1:21" hidden="1" x14ac:dyDescent="0.25">
      <c r="A40" s="583" t="s">
        <v>47</v>
      </c>
      <c r="B40" s="583"/>
      <c r="C40" s="150">
        <v>0</v>
      </c>
      <c r="D40" s="150">
        <v>0</v>
      </c>
      <c r="E40" s="144">
        <f t="shared" si="6"/>
        <v>0</v>
      </c>
      <c r="F40" s="151"/>
      <c r="G40" s="151"/>
      <c r="H40" s="151"/>
      <c r="I40" s="101">
        <f t="shared" si="8"/>
        <v>0</v>
      </c>
      <c r="N40" s="646" t="s">
        <v>47</v>
      </c>
      <c r="O40" s="646"/>
      <c r="P40" s="608">
        <f t="shared" si="7"/>
        <v>0</v>
      </c>
      <c r="Q40" s="608"/>
      <c r="R40" s="608"/>
      <c r="S40" s="608"/>
      <c r="T40" s="608"/>
      <c r="U40" s="98">
        <f t="shared" si="9"/>
        <v>0</v>
      </c>
    </row>
    <row r="41" spans="1:21" hidden="1" x14ac:dyDescent="0.25">
      <c r="A41" s="578" t="s">
        <v>48</v>
      </c>
      <c r="B41" s="578"/>
      <c r="C41" s="150">
        <v>0</v>
      </c>
      <c r="D41" s="150">
        <v>0</v>
      </c>
      <c r="E41" s="144">
        <f t="shared" si="6"/>
        <v>0</v>
      </c>
      <c r="F41" s="151"/>
      <c r="G41" s="151"/>
      <c r="H41" s="151"/>
      <c r="I41" s="101">
        <f t="shared" si="8"/>
        <v>0</v>
      </c>
      <c r="N41" s="601" t="s">
        <v>48</v>
      </c>
      <c r="O41" s="601"/>
      <c r="P41" s="608">
        <f t="shared" si="7"/>
        <v>0</v>
      </c>
      <c r="Q41" s="608"/>
      <c r="R41" s="608"/>
      <c r="S41" s="608"/>
      <c r="T41" s="608"/>
      <c r="U41" s="98">
        <f t="shared" si="9"/>
        <v>0</v>
      </c>
    </row>
    <row r="42" spans="1:21" hidden="1" x14ac:dyDescent="0.25">
      <c r="A42" s="578" t="s">
        <v>49</v>
      </c>
      <c r="B42" s="578"/>
      <c r="C42" s="150">
        <v>0</v>
      </c>
      <c r="D42" s="150">
        <v>0</v>
      </c>
      <c r="E42" s="144">
        <f t="shared" si="6"/>
        <v>0</v>
      </c>
      <c r="F42" s="151"/>
      <c r="G42" s="151"/>
      <c r="H42" s="151"/>
      <c r="I42" s="101">
        <f t="shared" si="8"/>
        <v>0</v>
      </c>
      <c r="N42" s="601" t="s">
        <v>49</v>
      </c>
      <c r="O42" s="601"/>
      <c r="P42" s="608">
        <f t="shared" si="7"/>
        <v>0</v>
      </c>
      <c r="Q42" s="608"/>
      <c r="R42" s="608"/>
      <c r="S42" s="608"/>
      <c r="T42" s="608"/>
      <c r="U42" s="98">
        <f t="shared" si="9"/>
        <v>0</v>
      </c>
    </row>
    <row r="43" spans="1:21" hidden="1" x14ac:dyDescent="0.25">
      <c r="A43" s="578" t="s">
        <v>41</v>
      </c>
      <c r="B43" s="578"/>
      <c r="C43" s="149">
        <v>0</v>
      </c>
      <c r="D43" s="149">
        <v>0</v>
      </c>
      <c r="E43" s="136">
        <f t="shared" si="6"/>
        <v>0</v>
      </c>
      <c r="F43" s="151"/>
      <c r="G43" s="151"/>
      <c r="H43" s="151"/>
      <c r="I43" s="94">
        <f t="shared" si="8"/>
        <v>0</v>
      </c>
      <c r="N43" s="616" t="s">
        <v>41</v>
      </c>
      <c r="O43" s="616"/>
      <c r="P43" s="608">
        <f t="shared" si="7"/>
        <v>0</v>
      </c>
      <c r="Q43" s="608"/>
      <c r="R43" s="608"/>
      <c r="S43" s="608"/>
      <c r="T43" s="60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3" t="s">
        <v>43</v>
      </c>
      <c r="O44" s="603"/>
      <c r="P44" s="603"/>
      <c r="Q44" s="603"/>
      <c r="R44" s="33">
        <f>SUM(P38:R43)</f>
        <v>0</v>
      </c>
      <c r="S44" s="617" t="s">
        <v>51</v>
      </c>
      <c r="T44" s="617"/>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345.10220000000004</v>
      </c>
      <c r="F46" s="34"/>
      <c r="G46" s="106"/>
      <c r="H46" s="107" t="s">
        <v>98</v>
      </c>
      <c r="I46" s="94">
        <f>SUM(I44,I30)</f>
        <v>1914794.03</v>
      </c>
      <c r="N46" s="603" t="s">
        <v>44</v>
      </c>
      <c r="O46" s="603"/>
      <c r="P46" s="603"/>
      <c r="Q46" s="603"/>
      <c r="R46" s="35">
        <f>R44+T30</f>
        <v>0</v>
      </c>
      <c r="S46" s="617" t="s">
        <v>42</v>
      </c>
      <c r="T46" s="617"/>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396</v>
      </c>
      <c r="B48" s="26"/>
      <c r="C48" s="26"/>
      <c r="D48" s="26"/>
      <c r="E48" s="26"/>
      <c r="F48" s="34"/>
      <c r="G48" s="27"/>
      <c r="H48" s="27"/>
      <c r="I48" s="101"/>
      <c r="N48" s="383" t="s">
        <v>396</v>
      </c>
      <c r="O48" s="28"/>
      <c r="P48" s="28"/>
      <c r="Q48" s="28"/>
      <c r="R48" s="35"/>
      <c r="S48" s="30"/>
      <c r="T48" s="30"/>
      <c r="U48" s="402"/>
    </row>
    <row r="49" spans="1:22" s="391" customFormat="1" ht="9" customHeight="1" x14ac:dyDescent="0.2">
      <c r="A49" s="481" t="s">
        <v>397</v>
      </c>
      <c r="F49" s="392"/>
      <c r="G49" s="393"/>
      <c r="H49" s="393"/>
      <c r="I49" s="394"/>
      <c r="N49" s="403" t="s">
        <v>397</v>
      </c>
      <c r="O49" s="395"/>
      <c r="P49" s="395"/>
      <c r="Q49" s="395"/>
      <c r="R49" s="396"/>
      <c r="S49" s="397"/>
      <c r="T49" s="397"/>
      <c r="U49" s="404"/>
    </row>
    <row r="50" spans="1:22" s="391" customFormat="1" ht="11.25" customHeight="1" x14ac:dyDescent="0.2">
      <c r="A50" s="483" t="s">
        <v>398</v>
      </c>
      <c r="F50" s="392"/>
      <c r="G50" s="393"/>
      <c r="H50" s="393"/>
      <c r="I50" s="394"/>
      <c r="N50" s="405" t="s">
        <v>398</v>
      </c>
      <c r="O50" s="395"/>
      <c r="P50" s="395"/>
      <c r="Q50" s="395"/>
      <c r="R50" s="396"/>
      <c r="S50" s="397"/>
      <c r="T50" s="397"/>
      <c r="U50" s="404"/>
    </row>
    <row r="51" spans="1:22" x14ac:dyDescent="0.25">
      <c r="A51" s="389"/>
      <c r="B51" s="399" t="s">
        <v>399</v>
      </c>
      <c r="C51" s="26"/>
      <c r="D51" s="26"/>
      <c r="E51" s="43" t="s">
        <v>400</v>
      </c>
      <c r="F51" s="400">
        <f>I46</f>
        <v>1914794.03</v>
      </c>
      <c r="G51" s="109" t="s">
        <v>6</v>
      </c>
      <c r="H51" s="401">
        <v>4.5199999999999997E-2</v>
      </c>
      <c r="I51" s="101">
        <f>ROUND(F51*H51,2)</f>
        <v>86548.69</v>
      </c>
      <c r="N51" s="406"/>
      <c r="O51" s="407" t="s">
        <v>399</v>
      </c>
      <c r="P51" s="28"/>
      <c r="Q51" s="44" t="s">
        <v>400</v>
      </c>
      <c r="R51" s="408">
        <f>U30</f>
        <v>0</v>
      </c>
      <c r="S51" s="409" t="s">
        <v>6</v>
      </c>
      <c r="T51" s="410">
        <v>4.5199999999999997E-2</v>
      </c>
      <c r="U51" s="402">
        <f>ROUND(R51*T51,2)</f>
        <v>0</v>
      </c>
    </row>
    <row r="52" spans="1:22" x14ac:dyDescent="0.25">
      <c r="A52" s="26"/>
      <c r="B52" s="81" t="s">
        <v>401</v>
      </c>
      <c r="C52" s="26"/>
      <c r="D52" s="26"/>
      <c r="E52" s="43" t="s">
        <v>400</v>
      </c>
      <c r="F52" s="400">
        <f>I46</f>
        <v>1914794.03</v>
      </c>
      <c r="G52" s="109" t="s">
        <v>6</v>
      </c>
      <c r="H52" s="401">
        <v>1.41E-2</v>
      </c>
      <c r="I52" s="101">
        <f>ROUND(F52*H52,2)</f>
        <v>26998.6</v>
      </c>
      <c r="N52" s="28"/>
      <c r="O52" s="383" t="s">
        <v>401</v>
      </c>
      <c r="P52" s="28"/>
      <c r="Q52" s="44" t="s">
        <v>400</v>
      </c>
      <c r="R52" s="408">
        <f>U30</f>
        <v>0</v>
      </c>
      <c r="S52" s="409" t="s">
        <v>6</v>
      </c>
      <c r="T52" s="410">
        <v>1.41E-2</v>
      </c>
      <c r="U52" s="411">
        <f>ROUND(R52*T52,2)</f>
        <v>0</v>
      </c>
    </row>
    <row r="53" spans="1:22" x14ac:dyDescent="0.25">
      <c r="A53" s="26"/>
      <c r="B53" s="81" t="s">
        <v>402</v>
      </c>
      <c r="C53" s="26"/>
      <c r="D53" s="26"/>
      <c r="E53" s="43"/>
      <c r="F53" s="400"/>
      <c r="G53" s="109"/>
      <c r="H53" s="401"/>
      <c r="I53" s="97">
        <f>SUM(I51:I52)</f>
        <v>113547.29000000001</v>
      </c>
      <c r="N53" s="28"/>
      <c r="O53" s="383" t="s">
        <v>402</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440</v>
      </c>
      <c r="G55" s="109" t="s">
        <v>441</v>
      </c>
      <c r="H55" s="454" t="s">
        <v>442</v>
      </c>
      <c r="I55" s="101"/>
      <c r="N55" s="448"/>
      <c r="O55" s="448"/>
      <c r="P55" s="464"/>
      <c r="Q55" s="465"/>
      <c r="R55" s="466"/>
      <c r="S55" s="468" t="s">
        <v>441</v>
      </c>
      <c r="T55" s="469" t="s">
        <v>442</v>
      </c>
      <c r="U55" s="467"/>
      <c r="V55" s="424"/>
    </row>
    <row r="56" spans="1:22" x14ac:dyDescent="0.25">
      <c r="A56" s="36" t="s">
        <v>443</v>
      </c>
      <c r="B56" s="36"/>
      <c r="C56" s="324" t="str">
        <f>'1461'!C56</f>
        <v>FTE</v>
      </c>
      <c r="D56" s="324" t="str">
        <f>'1461'!D56</f>
        <v>FTE</v>
      </c>
      <c r="E56" s="90" t="s">
        <v>2</v>
      </c>
      <c r="F56" s="439" t="s">
        <v>444</v>
      </c>
      <c r="G56" s="441" t="s">
        <v>444</v>
      </c>
      <c r="H56" s="455" t="s">
        <v>445</v>
      </c>
      <c r="I56" s="36"/>
      <c r="N56" s="459" t="s">
        <v>443</v>
      </c>
      <c r="O56" s="459"/>
      <c r="P56" s="620" t="s">
        <v>2</v>
      </c>
      <c r="Q56" s="620"/>
      <c r="R56" s="459" t="s">
        <v>449</v>
      </c>
      <c r="S56" s="450" t="s">
        <v>444</v>
      </c>
      <c r="T56" s="470" t="s">
        <v>445</v>
      </c>
      <c r="U56" s="459"/>
      <c r="V56" s="458"/>
    </row>
    <row r="57" spans="1:22" x14ac:dyDescent="0.25">
      <c r="A57" s="588" t="s">
        <v>447</v>
      </c>
      <c r="B57" s="588"/>
      <c r="C57" s="143">
        <v>0</v>
      </c>
      <c r="D57" s="143">
        <v>0</v>
      </c>
      <c r="E57" s="116">
        <f t="shared" ref="E57:E65" si="10">IF(D$66=0,C57*2,C57+D57)</f>
        <v>0</v>
      </c>
      <c r="F57" s="443" t="s">
        <v>439</v>
      </c>
      <c r="G57" s="443">
        <v>251</v>
      </c>
      <c r="H57" s="457">
        <f>'1461'!H57</f>
        <v>1047</v>
      </c>
      <c r="I57" s="101">
        <f>ROUND(E57*H57,2)</f>
        <v>0</v>
      </c>
      <c r="N57" s="618" t="s">
        <v>447</v>
      </c>
      <c r="O57" s="618"/>
      <c r="P57" s="621"/>
      <c r="Q57" s="621"/>
      <c r="R57" s="449" t="s">
        <v>439</v>
      </c>
      <c r="S57" s="449">
        <v>251</v>
      </c>
      <c r="T57" s="460">
        <f>H57</f>
        <v>1047</v>
      </c>
      <c r="U57" s="474">
        <f>ROUND(P57*T57,2)</f>
        <v>0</v>
      </c>
      <c r="V57" s="424"/>
    </row>
    <row r="58" spans="1:22" x14ac:dyDescent="0.25">
      <c r="A58" s="589"/>
      <c r="B58" s="589"/>
      <c r="C58" s="143">
        <v>0</v>
      </c>
      <c r="D58" s="143">
        <v>0</v>
      </c>
      <c r="E58" s="116">
        <f t="shared" si="10"/>
        <v>0</v>
      </c>
      <c r="F58" s="443" t="s">
        <v>439</v>
      </c>
      <c r="G58" s="443">
        <v>252</v>
      </c>
      <c r="H58" s="457">
        <f>'1461'!H58</f>
        <v>3380</v>
      </c>
      <c r="I58" s="101">
        <f t="shared" ref="I58:I65" si="11">ROUND(E58*H58,2)</f>
        <v>0</v>
      </c>
      <c r="N58" s="619"/>
      <c r="O58" s="619"/>
      <c r="P58" s="622"/>
      <c r="Q58" s="622"/>
      <c r="R58" s="449" t="s">
        <v>439</v>
      </c>
      <c r="S58" s="449">
        <v>252</v>
      </c>
      <c r="T58" s="460">
        <f t="shared" ref="T58:T65" si="12">H58</f>
        <v>3380</v>
      </c>
      <c r="U58" s="474">
        <f t="shared" ref="U58:U65" si="13">ROUND(P58*T58,2)</f>
        <v>0</v>
      </c>
      <c r="V58" s="424"/>
    </row>
    <row r="59" spans="1:22" x14ac:dyDescent="0.25">
      <c r="A59" s="589"/>
      <c r="B59" s="589"/>
      <c r="C59" s="143">
        <v>0</v>
      </c>
      <c r="D59" s="143">
        <v>0</v>
      </c>
      <c r="E59" s="116">
        <f t="shared" si="10"/>
        <v>0</v>
      </c>
      <c r="F59" s="443" t="s">
        <v>439</v>
      </c>
      <c r="G59" s="443">
        <v>253</v>
      </c>
      <c r="H59" s="457">
        <f>'1461'!H59</f>
        <v>6896</v>
      </c>
      <c r="I59" s="101">
        <f t="shared" si="11"/>
        <v>0</v>
      </c>
      <c r="N59" s="619"/>
      <c r="O59" s="619"/>
      <c r="P59" s="622"/>
      <c r="Q59" s="622"/>
      <c r="R59" s="449" t="s">
        <v>439</v>
      </c>
      <c r="S59" s="449">
        <v>253</v>
      </c>
      <c r="T59" s="460">
        <f t="shared" si="12"/>
        <v>6896</v>
      </c>
      <c r="U59" s="474">
        <f t="shared" si="13"/>
        <v>0</v>
      </c>
      <c r="V59" s="424"/>
    </row>
    <row r="60" spans="1:22" x14ac:dyDescent="0.25">
      <c r="A60" s="589"/>
      <c r="B60" s="589"/>
      <c r="C60" s="143">
        <v>22</v>
      </c>
      <c r="D60" s="143">
        <v>22.34</v>
      </c>
      <c r="E60" s="116">
        <f t="shared" si="10"/>
        <v>44.34</v>
      </c>
      <c r="F60" s="444" t="s">
        <v>13</v>
      </c>
      <c r="G60" s="443">
        <v>251</v>
      </c>
      <c r="H60" s="457">
        <f>'1461'!H60</f>
        <v>1173</v>
      </c>
      <c r="I60" s="101">
        <f t="shared" si="11"/>
        <v>52010.82</v>
      </c>
      <c r="N60" s="619"/>
      <c r="O60" s="619"/>
      <c r="P60" s="622"/>
      <c r="Q60" s="622"/>
      <c r="R60" s="40" t="s">
        <v>13</v>
      </c>
      <c r="S60" s="449">
        <v>251</v>
      </c>
      <c r="T60" s="460">
        <f t="shared" si="12"/>
        <v>1173</v>
      </c>
      <c r="U60" s="474">
        <f t="shared" si="13"/>
        <v>0</v>
      </c>
      <c r="V60" s="424"/>
    </row>
    <row r="61" spans="1:22" x14ac:dyDescent="0.25">
      <c r="A61" s="589"/>
      <c r="B61" s="589"/>
      <c r="C61" s="143">
        <v>1</v>
      </c>
      <c r="D61" s="143">
        <v>0.5</v>
      </c>
      <c r="E61" s="116">
        <f t="shared" si="10"/>
        <v>1.5</v>
      </c>
      <c r="F61" s="444" t="s">
        <v>13</v>
      </c>
      <c r="G61" s="443">
        <v>252</v>
      </c>
      <c r="H61" s="457">
        <f>'1461'!H61</f>
        <v>3506</v>
      </c>
      <c r="I61" s="101">
        <f t="shared" si="11"/>
        <v>5259</v>
      </c>
      <c r="N61" s="619"/>
      <c r="O61" s="619"/>
      <c r="P61" s="622"/>
      <c r="Q61" s="622"/>
      <c r="R61" s="40" t="s">
        <v>13</v>
      </c>
      <c r="S61" s="449">
        <v>252</v>
      </c>
      <c r="T61" s="460">
        <f t="shared" si="12"/>
        <v>3506</v>
      </c>
      <c r="U61" s="474">
        <f t="shared" si="13"/>
        <v>0</v>
      </c>
      <c r="V61" s="424"/>
    </row>
    <row r="62" spans="1:22" x14ac:dyDescent="0.25">
      <c r="A62" s="589"/>
      <c r="B62" s="589"/>
      <c r="C62" s="143">
        <v>0</v>
      </c>
      <c r="D62" s="143">
        <v>0</v>
      </c>
      <c r="E62" s="116">
        <f t="shared" si="10"/>
        <v>0</v>
      </c>
      <c r="F62" s="444" t="s">
        <v>13</v>
      </c>
      <c r="G62" s="443">
        <v>253</v>
      </c>
      <c r="H62" s="457">
        <f>'1461'!H62</f>
        <v>7023</v>
      </c>
      <c r="I62" s="101">
        <f t="shared" si="11"/>
        <v>0</v>
      </c>
      <c r="N62" s="619"/>
      <c r="O62" s="619"/>
      <c r="P62" s="622"/>
      <c r="Q62" s="622"/>
      <c r="R62" s="40" t="s">
        <v>13</v>
      </c>
      <c r="S62" s="449">
        <v>253</v>
      </c>
      <c r="T62" s="460">
        <f t="shared" si="12"/>
        <v>7023</v>
      </c>
      <c r="U62" s="474">
        <f t="shared" si="13"/>
        <v>0</v>
      </c>
      <c r="V62" s="424"/>
    </row>
    <row r="63" spans="1:22" x14ac:dyDescent="0.25">
      <c r="A63" s="589"/>
      <c r="B63" s="589"/>
      <c r="C63" s="143">
        <v>0</v>
      </c>
      <c r="D63" s="143">
        <v>0</v>
      </c>
      <c r="E63" s="116">
        <f t="shared" si="10"/>
        <v>0</v>
      </c>
      <c r="F63" s="444" t="s">
        <v>14</v>
      </c>
      <c r="G63" s="443">
        <v>251</v>
      </c>
      <c r="H63" s="457">
        <f>'1461'!H63</f>
        <v>835</v>
      </c>
      <c r="I63" s="101">
        <f t="shared" si="11"/>
        <v>0</v>
      </c>
      <c r="N63" s="619"/>
      <c r="O63" s="619"/>
      <c r="P63" s="622"/>
      <c r="Q63" s="622"/>
      <c r="R63" s="40" t="s">
        <v>14</v>
      </c>
      <c r="S63" s="449">
        <v>251</v>
      </c>
      <c r="T63" s="460">
        <f t="shared" si="12"/>
        <v>835</v>
      </c>
      <c r="U63" s="474">
        <f t="shared" si="13"/>
        <v>0</v>
      </c>
      <c r="V63" s="424"/>
    </row>
    <row r="64" spans="1:22" x14ac:dyDescent="0.25">
      <c r="A64" s="589"/>
      <c r="B64" s="589"/>
      <c r="C64" s="143">
        <v>0</v>
      </c>
      <c r="D64" s="143">
        <v>0</v>
      </c>
      <c r="E64" s="116">
        <f t="shared" si="10"/>
        <v>0</v>
      </c>
      <c r="F64" s="444" t="s">
        <v>14</v>
      </c>
      <c r="G64" s="443">
        <v>252</v>
      </c>
      <c r="H64" s="457">
        <f>'1461'!H64</f>
        <v>3168</v>
      </c>
      <c r="I64" s="101">
        <f t="shared" si="11"/>
        <v>0</v>
      </c>
      <c r="N64" s="619"/>
      <c r="O64" s="619"/>
      <c r="P64" s="622"/>
      <c r="Q64" s="622"/>
      <c r="R64" s="40" t="s">
        <v>14</v>
      </c>
      <c r="S64" s="449">
        <v>252</v>
      </c>
      <c r="T64" s="460">
        <f t="shared" si="12"/>
        <v>3168</v>
      </c>
      <c r="U64" s="474">
        <f t="shared" si="13"/>
        <v>0</v>
      </c>
      <c r="V64" s="424"/>
    </row>
    <row r="65" spans="1:22" ht="16.5" thickBot="1" x14ac:dyDescent="0.3">
      <c r="A65" s="589"/>
      <c r="B65" s="589"/>
      <c r="C65" s="143">
        <v>0</v>
      </c>
      <c r="D65" s="143">
        <v>0</v>
      </c>
      <c r="E65" s="116">
        <f t="shared" si="10"/>
        <v>0</v>
      </c>
      <c r="F65" s="444" t="s">
        <v>14</v>
      </c>
      <c r="G65" s="443">
        <v>253</v>
      </c>
      <c r="H65" s="457">
        <f>'1461'!H65</f>
        <v>6685</v>
      </c>
      <c r="I65" s="101">
        <f t="shared" si="11"/>
        <v>0</v>
      </c>
      <c r="N65" s="619"/>
      <c r="O65" s="619"/>
      <c r="P65" s="623"/>
      <c r="Q65" s="623"/>
      <c r="R65" s="40" t="s">
        <v>14</v>
      </c>
      <c r="S65" s="449">
        <v>253</v>
      </c>
      <c r="T65" s="460">
        <f t="shared" si="12"/>
        <v>6685</v>
      </c>
      <c r="U65" s="475">
        <f t="shared" si="13"/>
        <v>0</v>
      </c>
      <c r="V65" s="424"/>
    </row>
    <row r="66" spans="1:22" ht="16.5" thickBot="1" x14ac:dyDescent="0.3">
      <c r="A66" s="440"/>
      <c r="C66" s="97">
        <f>SUM(C57:C65)</f>
        <v>23</v>
      </c>
      <c r="D66" s="97">
        <f>SUM(D57:D65)</f>
        <v>22.84</v>
      </c>
      <c r="E66" s="97">
        <f>SUM(E57:E65)</f>
        <v>45.84</v>
      </c>
      <c r="F66" s="590" t="s">
        <v>448</v>
      </c>
      <c r="G66" s="590"/>
      <c r="H66" s="590"/>
      <c r="I66" s="97">
        <f>SUM(I57:I65)</f>
        <v>57269.82</v>
      </c>
      <c r="N66" s="446"/>
      <c r="O66" s="51"/>
      <c r="P66" s="602">
        <f>SUM(P57:P65)</f>
        <v>0</v>
      </c>
      <c r="Q66" s="602"/>
      <c r="R66" s="603" t="s">
        <v>448</v>
      </c>
      <c r="S66" s="603"/>
      <c r="T66" s="603"/>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450</v>
      </c>
      <c r="N68" s="453" t="s">
        <v>458</v>
      </c>
      <c r="O68" s="51"/>
      <c r="P68" s="51"/>
      <c r="Q68" s="51"/>
      <c r="R68" s="51"/>
      <c r="S68" s="51"/>
      <c r="T68" s="51"/>
      <c r="U68" s="51"/>
    </row>
    <row r="69" spans="1:22" x14ac:dyDescent="0.25">
      <c r="A69" s="584" t="s">
        <v>403</v>
      </c>
      <c r="B69" s="578"/>
      <c r="C69" s="112">
        <f>E30</f>
        <v>339.30000000000007</v>
      </c>
      <c r="D69" s="565" t="s">
        <v>414</v>
      </c>
      <c r="E69" s="565"/>
      <c r="F69" s="565"/>
      <c r="G69" s="565"/>
      <c r="H69" s="300">
        <f>'1461'!H69</f>
        <v>210228.91</v>
      </c>
      <c r="I69" s="113"/>
      <c r="N69" s="600" t="s">
        <v>407</v>
      </c>
      <c r="O69" s="601"/>
      <c r="P69" s="41">
        <f>P30</f>
        <v>0</v>
      </c>
      <c r="Q69" s="606" t="s">
        <v>409</v>
      </c>
      <c r="R69" s="607"/>
      <c r="S69" s="607"/>
      <c r="T69" s="604">
        <f>H69</f>
        <v>210228.91</v>
      </c>
      <c r="U69" s="604"/>
    </row>
    <row r="70" spans="1:22" x14ac:dyDescent="0.25">
      <c r="B70" s="69"/>
      <c r="G70" s="42" t="s">
        <v>12</v>
      </c>
      <c r="H70" s="114">
        <f>ROUND(C69/H69,6)</f>
        <v>1.614E-3</v>
      </c>
      <c r="I70" s="115"/>
      <c r="N70" s="601"/>
      <c r="O70" s="601"/>
      <c r="P70" s="601"/>
      <c r="Q70" s="601"/>
      <c r="R70" s="601"/>
      <c r="S70" s="601"/>
      <c r="T70" s="605">
        <f>ROUND(P69/T69,6)</f>
        <v>0</v>
      </c>
      <c r="U70" s="605"/>
    </row>
    <row r="71" spans="1:22" x14ac:dyDescent="0.25">
      <c r="A71" s="442" t="s">
        <v>451</v>
      </c>
      <c r="N71" s="453" t="s">
        <v>459</v>
      </c>
      <c r="O71" s="51"/>
      <c r="P71" s="51"/>
      <c r="Q71" s="51"/>
      <c r="R71" s="51"/>
      <c r="S71" s="51"/>
      <c r="T71" s="51"/>
      <c r="U71" s="51"/>
    </row>
    <row r="72" spans="1:22" x14ac:dyDescent="0.25">
      <c r="A72" s="584" t="s">
        <v>404</v>
      </c>
      <c r="B72" s="578"/>
      <c r="C72" s="112">
        <f>H30</f>
        <v>345.10220000000004</v>
      </c>
      <c r="D72" s="565" t="s">
        <v>415</v>
      </c>
      <c r="E72" s="565"/>
      <c r="F72" s="565"/>
      <c r="G72" s="565"/>
      <c r="H72" s="301">
        <f>'1461'!H72</f>
        <v>234891.44</v>
      </c>
      <c r="I72" s="116"/>
      <c r="N72" s="600" t="s">
        <v>408</v>
      </c>
      <c r="O72" s="601"/>
      <c r="P72" s="41">
        <f>T30</f>
        <v>0</v>
      </c>
      <c r="Q72" s="606" t="s">
        <v>410</v>
      </c>
      <c r="R72" s="607"/>
      <c r="S72" s="607"/>
      <c r="T72" s="604">
        <f>H72</f>
        <v>234891.44</v>
      </c>
      <c r="U72" s="604"/>
    </row>
    <row r="73" spans="1:22" x14ac:dyDescent="0.25">
      <c r="G73" s="42" t="s">
        <v>12</v>
      </c>
      <c r="H73" s="114">
        <f>ROUND(C72/H72,6)</f>
        <v>1.469E-3</v>
      </c>
      <c r="I73" s="114"/>
      <c r="N73" s="601"/>
      <c r="O73" s="601"/>
      <c r="P73" s="601"/>
      <c r="Q73" s="601"/>
      <c r="R73" s="601"/>
      <c r="S73" s="601"/>
      <c r="T73" s="605">
        <f>ROUND(P72/T72,6)</f>
        <v>0</v>
      </c>
      <c r="U73" s="605"/>
    </row>
    <row r="74" spans="1:22" x14ac:dyDescent="0.25">
      <c r="A74" s="417" t="s">
        <v>452</v>
      </c>
      <c r="B74" s="414"/>
      <c r="C74" s="414"/>
      <c r="D74" s="414"/>
      <c r="E74" s="414"/>
      <c r="F74" s="414"/>
      <c r="G74" s="414"/>
      <c r="H74" s="414"/>
      <c r="I74" s="414"/>
      <c r="N74" s="416" t="s">
        <v>460</v>
      </c>
      <c r="O74" s="415"/>
      <c r="P74" s="415"/>
      <c r="Q74" s="415"/>
      <c r="R74" s="415"/>
      <c r="S74" s="415"/>
      <c r="T74" s="415"/>
      <c r="U74" s="415"/>
      <c r="V74" s="414"/>
    </row>
    <row r="75" spans="1:22" x14ac:dyDescent="0.25">
      <c r="A75" s="584" t="s">
        <v>405</v>
      </c>
      <c r="B75" s="578"/>
      <c r="C75" s="112">
        <f>E30</f>
        <v>339.30000000000007</v>
      </c>
      <c r="D75" s="557" t="s">
        <v>416</v>
      </c>
      <c r="E75" s="557"/>
      <c r="F75" s="557"/>
      <c r="G75" s="557"/>
      <c r="H75" s="300">
        <f>'1461'!H75</f>
        <v>187665.41</v>
      </c>
      <c r="I75" s="113"/>
      <c r="N75" s="600" t="s">
        <v>406</v>
      </c>
      <c r="O75" s="601"/>
      <c r="P75" s="41">
        <f>P30</f>
        <v>0</v>
      </c>
      <c r="Q75" s="636" t="s">
        <v>411</v>
      </c>
      <c r="R75" s="637"/>
      <c r="S75" s="637"/>
      <c r="T75" s="604">
        <f>H75</f>
        <v>187665.41</v>
      </c>
      <c r="U75" s="604"/>
    </row>
    <row r="76" spans="1:22" x14ac:dyDescent="0.25">
      <c r="B76" s="69"/>
      <c r="G76" s="42" t="s">
        <v>12</v>
      </c>
      <c r="H76" s="114">
        <f>ROUND(C75/H75,6)</f>
        <v>1.8079999999999999E-3</v>
      </c>
      <c r="I76" s="115"/>
      <c r="N76" s="601"/>
      <c r="O76" s="601"/>
      <c r="P76" s="601"/>
      <c r="Q76" s="601"/>
      <c r="R76" s="601"/>
      <c r="S76" s="601"/>
      <c r="T76" s="605">
        <f>ROUND(P75/T75,6)</f>
        <v>0</v>
      </c>
      <c r="U76" s="605"/>
    </row>
    <row r="77" spans="1:22" x14ac:dyDescent="0.25">
      <c r="A77" s="417" t="s">
        <v>453</v>
      </c>
      <c r="B77" s="414"/>
      <c r="C77" s="414"/>
      <c r="D77" s="414"/>
      <c r="E77" s="414"/>
      <c r="F77" s="414"/>
      <c r="G77" s="414"/>
      <c r="H77" s="414"/>
      <c r="I77" s="414"/>
      <c r="N77" s="416" t="s">
        <v>461</v>
      </c>
      <c r="O77" s="415"/>
      <c r="P77" s="415"/>
      <c r="Q77" s="415"/>
      <c r="R77" s="415"/>
      <c r="S77" s="415"/>
      <c r="T77" s="415"/>
      <c r="U77" s="415"/>
      <c r="V77" s="414"/>
    </row>
    <row r="78" spans="1:22" x14ac:dyDescent="0.25">
      <c r="A78" s="584" t="s">
        <v>405</v>
      </c>
      <c r="B78" s="578"/>
      <c r="C78" s="112">
        <f>E30</f>
        <v>339.30000000000007</v>
      </c>
      <c r="D78" s="585" t="s">
        <v>417</v>
      </c>
      <c r="E78" s="585"/>
      <c r="F78" s="585"/>
      <c r="G78" s="585"/>
      <c r="H78" s="300">
        <f>'1461'!H78</f>
        <v>209892.26</v>
      </c>
      <c r="I78" s="113"/>
      <c r="N78" s="600" t="s">
        <v>406</v>
      </c>
      <c r="O78" s="601"/>
      <c r="P78" s="41">
        <f>P30</f>
        <v>0</v>
      </c>
      <c r="Q78" s="634" t="s">
        <v>412</v>
      </c>
      <c r="R78" s="635"/>
      <c r="S78" s="635"/>
      <c r="T78" s="604">
        <f>H78</f>
        <v>209892.26</v>
      </c>
      <c r="U78" s="604"/>
    </row>
    <row r="79" spans="1:22" x14ac:dyDescent="0.25">
      <c r="B79" s="69"/>
      <c r="G79" s="42" t="s">
        <v>12</v>
      </c>
      <c r="H79" s="114">
        <f>ROUND(C78/H78,6)</f>
        <v>1.6169999999999999E-3</v>
      </c>
      <c r="I79" s="115"/>
      <c r="N79" s="601"/>
      <c r="O79" s="601"/>
      <c r="P79" s="601"/>
      <c r="Q79" s="601"/>
      <c r="R79" s="601"/>
      <c r="S79" s="601"/>
      <c r="T79" s="605">
        <f>ROUND(P78/T78,6)</f>
        <v>0</v>
      </c>
      <c r="U79" s="605"/>
    </row>
    <row r="80" spans="1:22" x14ac:dyDescent="0.25">
      <c r="A80" s="417" t="s">
        <v>454</v>
      </c>
      <c r="B80" s="414"/>
      <c r="C80" s="414"/>
      <c r="D80" s="414"/>
      <c r="E80" s="414"/>
      <c r="F80" s="414"/>
      <c r="G80" s="414"/>
      <c r="H80" s="414"/>
      <c r="I80" s="414"/>
      <c r="N80" s="416" t="s">
        <v>462</v>
      </c>
      <c r="O80" s="415"/>
      <c r="P80" s="415"/>
      <c r="Q80" s="415"/>
      <c r="R80" s="415"/>
      <c r="S80" s="415"/>
      <c r="T80" s="415"/>
      <c r="U80" s="415"/>
      <c r="V80" s="414"/>
    </row>
    <row r="81" spans="1:21" x14ac:dyDescent="0.25">
      <c r="A81" s="584" t="s">
        <v>413</v>
      </c>
      <c r="B81" s="578"/>
      <c r="C81" s="112">
        <f>E30</f>
        <v>339.30000000000007</v>
      </c>
      <c r="D81" s="557" t="s">
        <v>418</v>
      </c>
      <c r="E81" s="557"/>
      <c r="F81" s="557"/>
      <c r="G81" s="557"/>
      <c r="H81" s="300">
        <f>'1461'!H81</f>
        <v>187328.76</v>
      </c>
      <c r="I81" s="113"/>
      <c r="N81" s="600" t="s">
        <v>419</v>
      </c>
      <c r="O81" s="601"/>
      <c r="P81" s="41">
        <f>P30</f>
        <v>0</v>
      </c>
      <c r="Q81" s="636" t="s">
        <v>420</v>
      </c>
      <c r="R81" s="637"/>
      <c r="S81" s="637"/>
      <c r="T81" s="604">
        <f>H81</f>
        <v>187328.76</v>
      </c>
      <c r="U81" s="604"/>
    </row>
    <row r="82" spans="1:21" x14ac:dyDescent="0.25">
      <c r="B82" s="69"/>
      <c r="G82" s="42" t="s">
        <v>12</v>
      </c>
      <c r="H82" s="114">
        <f>ROUND(C81/H81,6)</f>
        <v>1.8109999999999999E-3</v>
      </c>
      <c r="I82" s="115"/>
      <c r="N82" s="601"/>
      <c r="O82" s="601"/>
      <c r="P82" s="601"/>
      <c r="Q82" s="601"/>
      <c r="R82" s="601"/>
      <c r="S82" s="601"/>
      <c r="T82" s="605">
        <f>ROUND(P81/T81,6)</f>
        <v>0</v>
      </c>
      <c r="U82" s="605"/>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455</v>
      </c>
      <c r="D85" s="69"/>
      <c r="E85" s="43" t="s">
        <v>299</v>
      </c>
      <c r="F85" s="302">
        <f>'1461'!F85</f>
        <v>46163704</v>
      </c>
      <c r="G85" s="37" t="s">
        <v>6</v>
      </c>
      <c r="H85" s="422">
        <f>H79</f>
        <v>1.6169999999999999E-3</v>
      </c>
      <c r="I85" s="101">
        <f>ROUND(F85*H85,2)</f>
        <v>74646.710000000006</v>
      </c>
      <c r="N85" s="453" t="s">
        <v>455</v>
      </c>
      <c r="O85" s="51"/>
      <c r="P85" s="51"/>
      <c r="Q85" s="44"/>
      <c r="R85" s="419">
        <f>F85</f>
        <v>46163704</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87" t="s">
        <v>71</v>
      </c>
      <c r="B87" s="578"/>
      <c r="C87" s="578"/>
      <c r="D87" s="69"/>
      <c r="E87" s="43"/>
      <c r="F87" s="153"/>
      <c r="G87" s="37"/>
      <c r="H87" s="422"/>
      <c r="I87" s="101"/>
      <c r="N87" s="600" t="s">
        <v>463</v>
      </c>
      <c r="O87" s="601"/>
      <c r="P87" s="601"/>
      <c r="Q87" s="51"/>
      <c r="R87" s="420"/>
      <c r="S87" s="51"/>
      <c r="T87" s="38"/>
      <c r="U87" s="478"/>
    </row>
    <row r="88" spans="1:21" x14ac:dyDescent="0.25">
      <c r="A88" s="587" t="s">
        <v>99</v>
      </c>
      <c r="B88" s="578"/>
      <c r="C88" s="578"/>
      <c r="D88" s="69"/>
      <c r="E88" s="43" t="s">
        <v>3</v>
      </c>
      <c r="F88" s="302">
        <f>'1461'!F88</f>
        <v>0</v>
      </c>
      <c r="G88" s="37" t="s">
        <v>6</v>
      </c>
      <c r="H88" s="422">
        <f>H70</f>
        <v>1.614E-3</v>
      </c>
      <c r="I88" s="101">
        <f>ROUND(F88*H88,2)</f>
        <v>0</v>
      </c>
      <c r="N88" s="638" t="s">
        <v>99</v>
      </c>
      <c r="O88" s="601"/>
      <c r="P88" s="601"/>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456</v>
      </c>
      <c r="D90" s="69"/>
      <c r="E90" s="43" t="s">
        <v>421</v>
      </c>
      <c r="F90" s="302">
        <f>'1461'!F90</f>
        <v>19042026</v>
      </c>
      <c r="G90" s="37" t="s">
        <v>6</v>
      </c>
      <c r="H90" s="422">
        <f>H82</f>
        <v>1.8109999999999999E-3</v>
      </c>
      <c r="I90" s="101">
        <f>ROUND(F90*H90,2)</f>
        <v>34485.11</v>
      </c>
      <c r="N90" s="453" t="s">
        <v>456</v>
      </c>
      <c r="O90" s="51"/>
      <c r="P90" s="51"/>
      <c r="Q90" s="44"/>
      <c r="R90" s="419">
        <f>F90</f>
        <v>19042026</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457</v>
      </c>
      <c r="D92" s="69"/>
      <c r="E92" s="43" t="s">
        <v>3</v>
      </c>
      <c r="F92" s="302">
        <f>'1461'!F92</f>
        <v>11441151</v>
      </c>
      <c r="G92" s="37" t="s">
        <v>6</v>
      </c>
      <c r="H92" s="422">
        <f>H76</f>
        <v>1.8079999999999999E-3</v>
      </c>
      <c r="I92" s="101">
        <f t="shared" ref="I92:I96" si="14">ROUND(F92*H92,2)</f>
        <v>20685.599999999999</v>
      </c>
      <c r="N92" s="453" t="s">
        <v>457</v>
      </c>
      <c r="O92" s="51"/>
      <c r="P92" s="51"/>
      <c r="Q92" s="44"/>
      <c r="R92" s="419">
        <f t="shared" ref="R92:R96" si="15">F92</f>
        <v>11441151</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84" t="s">
        <v>422</v>
      </c>
      <c r="B94" s="578"/>
      <c r="C94" s="578"/>
      <c r="D94" s="69"/>
      <c r="E94" s="43" t="s">
        <v>4</v>
      </c>
      <c r="F94" s="302">
        <f>'1461'!F94</f>
        <v>247265670</v>
      </c>
      <c r="G94" s="37" t="s">
        <v>6</v>
      </c>
      <c r="H94" s="422">
        <f>H73</f>
        <v>1.469E-3</v>
      </c>
      <c r="I94" s="101">
        <f t="shared" si="14"/>
        <v>363233.27</v>
      </c>
      <c r="N94" s="601" t="s">
        <v>422</v>
      </c>
      <c r="O94" s="601"/>
      <c r="P94" s="601"/>
      <c r="Q94" s="44"/>
      <c r="R94" s="419">
        <f t="shared" si="15"/>
        <v>247265670</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4" t="s">
        <v>423</v>
      </c>
      <c r="B96" s="578"/>
      <c r="C96" s="578"/>
      <c r="D96" s="69"/>
      <c r="E96" s="43" t="s">
        <v>4</v>
      </c>
      <c r="F96" s="302">
        <f>'1461'!F96</f>
        <v>0</v>
      </c>
      <c r="G96" s="37" t="s">
        <v>6</v>
      </c>
      <c r="H96" s="422">
        <f>H73</f>
        <v>1.469E-3</v>
      </c>
      <c r="I96" s="101">
        <f t="shared" si="14"/>
        <v>0</v>
      </c>
      <c r="N96" s="600" t="s">
        <v>423</v>
      </c>
      <c r="O96" s="601"/>
      <c r="P96" s="601"/>
      <c r="Q96" s="44"/>
      <c r="R96" s="419">
        <f t="shared" si="15"/>
        <v>0</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530" t="s">
        <v>497</v>
      </c>
      <c r="B98" s="529"/>
      <c r="C98" s="529"/>
      <c r="D98" s="529"/>
      <c r="E98" s="527" t="s">
        <v>3</v>
      </c>
      <c r="F98" s="290">
        <v>0</v>
      </c>
      <c r="G98" s="528" t="s">
        <v>6</v>
      </c>
      <c r="H98" s="422">
        <f>H70</f>
        <v>1.614E-3</v>
      </c>
      <c r="I98" s="101">
        <f t="shared" ref="I98" si="16">ROUND(F98*H98,2)</f>
        <v>0</v>
      </c>
      <c r="N98" s="533" t="s">
        <v>497</v>
      </c>
      <c r="O98" s="533"/>
      <c r="P98" s="533"/>
      <c r="Q98" s="44"/>
      <c r="R98" s="536">
        <f>F98</f>
        <v>0</v>
      </c>
      <c r="S98" s="534" t="s">
        <v>6</v>
      </c>
      <c r="T98" s="421">
        <f>T70</f>
        <v>0</v>
      </c>
      <c r="U98" s="473">
        <f>ROUND(R98*T98,2)</f>
        <v>0</v>
      </c>
    </row>
    <row r="99" spans="1:21" x14ac:dyDescent="0.25">
      <c r="A99" s="530"/>
      <c r="B99" s="529"/>
      <c r="C99" s="529"/>
      <c r="D99" s="529"/>
      <c r="E99" s="527"/>
      <c r="F99" s="276"/>
      <c r="G99" s="528"/>
      <c r="H99" s="422"/>
      <c r="I99" s="101"/>
      <c r="N99" s="533"/>
      <c r="O99" s="533"/>
      <c r="P99" s="533"/>
      <c r="Q99" s="44"/>
      <c r="R99" s="535"/>
      <c r="S99" s="534"/>
      <c r="T99" s="421"/>
      <c r="U99" s="477"/>
    </row>
    <row r="100" spans="1:21" x14ac:dyDescent="0.25">
      <c r="A100" s="530"/>
      <c r="B100" s="529"/>
      <c r="C100" s="529"/>
      <c r="D100" s="529"/>
      <c r="E100" s="527"/>
      <c r="F100" s="276"/>
      <c r="G100" s="528"/>
      <c r="H100" s="422"/>
      <c r="I100" s="101"/>
      <c r="N100" s="533"/>
      <c r="O100" s="533"/>
      <c r="P100" s="533"/>
      <c r="Q100" s="44"/>
      <c r="R100" s="420"/>
      <c r="S100" s="534"/>
      <c r="T100" s="421"/>
      <c r="U100" s="103"/>
    </row>
    <row r="101" spans="1:21" x14ac:dyDescent="0.25">
      <c r="A101" s="399" t="s">
        <v>498</v>
      </c>
      <c r="N101" s="407" t="s">
        <v>498</v>
      </c>
      <c r="O101" s="51"/>
      <c r="P101" s="51"/>
      <c r="Q101" s="51"/>
      <c r="R101" s="51"/>
      <c r="S101" s="51"/>
      <c r="T101" s="51"/>
      <c r="U101" s="51"/>
    </row>
    <row r="102" spans="1:21" x14ac:dyDescent="0.25">
      <c r="B102" s="69"/>
      <c r="C102" s="563" t="s">
        <v>60</v>
      </c>
      <c r="D102" s="563"/>
      <c r="E102" s="69"/>
      <c r="F102" s="39" t="s">
        <v>28</v>
      </c>
      <c r="G102" s="69"/>
      <c r="H102" s="69"/>
      <c r="I102" s="69"/>
      <c r="N102" s="45"/>
      <c r="O102" s="45"/>
      <c r="P102" s="45"/>
      <c r="Q102" s="45"/>
      <c r="R102" s="45"/>
      <c r="S102" s="45"/>
      <c r="T102" s="45"/>
      <c r="U102" s="45"/>
    </row>
    <row r="103" spans="1:21" x14ac:dyDescent="0.25">
      <c r="A103" s="3"/>
      <c r="B103" s="118"/>
      <c r="C103" s="564" t="s">
        <v>101</v>
      </c>
      <c r="D103" s="564"/>
      <c r="E103" s="423" t="s">
        <v>426</v>
      </c>
      <c r="F103" s="120" t="s">
        <v>106</v>
      </c>
      <c r="G103" s="121"/>
      <c r="H103" s="121"/>
      <c r="I103" s="121"/>
      <c r="N103" s="631" t="s">
        <v>35</v>
      </c>
      <c r="O103" s="631"/>
      <c r="P103" s="672" t="s">
        <v>428</v>
      </c>
      <c r="Q103" s="633"/>
      <c r="R103" s="604" t="s">
        <v>31</v>
      </c>
      <c r="S103" s="604"/>
      <c r="T103" s="604"/>
      <c r="U103" s="604"/>
    </row>
    <row r="104" spans="1:21" x14ac:dyDescent="0.25">
      <c r="A104" s="26"/>
      <c r="B104" s="52" t="s">
        <v>105</v>
      </c>
      <c r="C104" s="596">
        <f>H14+H15+H20+H23+H26</f>
        <v>0</v>
      </c>
      <c r="D104" s="596"/>
      <c r="E104" s="46">
        <f>H8</f>
        <v>1.0407999999999999</v>
      </c>
      <c r="F104" s="303">
        <f>'1461'!F104</f>
        <v>950.92</v>
      </c>
      <c r="G104" s="39" t="s">
        <v>12</v>
      </c>
      <c r="H104" s="101">
        <f>ROUND(C104*E104*F104,2)</f>
        <v>0</v>
      </c>
      <c r="I104" s="104"/>
      <c r="N104" s="28" t="s">
        <v>17</v>
      </c>
      <c r="O104" s="47">
        <f>T14+T15+T20+T23+T26</f>
        <v>0</v>
      </c>
      <c r="P104" s="611">
        <f>T8</f>
        <v>1.0407999999999999</v>
      </c>
      <c r="Q104" s="611"/>
      <c r="R104" s="48">
        <f>F104</f>
        <v>950.92</v>
      </c>
      <c r="S104" s="40" t="s">
        <v>12</v>
      </c>
      <c r="T104" s="479">
        <f>ROUND(O104*P104*R104,2)</f>
        <v>0</v>
      </c>
      <c r="U104" s="102"/>
    </row>
    <row r="105" spans="1:21" x14ac:dyDescent="0.25">
      <c r="A105" s="49"/>
      <c r="B105" s="49" t="s">
        <v>104</v>
      </c>
      <c r="C105" s="596">
        <f>H16+H17+H21+H24+H27</f>
        <v>345.10220000000004</v>
      </c>
      <c r="D105" s="596"/>
      <c r="E105" s="46">
        <f>H8</f>
        <v>1.0407999999999999</v>
      </c>
      <c r="F105" s="303">
        <f>'1461'!F105</f>
        <v>907.92</v>
      </c>
      <c r="G105" s="39" t="s">
        <v>12</v>
      </c>
      <c r="H105" s="101">
        <f>ROUND(C105*E105*F105,2)</f>
        <v>326108.86</v>
      </c>
      <c r="N105" s="50" t="s">
        <v>13</v>
      </c>
      <c r="O105" s="47">
        <f>T16+T17+T21+T24+T27</f>
        <v>0</v>
      </c>
      <c r="P105" s="611">
        <f>T8</f>
        <v>1.0407999999999999</v>
      </c>
      <c r="Q105" s="611"/>
      <c r="R105" s="48">
        <f>F105</f>
        <v>907.92</v>
      </c>
      <c r="S105" s="40" t="s">
        <v>12</v>
      </c>
      <c r="T105" s="479">
        <f>ROUND(O105*P105*R105,2)</f>
        <v>0</v>
      </c>
      <c r="U105" s="51"/>
    </row>
    <row r="106" spans="1:21" ht="16.5" thickBot="1" x14ac:dyDescent="0.3">
      <c r="A106" s="52"/>
      <c r="B106" s="52" t="s">
        <v>103</v>
      </c>
      <c r="C106" s="596">
        <f>H18+H19+H22+H25+H28+H29</f>
        <v>0</v>
      </c>
      <c r="D106" s="596"/>
      <c r="E106" s="46">
        <f>H8</f>
        <v>1.0407999999999999</v>
      </c>
      <c r="F106" s="303">
        <f>'1461'!F106</f>
        <v>910.12</v>
      </c>
      <c r="G106" s="39" t="s">
        <v>12</v>
      </c>
      <c r="H106" s="94">
        <f>ROUND(C106*E106*F106,2)</f>
        <v>0</v>
      </c>
      <c r="N106" s="53" t="s">
        <v>14</v>
      </c>
      <c r="O106" s="54">
        <f>T18+T19+T22+T25+T28+T29</f>
        <v>0</v>
      </c>
      <c r="P106" s="611">
        <f>T8</f>
        <v>1.0407999999999999</v>
      </c>
      <c r="Q106" s="611"/>
      <c r="R106" s="48">
        <f>F106</f>
        <v>910.12</v>
      </c>
      <c r="S106" s="40" t="s">
        <v>12</v>
      </c>
      <c r="T106" s="479">
        <f>ROUND(O106*P106*R106,2)</f>
        <v>0</v>
      </c>
      <c r="U106" s="51"/>
    </row>
    <row r="107" spans="1:21" ht="16.5" thickBot="1" x14ac:dyDescent="0.3">
      <c r="A107" s="55"/>
      <c r="B107" s="122" t="s">
        <v>102</v>
      </c>
      <c r="C107" s="586">
        <f>SUM(C104:C106)</f>
        <v>345.10220000000004</v>
      </c>
      <c r="D107" s="586"/>
      <c r="E107" s="123"/>
      <c r="F107" s="123"/>
      <c r="G107" s="123"/>
      <c r="H107" s="124" t="s">
        <v>100</v>
      </c>
      <c r="I107" s="101">
        <f>IF(A1=75,0,H106+H105+H104)</f>
        <v>326108.86</v>
      </c>
      <c r="N107" s="56" t="s">
        <v>89</v>
      </c>
      <c r="O107" s="57">
        <f>SUM(O104:O106)</f>
        <v>0</v>
      </c>
      <c r="P107" s="612" t="s">
        <v>16</v>
      </c>
      <c r="Q107" s="613"/>
      <c r="R107" s="613"/>
      <c r="S107" s="613"/>
      <c r="T107" s="613"/>
      <c r="U107" s="473">
        <f>IF(N1=75,0,T106+T105+T104)</f>
        <v>0</v>
      </c>
    </row>
    <row r="108" spans="1:21" ht="16.5" thickTop="1" x14ac:dyDescent="0.25">
      <c r="A108" s="555" t="s">
        <v>65</v>
      </c>
      <c r="B108" s="555"/>
      <c r="C108" s="555"/>
      <c r="D108" s="555"/>
      <c r="E108" s="555"/>
      <c r="F108" s="555"/>
      <c r="G108" s="555"/>
      <c r="H108" s="555"/>
      <c r="I108" s="555"/>
      <c r="N108" s="614" t="s">
        <v>65</v>
      </c>
      <c r="O108" s="614"/>
      <c r="P108" s="614"/>
      <c r="Q108" s="614"/>
      <c r="R108" s="614"/>
      <c r="S108" s="614"/>
      <c r="T108" s="614"/>
      <c r="U108" s="614"/>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0" t="s">
        <v>499</v>
      </c>
      <c r="C110" s="43"/>
      <c r="D110" s="69"/>
      <c r="E110" s="43" t="s">
        <v>32</v>
      </c>
      <c r="F110" s="556"/>
      <c r="G110" s="556"/>
      <c r="H110" s="556"/>
      <c r="I110" s="556"/>
      <c r="N110" s="600" t="s">
        <v>499</v>
      </c>
      <c r="O110" s="601"/>
      <c r="P110" s="601"/>
      <c r="Q110" s="615"/>
      <c r="R110" s="615"/>
      <c r="S110" s="615"/>
      <c r="T110" s="615"/>
      <c r="U110" s="103"/>
    </row>
    <row r="111" spans="1:21" x14ac:dyDescent="0.25">
      <c r="B111" s="69"/>
      <c r="C111" s="88" t="s">
        <v>494</v>
      </c>
      <c r="D111" s="333" t="s">
        <v>495</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57" t="s">
        <v>381</v>
      </c>
      <c r="B113" s="558"/>
      <c r="C113" s="143">
        <v>1</v>
      </c>
      <c r="D113" s="143">
        <v>0</v>
      </c>
      <c r="E113" s="144">
        <f>(C113+D113)/2</f>
        <v>0.5</v>
      </c>
      <c r="F113" s="126" t="s">
        <v>30</v>
      </c>
      <c r="G113" s="304">
        <f>'1461'!G113</f>
        <v>576</v>
      </c>
      <c r="I113" s="101">
        <f>ROUND(G113*E113,2)</f>
        <v>288</v>
      </c>
      <c r="N113" s="630" t="s">
        <v>52</v>
      </c>
      <c r="O113" s="630"/>
      <c r="P113" s="610">
        <f>IF(H133=1,E113,0)</f>
        <v>0</v>
      </c>
      <c r="Q113" s="610"/>
      <c r="R113" s="610"/>
      <c r="S113" s="83" t="s">
        <v>30</v>
      </c>
      <c r="T113" s="58">
        <f>G113</f>
        <v>576</v>
      </c>
      <c r="U113" s="473">
        <f>ROUND(T113*P113,2)</f>
        <v>0</v>
      </c>
    </row>
    <row r="114" spans="1:21" x14ac:dyDescent="0.25">
      <c r="A114" s="557" t="s">
        <v>382</v>
      </c>
      <c r="B114" s="558"/>
      <c r="C114" s="143">
        <v>0</v>
      </c>
      <c r="D114" s="143">
        <v>0</v>
      </c>
      <c r="E114" s="144">
        <f>(C114+D114)/2</f>
        <v>0</v>
      </c>
      <c r="F114" s="126" t="s">
        <v>30</v>
      </c>
      <c r="G114" s="304">
        <f>'1461'!G114</f>
        <v>1823</v>
      </c>
      <c r="I114" s="101">
        <f>ROUND(G114*E114,2)</f>
        <v>0</v>
      </c>
      <c r="N114" s="630" t="s">
        <v>64</v>
      </c>
      <c r="O114" s="630"/>
      <c r="P114" s="608"/>
      <c r="Q114" s="608"/>
      <c r="R114" s="608"/>
      <c r="S114" s="83" t="s">
        <v>30</v>
      </c>
      <c r="T114" s="58">
        <f>G114</f>
        <v>1823</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4" t="s">
        <v>430</v>
      </c>
      <c r="B117" s="578"/>
      <c r="C117" s="578"/>
      <c r="D117" s="69"/>
      <c r="E117" s="39" t="s">
        <v>300</v>
      </c>
      <c r="F117" s="563"/>
      <c r="G117" s="563"/>
      <c r="H117" s="563"/>
      <c r="I117" s="563"/>
      <c r="N117" s="600" t="s">
        <v>431</v>
      </c>
      <c r="O117" s="601"/>
      <c r="P117" s="601"/>
      <c r="Q117" s="601"/>
      <c r="R117" s="601"/>
      <c r="S117" s="601"/>
      <c r="T117" s="601"/>
      <c r="U117" s="601"/>
    </row>
    <row r="118" spans="1:21" hidden="1" x14ac:dyDescent="0.25">
      <c r="B118" s="69"/>
      <c r="C118" s="564" t="s">
        <v>66</v>
      </c>
      <c r="D118" s="564"/>
      <c r="E118" s="564"/>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5" t="s">
        <v>109</v>
      </c>
      <c r="G119" s="563"/>
      <c r="H119" s="37" t="s">
        <v>29</v>
      </c>
      <c r="I119" s="37"/>
      <c r="N119" s="45"/>
      <c r="O119" s="45"/>
      <c r="P119" s="45"/>
      <c r="Q119" s="45"/>
      <c r="R119" s="45"/>
      <c r="S119" s="45"/>
      <c r="T119" s="45"/>
      <c r="U119" s="45"/>
    </row>
    <row r="120" spans="1:21" hidden="1" x14ac:dyDescent="0.25">
      <c r="A120" s="564" t="s">
        <v>69</v>
      </c>
      <c r="B120" s="564"/>
      <c r="C120" s="90" t="s">
        <v>2</v>
      </c>
      <c r="D120" s="90" t="s">
        <v>2</v>
      </c>
      <c r="E120" s="59" t="s">
        <v>2</v>
      </c>
      <c r="F120" s="564" t="s">
        <v>28</v>
      </c>
      <c r="G120" s="564"/>
      <c r="H120" s="59" t="s">
        <v>28</v>
      </c>
      <c r="I120" s="59" t="s">
        <v>8</v>
      </c>
      <c r="N120" s="609" t="s">
        <v>53</v>
      </c>
      <c r="O120" s="609"/>
      <c r="P120" s="610" t="s">
        <v>66</v>
      </c>
      <c r="Q120" s="610"/>
      <c r="R120" s="609" t="s">
        <v>54</v>
      </c>
      <c r="S120" s="609"/>
      <c r="T120" s="60" t="s">
        <v>55</v>
      </c>
      <c r="U120" s="60" t="s">
        <v>8</v>
      </c>
    </row>
    <row r="121" spans="1:21" hidden="1" x14ac:dyDescent="0.25">
      <c r="A121" s="561" t="s">
        <v>56</v>
      </c>
      <c r="B121" s="561"/>
      <c r="C121" s="141">
        <v>0</v>
      </c>
      <c r="D121" s="141">
        <v>0</v>
      </c>
      <c r="E121" s="142">
        <f>IF(D30=0,C121*2,C121+D121)</f>
        <v>0</v>
      </c>
      <c r="F121" s="675">
        <v>0</v>
      </c>
      <c r="G121" s="675"/>
      <c r="H121" s="61">
        <f>IF(C121=0,0,125)</f>
        <v>0</v>
      </c>
      <c r="I121" s="101">
        <f>ROUND((H121+F121)*E121,2)</f>
        <v>0</v>
      </c>
      <c r="N121" s="601" t="s">
        <v>56</v>
      </c>
      <c r="O121" s="601"/>
      <c r="P121" s="608">
        <f>IF(H$133=1,C121,0)</f>
        <v>0</v>
      </c>
      <c r="Q121" s="608"/>
      <c r="R121" s="628">
        <f>F121</f>
        <v>0</v>
      </c>
      <c r="S121" s="628"/>
      <c r="T121" s="62">
        <f>H121</f>
        <v>0</v>
      </c>
      <c r="U121" s="96">
        <f>ROUND((T121+R121)*P121,0)</f>
        <v>0</v>
      </c>
    </row>
    <row r="122" spans="1:21" hidden="1" x14ac:dyDescent="0.25">
      <c r="A122" s="581" t="s">
        <v>57</v>
      </c>
      <c r="B122" s="581"/>
      <c r="C122" s="143">
        <v>0</v>
      </c>
      <c r="D122" s="143">
        <v>0</v>
      </c>
      <c r="E122" s="144">
        <f>IF(D31=0,C122*2,C122+D122)</f>
        <v>0</v>
      </c>
      <c r="F122" s="598">
        <f>ROUND(F121/2,2)</f>
        <v>0</v>
      </c>
      <c r="G122" s="598"/>
      <c r="H122" s="61">
        <f>IF(C122=0,0,62.5)</f>
        <v>0</v>
      </c>
      <c r="I122" s="101">
        <f>ROUND((H122+F122)*E122,2)</f>
        <v>0</v>
      </c>
      <c r="N122" s="601" t="s">
        <v>57</v>
      </c>
      <c r="O122" s="601"/>
      <c r="P122" s="608">
        <f>IF(H$133=1,C122,0)</f>
        <v>0</v>
      </c>
      <c r="Q122" s="608"/>
      <c r="R122" s="629">
        <f>ROUND(R121/2,2)</f>
        <v>0</v>
      </c>
      <c r="S122" s="629"/>
      <c r="T122" s="62">
        <f>H122</f>
        <v>0</v>
      </c>
      <c r="U122" s="96">
        <f>ROUND((T122+R122)*P122,0)</f>
        <v>0</v>
      </c>
    </row>
    <row r="123" spans="1:21" ht="16.5" hidden="1" thickBot="1" x14ac:dyDescent="0.3">
      <c r="A123" s="581" t="s">
        <v>58</v>
      </c>
      <c r="B123" s="581"/>
      <c r="C123" s="143">
        <v>0</v>
      </c>
      <c r="D123" s="143">
        <v>0</v>
      </c>
      <c r="E123" s="144">
        <f>IF(D32=0,C123*2,C123+D123)</f>
        <v>0</v>
      </c>
      <c r="F123" s="599"/>
      <c r="G123" s="599"/>
      <c r="H123" s="63">
        <f>IF(H121&gt;0,436,0)</f>
        <v>0</v>
      </c>
      <c r="I123" s="101">
        <f>ROUND(H123*E123,2)</f>
        <v>0</v>
      </c>
      <c r="N123" s="616" t="s">
        <v>58</v>
      </c>
      <c r="O123" s="616"/>
      <c r="P123" s="608">
        <f>IF(H$133=1,C123,0)</f>
        <v>0</v>
      </c>
      <c r="Q123" s="608"/>
      <c r="R123" s="609"/>
      <c r="S123" s="609"/>
      <c r="T123" s="64">
        <f>H123</f>
        <v>0</v>
      </c>
      <c r="U123" s="103">
        <f>ROUND(T123*P123,0)</f>
        <v>0</v>
      </c>
    </row>
    <row r="124" spans="1:21" ht="16.5" hidden="1" thickBot="1" x14ac:dyDescent="0.3">
      <c r="A124" s="563" t="s">
        <v>8</v>
      </c>
      <c r="B124" s="563"/>
      <c r="C124" s="65"/>
      <c r="D124" s="65"/>
      <c r="E124" s="65"/>
      <c r="F124" s="65"/>
      <c r="G124" s="65"/>
      <c r="H124" s="65"/>
      <c r="I124" s="97">
        <f>SUM(I121:I123)</f>
        <v>0</v>
      </c>
      <c r="N124" s="627" t="s">
        <v>8</v>
      </c>
      <c r="O124" s="627"/>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4" t="s">
        <v>432</v>
      </c>
      <c r="B126" s="578"/>
      <c r="C126" s="578"/>
      <c r="D126" s="69"/>
      <c r="E126" s="68" t="s">
        <v>34</v>
      </c>
      <c r="F126" s="597"/>
      <c r="G126" s="597"/>
      <c r="H126" s="597"/>
      <c r="I126" s="154">
        <v>0</v>
      </c>
      <c r="N126" s="600" t="s">
        <v>432</v>
      </c>
      <c r="O126" s="601"/>
      <c r="P126" s="601"/>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90" t="s">
        <v>8</v>
      </c>
      <c r="B128" s="590"/>
      <c r="C128" s="590"/>
      <c r="D128" s="590"/>
      <c r="E128" s="590"/>
      <c r="F128" s="590"/>
      <c r="G128" s="590"/>
      <c r="H128" s="590"/>
      <c r="I128" s="94">
        <f>SUM(I46,I66,I85,I88,I90,I92,I94,I96,I107,I113,I114,I124,I126)</f>
        <v>2791511.4</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434</v>
      </c>
      <c r="B130" s="26"/>
      <c r="C130" s="26"/>
      <c r="D130" s="26"/>
      <c r="E130" s="26"/>
      <c r="F130" s="26"/>
      <c r="G130" s="26"/>
      <c r="H130" s="26"/>
      <c r="I130" s="101">
        <f>I128-I53</f>
        <v>2677964.11</v>
      </c>
      <c r="N130" s="601" t="s">
        <v>434</v>
      </c>
      <c r="O130" s="601"/>
      <c r="P130" s="601"/>
      <c r="Q130" s="601"/>
      <c r="R130" s="601"/>
      <c r="S130" s="601"/>
      <c r="T130" s="601"/>
      <c r="U130" s="132">
        <f>U128-U53</f>
        <v>0</v>
      </c>
    </row>
    <row r="131" spans="1:21" ht="16.5" thickTop="1" x14ac:dyDescent="0.25">
      <c r="A131" s="26"/>
      <c r="B131" s="26"/>
      <c r="C131" s="26"/>
      <c r="D131" s="26"/>
      <c r="E131" s="26"/>
      <c r="F131" s="26"/>
      <c r="G131" s="26"/>
      <c r="H131" s="26"/>
      <c r="I131" s="101"/>
      <c r="N131" s="531"/>
      <c r="O131" s="531"/>
      <c r="P131" s="531"/>
      <c r="Q131" s="531"/>
      <c r="R131" s="531"/>
      <c r="S131" s="531"/>
      <c r="T131" s="531"/>
      <c r="U131" s="138"/>
    </row>
    <row r="132" spans="1:21" x14ac:dyDescent="0.25">
      <c r="A132" s="584" t="s">
        <v>502</v>
      </c>
      <c r="B132" s="578"/>
      <c r="C132" s="578"/>
      <c r="D132" s="578"/>
      <c r="E132" s="578"/>
      <c r="F132" s="578"/>
      <c r="G132" s="578"/>
      <c r="H132" s="81" t="s">
        <v>333</v>
      </c>
      <c r="I132" s="134"/>
      <c r="N132" s="600" t="s">
        <v>502</v>
      </c>
      <c r="O132" s="601"/>
      <c r="P132" s="601"/>
      <c r="Q132" s="601"/>
      <c r="R132" s="601"/>
      <c r="S132" s="601"/>
      <c r="T132" s="601"/>
      <c r="U132" s="138"/>
    </row>
    <row r="133" spans="1:21" x14ac:dyDescent="0.25">
      <c r="A133" s="578" t="s">
        <v>70</v>
      </c>
      <c r="B133" s="578"/>
      <c r="C133" s="578"/>
      <c r="D133" s="578"/>
      <c r="E133" s="578"/>
      <c r="F133" s="578"/>
      <c r="G133" s="578"/>
      <c r="H133" s="70" t="str">
        <f>IF(E30=0,"",IF((E15+E17+SUM(E19:E25))/E30&gt;0.75,1,""))</f>
        <v/>
      </c>
      <c r="I133" s="116">
        <f>U130</f>
        <v>0</v>
      </c>
      <c r="N133" s="601" t="s">
        <v>70</v>
      </c>
      <c r="O133" s="601"/>
      <c r="P133" s="601"/>
      <c r="Q133" s="601"/>
      <c r="R133" s="601"/>
      <c r="S133" s="601"/>
      <c r="T133" s="601"/>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2677964.11</v>
      </c>
      <c r="I135" s="94">
        <f>ROUND(IF(E30=0,0,IF(E30&gt;250,-(((250/E30)*H135)*IF(G135="H",0.02,0.05)),IF(G135="H",-0.02*H135,-0.05*H135))),2)</f>
        <v>-98657.68</v>
      </c>
      <c r="N135" s="626"/>
      <c r="O135" s="626"/>
      <c r="P135" s="626"/>
      <c r="Q135" s="626"/>
      <c r="R135" s="626"/>
      <c r="S135" s="626"/>
      <c r="T135" s="626"/>
      <c r="U135" s="626"/>
    </row>
    <row r="136" spans="1:21" x14ac:dyDescent="0.25">
      <c r="B136" s="69"/>
      <c r="C136" s="69"/>
      <c r="D136" s="69"/>
      <c r="E136" s="69"/>
      <c r="F136" s="69"/>
      <c r="G136" s="69"/>
      <c r="H136" s="65"/>
      <c r="I136" s="101"/>
      <c r="N136" s="624" t="s">
        <v>7</v>
      </c>
      <c r="O136" s="624"/>
      <c r="P136" s="624"/>
      <c r="Q136" s="624"/>
      <c r="R136" s="624"/>
      <c r="S136" s="624"/>
      <c r="T136" s="624"/>
      <c r="U136" s="624"/>
    </row>
    <row r="137" spans="1:21" x14ac:dyDescent="0.25">
      <c r="A137" s="309" t="s">
        <v>74</v>
      </c>
      <c r="B137" s="310"/>
      <c r="C137" s="310"/>
      <c r="D137" s="310"/>
      <c r="E137" s="310"/>
      <c r="F137" s="310"/>
      <c r="G137" s="310"/>
      <c r="H137" s="311"/>
      <c r="I137" s="312">
        <f>I128+I135</f>
        <v>2692853.7199999997</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Payments'!Q108</f>
        <v>0</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2692853.7199999997</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224404.48000000001</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35240.53</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372</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373</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374</v>
      </c>
      <c r="B155" s="252"/>
      <c r="C155" s="252"/>
      <c r="D155" s="252"/>
      <c r="E155" s="252"/>
      <c r="F155" s="252"/>
      <c r="G155" s="252"/>
      <c r="H155" s="252"/>
      <c r="I155" s="252"/>
      <c r="N155" s="625"/>
      <c r="O155" s="625"/>
      <c r="P155" s="625"/>
      <c r="Q155" s="625"/>
      <c r="R155" s="625"/>
      <c r="S155" s="625"/>
      <c r="T155" s="625"/>
      <c r="U155" s="625"/>
    </row>
    <row r="156" spans="1:21" s="76" customFormat="1" x14ac:dyDescent="0.2">
      <c r="A156" s="320" t="s">
        <v>375</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376</v>
      </c>
      <c r="B157" s="252"/>
      <c r="C157" s="252"/>
      <c r="D157" s="252"/>
      <c r="E157" s="252"/>
      <c r="F157" s="252"/>
      <c r="G157" s="252"/>
      <c r="H157" s="252"/>
      <c r="I157" s="252"/>
      <c r="N157" s="78"/>
      <c r="O157" s="79"/>
      <c r="P157" s="79"/>
      <c r="Q157" s="79"/>
      <c r="R157" s="79"/>
      <c r="S157" s="79"/>
      <c r="T157" s="79"/>
      <c r="U157" s="79"/>
    </row>
    <row r="158" spans="1:21" s="76" customFormat="1" x14ac:dyDescent="0.2">
      <c r="A158" s="320" t="s">
        <v>377</v>
      </c>
      <c r="B158" s="252"/>
      <c r="C158" s="252"/>
      <c r="D158" s="252"/>
      <c r="E158" s="252"/>
      <c r="F158" s="252"/>
      <c r="G158" s="252"/>
      <c r="H158" s="252"/>
      <c r="I158" s="252"/>
      <c r="N158" s="78"/>
    </row>
    <row r="159" spans="1:21" s="76" customFormat="1" x14ac:dyDescent="0.2">
      <c r="A159" s="320" t="s">
        <v>379</v>
      </c>
      <c r="B159" s="252"/>
      <c r="C159" s="252"/>
      <c r="D159" s="252"/>
      <c r="E159" s="252"/>
      <c r="F159" s="252"/>
      <c r="G159" s="252"/>
      <c r="H159" s="252"/>
      <c r="I159" s="252"/>
      <c r="N159" s="78"/>
    </row>
    <row r="160" spans="1:21" s="76" customFormat="1" x14ac:dyDescent="0.2">
      <c r="A160" s="385" t="s">
        <v>378</v>
      </c>
      <c r="B160" s="252"/>
      <c r="C160" s="252"/>
      <c r="D160" s="252"/>
      <c r="E160" s="252"/>
      <c r="F160" s="252"/>
      <c r="G160" s="252"/>
      <c r="H160" s="252"/>
      <c r="I160" s="252"/>
      <c r="N160" s="78"/>
    </row>
    <row r="161" spans="1:14" s="76" customFormat="1" x14ac:dyDescent="0.2">
      <c r="A161" s="320" t="s">
        <v>380</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383</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385</v>
      </c>
      <c r="B165" s="293"/>
      <c r="C165" s="293"/>
      <c r="D165" s="293"/>
      <c r="E165" s="293"/>
      <c r="F165" s="293"/>
      <c r="G165" s="293"/>
      <c r="H165" s="293"/>
      <c r="I165" s="293"/>
      <c r="N165" s="78"/>
    </row>
    <row r="166" spans="1:14" s="76" customFormat="1" ht="15.75" customHeight="1" x14ac:dyDescent="0.2">
      <c r="A166" s="351" t="s">
        <v>384</v>
      </c>
      <c r="B166" s="293"/>
      <c r="C166" s="293"/>
      <c r="D166" s="293"/>
      <c r="E166" s="293"/>
      <c r="F166" s="293"/>
      <c r="G166" s="293"/>
      <c r="H166" s="293"/>
      <c r="I166" s="293"/>
      <c r="N166" s="78"/>
    </row>
    <row r="167" spans="1:14" s="76" customFormat="1" ht="15.75" customHeight="1" x14ac:dyDescent="0.2">
      <c r="A167" s="320" t="s">
        <v>386</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388</v>
      </c>
      <c r="B169" s="343"/>
      <c r="C169" s="343"/>
      <c r="D169" s="343"/>
      <c r="E169" s="343"/>
      <c r="F169" s="343"/>
      <c r="G169" s="343"/>
      <c r="H169" s="343"/>
      <c r="I169" s="343"/>
      <c r="N169" s="78"/>
    </row>
    <row r="170" spans="1:14" s="76" customFormat="1" ht="15.75" customHeight="1" x14ac:dyDescent="0.2">
      <c r="A170" s="351" t="s">
        <v>387</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389</v>
      </c>
      <c r="B175" s="293"/>
      <c r="C175" s="293"/>
      <c r="D175" s="293"/>
      <c r="E175" s="293"/>
      <c r="F175" s="293"/>
      <c r="G175" s="293"/>
      <c r="H175" s="293"/>
      <c r="I175" s="293"/>
      <c r="J175" s="3"/>
      <c r="K175" s="3"/>
      <c r="L175" s="3"/>
      <c r="M175" s="3"/>
      <c r="N175" s="78"/>
    </row>
    <row r="176" spans="1:14" s="76" customFormat="1" ht="15.75" customHeight="1" x14ac:dyDescent="0.2">
      <c r="A176" s="361" t="s">
        <v>390</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A126:C126"/>
    <mergeCell ref="F126:H126"/>
    <mergeCell ref="N130:T130"/>
    <mergeCell ref="A128:H128"/>
    <mergeCell ref="A132:G132"/>
    <mergeCell ref="N135:U135"/>
    <mergeCell ref="A133:G133"/>
    <mergeCell ref="N136:U136"/>
    <mergeCell ref="N126:P126"/>
    <mergeCell ref="N132:T132"/>
    <mergeCell ref="N133:T133"/>
    <mergeCell ref="A123:B123"/>
    <mergeCell ref="F123:G123"/>
    <mergeCell ref="N123:O123"/>
    <mergeCell ref="P123:Q123"/>
    <mergeCell ref="R123:S123"/>
    <mergeCell ref="A124:B124"/>
    <mergeCell ref="N124:O124"/>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8">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6" t="s">
        <v>15</v>
      </c>
      <c r="C1" s="567"/>
      <c r="D1" s="567"/>
      <c r="E1" s="567"/>
      <c r="F1" s="567"/>
      <c r="G1" s="567"/>
      <c r="H1" s="567"/>
      <c r="I1" s="567"/>
      <c r="J1" s="135"/>
      <c r="K1" s="135"/>
      <c r="L1" s="135"/>
      <c r="N1" s="82">
        <f>A1</f>
        <v>0</v>
      </c>
      <c r="O1" s="658" t="s">
        <v>15</v>
      </c>
      <c r="P1" s="659"/>
      <c r="Q1" s="659"/>
      <c r="R1" s="659"/>
      <c r="S1" s="659"/>
      <c r="T1" s="659"/>
      <c r="U1" s="659"/>
    </row>
    <row r="2" spans="1:21" ht="21" x14ac:dyDescent="0.35">
      <c r="A2" s="1" t="s">
        <v>272</v>
      </c>
      <c r="B2" s="2"/>
      <c r="C2" s="2"/>
      <c r="D2" s="2"/>
      <c r="E2" s="2"/>
      <c r="F2" s="2"/>
      <c r="G2" s="2"/>
      <c r="H2" s="2"/>
      <c r="I2" s="2"/>
      <c r="N2" s="660" t="s">
        <v>18</v>
      </c>
      <c r="O2" s="660"/>
      <c r="P2" s="660"/>
      <c r="Q2" s="660"/>
      <c r="R2" s="660"/>
      <c r="S2" s="660"/>
      <c r="T2" s="660"/>
      <c r="U2" s="660"/>
    </row>
    <row r="3" spans="1:21" x14ac:dyDescent="0.25">
      <c r="A3" s="81" t="str">
        <f>'1461'!A3</f>
        <v>Based on the FLDOE 2024-25 Conference Calculation</v>
      </c>
      <c r="N3" s="627" t="str">
        <f>A3</f>
        <v>Based on the FLDOE 2024-25 Conference Calculation</v>
      </c>
      <c r="O3" s="627"/>
      <c r="P3" s="627"/>
      <c r="Q3" s="627"/>
      <c r="R3" s="627"/>
      <c r="S3" s="627"/>
      <c r="T3" s="627"/>
      <c r="U3" s="627"/>
    </row>
    <row r="4" spans="1:21" x14ac:dyDescent="0.25">
      <c r="A4" s="568" t="s">
        <v>0</v>
      </c>
      <c r="B4" s="568"/>
      <c r="C4" s="569" t="s">
        <v>9</v>
      </c>
      <c r="D4" s="569"/>
      <c r="E4" s="569"/>
      <c r="F4" s="4" t="str">
        <f>'1461'!F4</f>
        <v>July 2024</v>
      </c>
      <c r="G4" s="4"/>
      <c r="H4" s="4"/>
      <c r="I4" s="4"/>
      <c r="N4" s="661" t="s">
        <v>0</v>
      </c>
      <c r="O4" s="661"/>
      <c r="P4" s="662" t="str">
        <f>C4</f>
        <v>Palm Beach</v>
      </c>
      <c r="Q4" s="662"/>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70" t="s">
        <v>433</v>
      </c>
      <c r="B7" s="664"/>
      <c r="C7" s="664"/>
      <c r="D7" s="664"/>
      <c r="E7" s="664"/>
      <c r="F7" s="664"/>
      <c r="G7" s="664"/>
      <c r="H7" s="664"/>
      <c r="I7" s="664"/>
      <c r="N7" s="661" t="str">
        <f>A7</f>
        <v>1A.   2023-24 FEFP State and Local Funding</v>
      </c>
      <c r="O7" s="661"/>
      <c r="P7" s="661"/>
      <c r="Q7" s="661"/>
      <c r="R7" s="661"/>
      <c r="S7" s="661"/>
      <c r="T7" s="661"/>
      <c r="U7" s="661"/>
    </row>
    <row r="8" spans="1:21" x14ac:dyDescent="0.25">
      <c r="A8" s="84"/>
      <c r="B8" s="85" t="s">
        <v>92</v>
      </c>
      <c r="C8" s="299">
        <f>'1461'!C8</f>
        <v>5330.98</v>
      </c>
      <c r="D8" s="86"/>
      <c r="E8" s="87"/>
      <c r="F8" s="84"/>
      <c r="G8" s="85" t="s">
        <v>393</v>
      </c>
      <c r="H8" s="287">
        <f>'1461'!H8</f>
        <v>1.0407999999999999</v>
      </c>
      <c r="I8" s="75"/>
      <c r="N8" s="665" t="s">
        <v>10</v>
      </c>
      <c r="O8" s="665"/>
      <c r="P8" s="666">
        <f>C8</f>
        <v>5330.98</v>
      </c>
      <c r="Q8" s="666"/>
      <c r="R8" s="648" t="s">
        <v>394</v>
      </c>
      <c r="S8" s="649"/>
      <c r="T8" s="650">
        <f>H8</f>
        <v>1.0407999999999999</v>
      </c>
      <c r="U8" s="650"/>
    </row>
    <row r="9" spans="1:21" x14ac:dyDescent="0.25">
      <c r="A9" s="84"/>
      <c r="B9" s="85"/>
      <c r="C9" s="222"/>
      <c r="D9" s="86"/>
      <c r="E9" s="87"/>
      <c r="F9" s="84"/>
      <c r="G9" s="85" t="s">
        <v>391</v>
      </c>
      <c r="H9" s="287">
        <f>'1461'!H9</f>
        <v>1</v>
      </c>
      <c r="I9" s="75"/>
      <c r="N9" s="12"/>
      <c r="O9" s="12"/>
      <c r="P9" s="13"/>
      <c r="Q9" s="13"/>
      <c r="R9" s="387" t="s">
        <v>392</v>
      </c>
      <c r="S9" s="384"/>
      <c r="T9" s="650">
        <f>H9</f>
        <v>1</v>
      </c>
      <c r="U9" s="650"/>
    </row>
    <row r="10" spans="1:21" x14ac:dyDescent="0.25">
      <c r="A10" s="7"/>
      <c r="B10" s="42" t="s">
        <v>310</v>
      </c>
      <c r="C10" s="334" t="str">
        <f>'1461'!C10</f>
        <v xml:space="preserve"> </v>
      </c>
      <c r="D10" s="334" t="str">
        <f>'1461'!D10</f>
        <v xml:space="preserve"> </v>
      </c>
      <c r="E10" s="8"/>
      <c r="F10" s="9"/>
      <c r="G10" s="9"/>
      <c r="H10" s="10"/>
      <c r="I10" s="305" t="str">
        <f>'1461'!I10</f>
        <v>2024-25</v>
      </c>
      <c r="N10" s="12"/>
      <c r="O10" s="12"/>
      <c r="P10" s="13"/>
      <c r="Q10" s="13"/>
      <c r="R10" s="14"/>
      <c r="S10" s="14"/>
      <c r="T10" s="15"/>
      <c r="U10" s="366" t="str">
        <f>I10</f>
        <v>2024-25</v>
      </c>
    </row>
    <row r="11" spans="1:21" x14ac:dyDescent="0.25">
      <c r="A11" s="7"/>
      <c r="B11" s="7"/>
      <c r="C11" s="88" t="str">
        <f>'1461'!C11</f>
        <v>Oct 2023</v>
      </c>
      <c r="D11" s="333" t="str">
        <f>'1461'!D11</f>
        <v>Feb 2024</v>
      </c>
      <c r="E11" s="89" t="s">
        <v>8</v>
      </c>
      <c r="F11" s="571" t="s">
        <v>1</v>
      </c>
      <c r="G11" s="571"/>
      <c r="H11" s="10" t="s">
        <v>60</v>
      </c>
      <c r="I11" s="11" t="s">
        <v>27</v>
      </c>
      <c r="N11" s="12"/>
      <c r="O11" s="12"/>
      <c r="P11" s="13"/>
      <c r="Q11" s="13"/>
      <c r="R11" s="651" t="s">
        <v>1</v>
      </c>
      <c r="S11" s="651"/>
      <c r="T11" s="15" t="s">
        <v>60</v>
      </c>
      <c r="U11" s="16" t="s">
        <v>27</v>
      </c>
    </row>
    <row r="12" spans="1:21" ht="15.75" customHeight="1" x14ac:dyDescent="0.25">
      <c r="A12" s="572" t="s">
        <v>1</v>
      </c>
      <c r="B12" s="572"/>
      <c r="C12" s="324" t="str">
        <f>'1461'!C12</f>
        <v>FTE</v>
      </c>
      <c r="D12" s="324" t="str">
        <f>'1461'!D12</f>
        <v>FTE</v>
      </c>
      <c r="E12" s="324" t="s">
        <v>2</v>
      </c>
      <c r="F12" s="573" t="s">
        <v>63</v>
      </c>
      <c r="G12" s="573"/>
      <c r="H12" s="17" t="s">
        <v>59</v>
      </c>
      <c r="I12" s="388" t="s">
        <v>395</v>
      </c>
      <c r="N12" s="639" t="s">
        <v>1</v>
      </c>
      <c r="O12" s="639"/>
      <c r="P12" s="652" t="s">
        <v>19</v>
      </c>
      <c r="Q12" s="652"/>
      <c r="R12" s="653" t="s">
        <v>63</v>
      </c>
      <c r="S12" s="653"/>
      <c r="T12" s="18" t="s">
        <v>59</v>
      </c>
      <c r="U12" s="19" t="str">
        <f>I12</f>
        <v>(WFTE x BSA x CWF x SDF)</v>
      </c>
    </row>
    <row r="13" spans="1:21" x14ac:dyDescent="0.25">
      <c r="A13" s="574" t="s">
        <v>36</v>
      </c>
      <c r="B13" s="574"/>
      <c r="C13" s="91"/>
      <c r="D13" s="91"/>
      <c r="E13" s="92" t="s">
        <v>37</v>
      </c>
      <c r="F13" s="575" t="s">
        <v>38</v>
      </c>
      <c r="G13" s="575"/>
      <c r="H13" s="20" t="s">
        <v>39</v>
      </c>
      <c r="I13" s="21" t="s">
        <v>40</v>
      </c>
      <c r="N13" s="654" t="s">
        <v>36</v>
      </c>
      <c r="O13" s="654"/>
      <c r="P13" s="655" t="s">
        <v>37</v>
      </c>
      <c r="Q13" s="655"/>
      <c r="R13" s="656" t="s">
        <v>38</v>
      </c>
      <c r="S13" s="656"/>
      <c r="T13" s="22" t="s">
        <v>39</v>
      </c>
      <c r="U13" s="23" t="s">
        <v>40</v>
      </c>
    </row>
    <row r="14" spans="1:21" x14ac:dyDescent="0.25">
      <c r="A14" s="576" t="s">
        <v>20</v>
      </c>
      <c r="B14" s="576"/>
      <c r="C14" s="143">
        <v>98.75</v>
      </c>
      <c r="D14" s="141">
        <v>97.28</v>
      </c>
      <c r="E14" s="187">
        <f>IF(D$30=0,C14*2,C14+D14)</f>
        <v>196.03</v>
      </c>
      <c r="F14" s="667">
        <f>'1461'!F14:G14</f>
        <v>1.1180000000000001</v>
      </c>
      <c r="G14" s="667"/>
      <c r="H14" s="145">
        <f>ROUND(E14*F14,4)</f>
        <v>219.16149999999999</v>
      </c>
      <c r="I14" s="111">
        <f>ROUND(ROUND(ROUND(H14*$C$8,4)*($H$8),2)*(MAX($H$9,1)),2)</f>
        <v>1216014.07</v>
      </c>
      <c r="N14" s="641" t="s">
        <v>20</v>
      </c>
      <c r="O14" s="641"/>
      <c r="P14" s="642">
        <f t="shared" ref="P14:P29" si="0">IF($H$133=1,E14,0)</f>
        <v>0</v>
      </c>
      <c r="Q14" s="642"/>
      <c r="R14" s="657">
        <v>1</v>
      </c>
      <c r="S14" s="657"/>
      <c r="T14" s="95">
        <f>ROUND(P14*R14,4)</f>
        <v>0</v>
      </c>
      <c r="U14" s="473">
        <f>ROUND(ROUND(ROUND(T14*$C$8,4)*($H$8),2)*(MAX($H$9,1)),2)</f>
        <v>0</v>
      </c>
    </row>
    <row r="15" spans="1:21" x14ac:dyDescent="0.25">
      <c r="A15" s="578" t="s">
        <v>21</v>
      </c>
      <c r="B15" s="578"/>
      <c r="C15" s="143">
        <v>8.5</v>
      </c>
      <c r="D15" s="143">
        <v>10.02</v>
      </c>
      <c r="E15" s="116">
        <f t="shared" ref="E15:E29" si="1">IF(D$30=0,C15*2,C15+D15)</f>
        <v>18.52</v>
      </c>
      <c r="F15" s="663">
        <f>'1461'!F15:G15</f>
        <v>1.1180000000000001</v>
      </c>
      <c r="G15" s="663"/>
      <c r="H15" s="80">
        <f t="shared" ref="H15:H29" si="2">ROUND(E15*F15,4)</f>
        <v>20.705400000000001</v>
      </c>
      <c r="I15" s="101">
        <f t="shared" ref="I15:I29" si="3">ROUND(ROUND(ROUND(H15*$C$8,4)*($H$8),2)*(MAX($H$9,1)),2)</f>
        <v>114883.58</v>
      </c>
      <c r="J15" s="65" t="str">
        <f>IF(ROUND(E15,2)=ROUND(SUM(E57:E59),2)," ","CHECK PK-3 LINES BELOW")</f>
        <v xml:space="preserve"> </v>
      </c>
      <c r="N15" s="601" t="s">
        <v>21</v>
      </c>
      <c r="O15" s="601"/>
      <c r="P15" s="642">
        <f t="shared" si="0"/>
        <v>0</v>
      </c>
      <c r="Q15" s="642"/>
      <c r="R15" s="647">
        <v>1</v>
      </c>
      <c r="S15" s="647"/>
      <c r="T15" s="95">
        <f t="shared" ref="T15:T29" si="4">ROUND(P15*R15,4)</f>
        <v>0</v>
      </c>
      <c r="U15" s="473">
        <f t="shared" ref="U15:U29" si="5">ROUND(ROUND(ROUND(T15*$C$8,4)*($H$8),2)*(MAX($H$9,1)),2)</f>
        <v>0</v>
      </c>
    </row>
    <row r="16" spans="1:21" x14ac:dyDescent="0.25">
      <c r="A16" s="578" t="s">
        <v>22</v>
      </c>
      <c r="B16" s="578"/>
      <c r="C16" s="143">
        <v>44.99</v>
      </c>
      <c r="D16" s="143">
        <v>45.38</v>
      </c>
      <c r="E16" s="116">
        <f t="shared" si="1"/>
        <v>90.37</v>
      </c>
      <c r="F16" s="663">
        <f>'1461'!F16:G16</f>
        <v>1</v>
      </c>
      <c r="G16" s="663"/>
      <c r="H16" s="80">
        <f t="shared" si="2"/>
        <v>90.37</v>
      </c>
      <c r="I16" s="101">
        <f t="shared" si="3"/>
        <v>501416.5</v>
      </c>
      <c r="N16" s="601" t="s">
        <v>22</v>
      </c>
      <c r="O16" s="601"/>
      <c r="P16" s="642">
        <f t="shared" si="0"/>
        <v>0</v>
      </c>
      <c r="Q16" s="642"/>
      <c r="R16" s="647">
        <v>1</v>
      </c>
      <c r="S16" s="647"/>
      <c r="T16" s="95">
        <f t="shared" si="4"/>
        <v>0</v>
      </c>
      <c r="U16" s="473">
        <f t="shared" si="5"/>
        <v>0</v>
      </c>
    </row>
    <row r="17" spans="1:21" x14ac:dyDescent="0.25">
      <c r="A17" s="578" t="s">
        <v>23</v>
      </c>
      <c r="B17" s="578"/>
      <c r="C17" s="143">
        <v>6.5</v>
      </c>
      <c r="D17" s="143">
        <v>7</v>
      </c>
      <c r="E17" s="116">
        <f t="shared" si="1"/>
        <v>13.5</v>
      </c>
      <c r="F17" s="663">
        <f>'1461'!F17:G17</f>
        <v>1</v>
      </c>
      <c r="G17" s="663"/>
      <c r="H17" s="80">
        <f t="shared" si="2"/>
        <v>13.5</v>
      </c>
      <c r="I17" s="101">
        <f t="shared" si="3"/>
        <v>74904.53</v>
      </c>
      <c r="J17" s="65" t="str">
        <f>IF(ROUND(E17,2)=ROUND(SUM(E60:E62),2)," ","CHECK 4-8 LINES BELOW")</f>
        <v xml:space="preserve"> </v>
      </c>
      <c r="N17" s="601" t="s">
        <v>23</v>
      </c>
      <c r="O17" s="601"/>
      <c r="P17" s="642">
        <f t="shared" si="0"/>
        <v>0</v>
      </c>
      <c r="Q17" s="642"/>
      <c r="R17" s="647">
        <v>1</v>
      </c>
      <c r="S17" s="647"/>
      <c r="T17" s="95">
        <f t="shared" si="4"/>
        <v>0</v>
      </c>
      <c r="U17" s="473">
        <f t="shared" si="5"/>
        <v>0</v>
      </c>
    </row>
    <row r="18" spans="1:21" x14ac:dyDescent="0.25">
      <c r="A18" s="578" t="s">
        <v>24</v>
      </c>
      <c r="B18" s="578"/>
      <c r="C18" s="143">
        <v>0</v>
      </c>
      <c r="D18" s="143">
        <v>0</v>
      </c>
      <c r="E18" s="116">
        <f t="shared" si="1"/>
        <v>0</v>
      </c>
      <c r="F18" s="663">
        <f>'1461'!F18:G18</f>
        <v>0.97799999999999998</v>
      </c>
      <c r="G18" s="663"/>
      <c r="H18" s="80">
        <f t="shared" si="2"/>
        <v>0</v>
      </c>
      <c r="I18" s="101">
        <f t="shared" si="3"/>
        <v>0</v>
      </c>
      <c r="N18" s="601" t="s">
        <v>24</v>
      </c>
      <c r="O18" s="601"/>
      <c r="P18" s="642">
        <f t="shared" si="0"/>
        <v>0</v>
      </c>
      <c r="Q18" s="642"/>
      <c r="R18" s="647">
        <v>1</v>
      </c>
      <c r="S18" s="647"/>
      <c r="T18" s="95">
        <f t="shared" si="4"/>
        <v>0</v>
      </c>
      <c r="U18" s="473">
        <f t="shared" si="5"/>
        <v>0</v>
      </c>
    </row>
    <row r="19" spans="1:21" x14ac:dyDescent="0.25">
      <c r="A19" s="578" t="s">
        <v>25</v>
      </c>
      <c r="B19" s="578"/>
      <c r="C19" s="143">
        <v>0</v>
      </c>
      <c r="D19" s="143">
        <v>0</v>
      </c>
      <c r="E19" s="116">
        <f t="shared" si="1"/>
        <v>0</v>
      </c>
      <c r="F19" s="663">
        <f>'1461'!F19:G19</f>
        <v>0.97799999999999998</v>
      </c>
      <c r="G19" s="663"/>
      <c r="H19" s="80">
        <f t="shared" si="2"/>
        <v>0</v>
      </c>
      <c r="I19" s="101">
        <f t="shared" si="3"/>
        <v>0</v>
      </c>
      <c r="J19" s="65" t="str">
        <f>IF(ROUND(E19,2)=ROUND(SUM(E63:E65),2)," ","CHECK 4-8 LINES BELOW")</f>
        <v xml:space="preserve"> </v>
      </c>
      <c r="N19" s="601" t="s">
        <v>25</v>
      </c>
      <c r="O19" s="601"/>
      <c r="P19" s="642">
        <f t="shared" si="0"/>
        <v>0</v>
      </c>
      <c r="Q19" s="642"/>
      <c r="R19" s="647">
        <v>1</v>
      </c>
      <c r="S19" s="647"/>
      <c r="T19" s="95">
        <f t="shared" si="4"/>
        <v>0</v>
      </c>
      <c r="U19" s="472">
        <f t="shared" si="5"/>
        <v>0</v>
      </c>
    </row>
    <row r="20" spans="1:21" x14ac:dyDescent="0.25">
      <c r="A20" s="578" t="s">
        <v>79</v>
      </c>
      <c r="B20" s="578"/>
      <c r="C20" s="143">
        <v>0</v>
      </c>
      <c r="D20" s="143">
        <v>0</v>
      </c>
      <c r="E20" s="116">
        <f t="shared" si="1"/>
        <v>0</v>
      </c>
      <c r="F20" s="663">
        <f>'1461'!F20:G20</f>
        <v>3.6970000000000001</v>
      </c>
      <c r="G20" s="663"/>
      <c r="H20" s="80">
        <f t="shared" si="2"/>
        <v>0</v>
      </c>
      <c r="I20" s="101">
        <f t="shared" si="3"/>
        <v>0</v>
      </c>
      <c r="N20" s="601" t="s">
        <v>79</v>
      </c>
      <c r="O20" s="601"/>
      <c r="P20" s="642">
        <f t="shared" si="0"/>
        <v>0</v>
      </c>
      <c r="Q20" s="642"/>
      <c r="R20" s="647">
        <v>1</v>
      </c>
      <c r="S20" s="647"/>
      <c r="T20" s="95">
        <f t="shared" si="4"/>
        <v>0</v>
      </c>
      <c r="U20" s="473">
        <f t="shared" si="5"/>
        <v>0</v>
      </c>
    </row>
    <row r="21" spans="1:21" x14ac:dyDescent="0.25">
      <c r="A21" s="578" t="s">
        <v>80</v>
      </c>
      <c r="B21" s="578"/>
      <c r="C21" s="143">
        <v>0</v>
      </c>
      <c r="D21" s="143">
        <v>0</v>
      </c>
      <c r="E21" s="116">
        <f t="shared" si="1"/>
        <v>0</v>
      </c>
      <c r="F21" s="663">
        <f>'1461'!F21:G21</f>
        <v>3.6970000000000001</v>
      </c>
      <c r="G21" s="663"/>
      <c r="H21" s="80">
        <f t="shared" si="2"/>
        <v>0</v>
      </c>
      <c r="I21" s="101">
        <f t="shared" si="3"/>
        <v>0</v>
      </c>
      <c r="N21" s="601" t="s">
        <v>80</v>
      </c>
      <c r="O21" s="601"/>
      <c r="P21" s="642">
        <f t="shared" si="0"/>
        <v>0</v>
      </c>
      <c r="Q21" s="642"/>
      <c r="R21" s="647">
        <v>1</v>
      </c>
      <c r="S21" s="647"/>
      <c r="T21" s="95">
        <f t="shared" si="4"/>
        <v>0</v>
      </c>
      <c r="U21" s="473">
        <f t="shared" si="5"/>
        <v>0</v>
      </c>
    </row>
    <row r="22" spans="1:21" x14ac:dyDescent="0.25">
      <c r="A22" s="578" t="s">
        <v>81</v>
      </c>
      <c r="B22" s="578"/>
      <c r="C22" s="143">
        <v>0</v>
      </c>
      <c r="D22" s="143">
        <v>0</v>
      </c>
      <c r="E22" s="116">
        <f t="shared" si="1"/>
        <v>0</v>
      </c>
      <c r="F22" s="663">
        <f>'1461'!F22:G22</f>
        <v>3.6970000000000001</v>
      </c>
      <c r="G22" s="663"/>
      <c r="H22" s="80">
        <f t="shared" si="2"/>
        <v>0</v>
      </c>
      <c r="I22" s="101">
        <f t="shared" si="3"/>
        <v>0</v>
      </c>
      <c r="N22" s="601" t="s">
        <v>81</v>
      </c>
      <c r="O22" s="601"/>
      <c r="P22" s="642">
        <f t="shared" si="0"/>
        <v>0</v>
      </c>
      <c r="Q22" s="642"/>
      <c r="R22" s="647">
        <v>1</v>
      </c>
      <c r="S22" s="647"/>
      <c r="T22" s="95">
        <f t="shared" si="4"/>
        <v>0</v>
      </c>
      <c r="U22" s="473">
        <f t="shared" si="5"/>
        <v>0</v>
      </c>
    </row>
    <row r="23" spans="1:21" x14ac:dyDescent="0.25">
      <c r="A23" s="578" t="s">
        <v>82</v>
      </c>
      <c r="B23" s="578"/>
      <c r="C23" s="143">
        <v>0</v>
      </c>
      <c r="D23" s="143">
        <v>0</v>
      </c>
      <c r="E23" s="116">
        <f t="shared" si="1"/>
        <v>0</v>
      </c>
      <c r="F23" s="663">
        <f>'1461'!F23:G23</f>
        <v>5.992</v>
      </c>
      <c r="G23" s="663"/>
      <c r="H23" s="80">
        <f t="shared" si="2"/>
        <v>0</v>
      </c>
      <c r="I23" s="101">
        <f t="shared" si="3"/>
        <v>0</v>
      </c>
      <c r="N23" s="601" t="s">
        <v>82</v>
      </c>
      <c r="O23" s="601"/>
      <c r="P23" s="642">
        <f t="shared" si="0"/>
        <v>0</v>
      </c>
      <c r="Q23" s="642"/>
      <c r="R23" s="647">
        <v>1</v>
      </c>
      <c r="S23" s="647"/>
      <c r="T23" s="95">
        <f t="shared" si="4"/>
        <v>0</v>
      </c>
      <c r="U23" s="473">
        <f t="shared" si="5"/>
        <v>0</v>
      </c>
    </row>
    <row r="24" spans="1:21" x14ac:dyDescent="0.25">
      <c r="A24" s="578" t="s">
        <v>83</v>
      </c>
      <c r="B24" s="578"/>
      <c r="C24" s="143">
        <v>0</v>
      </c>
      <c r="D24" s="143">
        <v>0</v>
      </c>
      <c r="E24" s="116">
        <f t="shared" si="1"/>
        <v>0</v>
      </c>
      <c r="F24" s="663">
        <f>'1461'!F24:G24</f>
        <v>5.992</v>
      </c>
      <c r="G24" s="663"/>
      <c r="H24" s="80">
        <f t="shared" si="2"/>
        <v>0</v>
      </c>
      <c r="I24" s="101">
        <f t="shared" si="3"/>
        <v>0</v>
      </c>
      <c r="N24" s="601" t="s">
        <v>83</v>
      </c>
      <c r="O24" s="601"/>
      <c r="P24" s="642">
        <f t="shared" si="0"/>
        <v>0</v>
      </c>
      <c r="Q24" s="642"/>
      <c r="R24" s="647">
        <v>1</v>
      </c>
      <c r="S24" s="647"/>
      <c r="T24" s="95">
        <f t="shared" si="4"/>
        <v>0</v>
      </c>
      <c r="U24" s="473">
        <f t="shared" si="5"/>
        <v>0</v>
      </c>
    </row>
    <row r="25" spans="1:21" x14ac:dyDescent="0.25">
      <c r="A25" s="578" t="s">
        <v>84</v>
      </c>
      <c r="B25" s="578"/>
      <c r="C25" s="143">
        <v>0</v>
      </c>
      <c r="D25" s="143">
        <v>0</v>
      </c>
      <c r="E25" s="116">
        <f t="shared" si="1"/>
        <v>0</v>
      </c>
      <c r="F25" s="663">
        <f>'1461'!F25:G25</f>
        <v>5.992</v>
      </c>
      <c r="G25" s="663"/>
      <c r="H25" s="80">
        <f t="shared" si="2"/>
        <v>0</v>
      </c>
      <c r="I25" s="101">
        <f t="shared" si="3"/>
        <v>0</v>
      </c>
      <c r="N25" s="601" t="s">
        <v>84</v>
      </c>
      <c r="O25" s="601"/>
      <c r="P25" s="642">
        <f t="shared" si="0"/>
        <v>0</v>
      </c>
      <c r="Q25" s="642"/>
      <c r="R25" s="647">
        <v>1</v>
      </c>
      <c r="S25" s="647"/>
      <c r="T25" s="95">
        <f t="shared" si="4"/>
        <v>0</v>
      </c>
      <c r="U25" s="473">
        <f t="shared" si="5"/>
        <v>0</v>
      </c>
    </row>
    <row r="26" spans="1:21" x14ac:dyDescent="0.25">
      <c r="A26" s="578" t="s">
        <v>85</v>
      </c>
      <c r="B26" s="578"/>
      <c r="C26" s="143">
        <v>41.75</v>
      </c>
      <c r="D26" s="143">
        <v>41.81</v>
      </c>
      <c r="E26" s="116">
        <f t="shared" si="1"/>
        <v>83.56</v>
      </c>
      <c r="F26" s="663">
        <f>'1461'!F26:G26</f>
        <v>1.1919999999999999</v>
      </c>
      <c r="G26" s="663"/>
      <c r="H26" s="80">
        <f t="shared" si="2"/>
        <v>99.603499999999997</v>
      </c>
      <c r="I26" s="101">
        <f t="shared" si="3"/>
        <v>552648.42000000004</v>
      </c>
      <c r="N26" s="601" t="s">
        <v>85</v>
      </c>
      <c r="O26" s="601"/>
      <c r="P26" s="642">
        <f t="shared" si="0"/>
        <v>0</v>
      </c>
      <c r="Q26" s="642"/>
      <c r="R26" s="647">
        <v>1</v>
      </c>
      <c r="S26" s="647"/>
      <c r="T26" s="95">
        <f t="shared" si="4"/>
        <v>0</v>
      </c>
      <c r="U26" s="473">
        <f t="shared" si="5"/>
        <v>0</v>
      </c>
    </row>
    <row r="27" spans="1:21" x14ac:dyDescent="0.25">
      <c r="A27" s="578" t="s">
        <v>86</v>
      </c>
      <c r="B27" s="578"/>
      <c r="C27" s="143">
        <v>7.01</v>
      </c>
      <c r="D27" s="143">
        <v>8.1</v>
      </c>
      <c r="E27" s="116">
        <f t="shared" si="1"/>
        <v>15.11</v>
      </c>
      <c r="F27" s="663">
        <f>'1461'!F27:G27</f>
        <v>1.1919999999999999</v>
      </c>
      <c r="G27" s="663"/>
      <c r="H27" s="80">
        <f t="shared" si="2"/>
        <v>18.011099999999999</v>
      </c>
      <c r="I27" s="101">
        <f t="shared" si="3"/>
        <v>99934.3</v>
      </c>
      <c r="N27" s="601" t="s">
        <v>86</v>
      </c>
      <c r="O27" s="601"/>
      <c r="P27" s="642">
        <f t="shared" si="0"/>
        <v>0</v>
      </c>
      <c r="Q27" s="642"/>
      <c r="R27" s="647">
        <v>1</v>
      </c>
      <c r="S27" s="647"/>
      <c r="T27" s="95">
        <f t="shared" si="4"/>
        <v>0</v>
      </c>
      <c r="U27" s="473">
        <f t="shared" si="5"/>
        <v>0</v>
      </c>
    </row>
    <row r="28" spans="1:21" x14ac:dyDescent="0.25">
      <c r="A28" s="578" t="s">
        <v>87</v>
      </c>
      <c r="B28" s="578"/>
      <c r="C28" s="143">
        <v>0</v>
      </c>
      <c r="D28" s="143">
        <v>0</v>
      </c>
      <c r="E28" s="116">
        <f t="shared" si="1"/>
        <v>0</v>
      </c>
      <c r="F28" s="663">
        <f>'1461'!F28:G28</f>
        <v>1.1919999999999999</v>
      </c>
      <c r="G28" s="663"/>
      <c r="H28" s="80">
        <f t="shared" si="2"/>
        <v>0</v>
      </c>
      <c r="I28" s="101">
        <f t="shared" si="3"/>
        <v>0</v>
      </c>
      <c r="N28" s="601" t="s">
        <v>87</v>
      </c>
      <c r="O28" s="601"/>
      <c r="P28" s="642">
        <f t="shared" si="0"/>
        <v>0</v>
      </c>
      <c r="Q28" s="642"/>
      <c r="R28" s="647">
        <v>1</v>
      </c>
      <c r="S28" s="647"/>
      <c r="T28" s="95">
        <f t="shared" si="4"/>
        <v>0</v>
      </c>
      <c r="U28" s="473">
        <f t="shared" si="5"/>
        <v>0</v>
      </c>
    </row>
    <row r="29" spans="1:21" x14ac:dyDescent="0.25">
      <c r="A29" s="578" t="s">
        <v>88</v>
      </c>
      <c r="B29" s="578"/>
      <c r="C29" s="110">
        <v>0</v>
      </c>
      <c r="D29" s="110">
        <v>0</v>
      </c>
      <c r="E29" s="154">
        <f t="shared" si="1"/>
        <v>0</v>
      </c>
      <c r="F29" s="663">
        <f>'1461'!F29:G29</f>
        <v>1.079</v>
      </c>
      <c r="G29" s="663"/>
      <c r="H29" s="93">
        <f t="shared" si="2"/>
        <v>0</v>
      </c>
      <c r="I29" s="94">
        <f t="shared" si="3"/>
        <v>0</v>
      </c>
      <c r="N29" s="616" t="s">
        <v>88</v>
      </c>
      <c r="O29" s="616"/>
      <c r="P29" s="642">
        <f t="shared" si="0"/>
        <v>0</v>
      </c>
      <c r="Q29" s="642"/>
      <c r="R29" s="643">
        <v>1</v>
      </c>
      <c r="S29" s="643"/>
      <c r="T29" s="95">
        <f t="shared" si="4"/>
        <v>0</v>
      </c>
      <c r="U29" s="473">
        <f t="shared" si="5"/>
        <v>0</v>
      </c>
    </row>
    <row r="30" spans="1:21" x14ac:dyDescent="0.25">
      <c r="A30" s="590" t="s">
        <v>5</v>
      </c>
      <c r="B30" s="590"/>
      <c r="C30" s="94">
        <f>SUM(C14:C29)</f>
        <v>207.5</v>
      </c>
      <c r="D30" s="94">
        <f>SUM(D14:D29)</f>
        <v>209.59</v>
      </c>
      <c r="E30" s="94">
        <f>SUM(E14:E29)</f>
        <v>417.09000000000003</v>
      </c>
      <c r="F30" s="582"/>
      <c r="G30" s="582"/>
      <c r="H30" s="99">
        <f>SUM(H14:H29)</f>
        <v>461.35149999999999</v>
      </c>
      <c r="I30" s="94">
        <f>SUM(I14:I29)</f>
        <v>2559801.4</v>
      </c>
      <c r="N30" s="644" t="s">
        <v>5</v>
      </c>
      <c r="O30" s="644"/>
      <c r="P30" s="645">
        <f>SUM(P14:P29)</f>
        <v>0</v>
      </c>
      <c r="Q30" s="645"/>
      <c r="R30" s="617"/>
      <c r="S30" s="617"/>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0" t="s">
        <v>233</v>
      </c>
      <c r="G34" s="670"/>
      <c r="H34" s="670"/>
      <c r="I34" s="101"/>
      <c r="N34" s="28"/>
      <c r="O34" s="28"/>
      <c r="P34" s="29"/>
      <c r="Q34" s="29"/>
      <c r="R34" s="30"/>
      <c r="S34" s="30"/>
      <c r="T34" s="102"/>
      <c r="U34" s="103"/>
    </row>
    <row r="35" spans="1:21" hidden="1" x14ac:dyDescent="0.25">
      <c r="A35" s="3"/>
      <c r="B35" s="69"/>
      <c r="C35" s="69"/>
      <c r="D35" s="69"/>
      <c r="E35" s="69"/>
      <c r="F35" s="670"/>
      <c r="G35" s="670"/>
      <c r="H35" s="670"/>
      <c r="I35" s="24" t="s">
        <v>61</v>
      </c>
      <c r="N35" s="627" t="s">
        <v>26</v>
      </c>
      <c r="O35" s="627"/>
      <c r="P35" s="627"/>
      <c r="Q35" s="627"/>
      <c r="R35" s="627"/>
      <c r="S35" s="627"/>
      <c r="T35" s="627"/>
      <c r="U35" s="25" t="str">
        <f>I35</f>
        <v>2015-16</v>
      </c>
    </row>
    <row r="36" spans="1:21" hidden="1" x14ac:dyDescent="0.25">
      <c r="A36" s="26"/>
      <c r="B36" s="26"/>
      <c r="C36" s="88" t="s">
        <v>93</v>
      </c>
      <c r="D36" s="88" t="s">
        <v>94</v>
      </c>
      <c r="E36" s="89" t="s">
        <v>8</v>
      </c>
      <c r="F36" s="670"/>
      <c r="G36" s="670"/>
      <c r="H36" s="670"/>
      <c r="I36" s="24" t="s">
        <v>27</v>
      </c>
      <c r="N36" s="28"/>
      <c r="O36" s="28"/>
      <c r="P36" s="29"/>
      <c r="Q36" s="29"/>
      <c r="R36" s="30"/>
      <c r="S36" s="30"/>
      <c r="T36" s="102"/>
      <c r="U36" s="25" t="s">
        <v>27</v>
      </c>
    </row>
    <row r="37" spans="1:21" ht="26.25" hidden="1" x14ac:dyDescent="0.25">
      <c r="A37" s="572" t="s">
        <v>50</v>
      </c>
      <c r="B37" s="572"/>
      <c r="C37" s="90" t="s">
        <v>2</v>
      </c>
      <c r="D37" s="90" t="s">
        <v>2</v>
      </c>
      <c r="E37" s="90" t="s">
        <v>2</v>
      </c>
      <c r="F37" s="671"/>
      <c r="G37" s="671"/>
      <c r="H37" s="671"/>
      <c r="I37" s="31" t="s">
        <v>395</v>
      </c>
      <c r="N37" s="639" t="s">
        <v>50</v>
      </c>
      <c r="O37" s="639"/>
      <c r="P37" s="640" t="s">
        <v>19</v>
      </c>
      <c r="Q37" s="640"/>
      <c r="R37" s="640"/>
      <c r="S37" s="640"/>
      <c r="T37" s="640"/>
      <c r="U37" s="19" t="str">
        <f>I37</f>
        <v>(WFTE x BSA x CWF x SDF)</v>
      </c>
    </row>
    <row r="38" spans="1:21" hidden="1" x14ac:dyDescent="0.25">
      <c r="A38" s="576" t="s">
        <v>45</v>
      </c>
      <c r="B38" s="576"/>
      <c r="C38" s="147">
        <v>0</v>
      </c>
      <c r="D38" s="147">
        <v>0</v>
      </c>
      <c r="E38" s="142">
        <f t="shared" ref="E38:E43" si="6">IF(D$44=0,C38*2,C38+D38)</f>
        <v>0</v>
      </c>
      <c r="F38" s="148"/>
      <c r="G38" s="148"/>
      <c r="H38" s="148"/>
      <c r="I38" s="111">
        <f>ROUND(ROUND(ROUND(E38*$C$8,4)*($H$8),2)*(MAX($H$9,1)),2)</f>
        <v>0</v>
      </c>
      <c r="N38" s="641" t="s">
        <v>45</v>
      </c>
      <c r="O38" s="641"/>
      <c r="P38" s="608">
        <f t="shared" ref="P38:P43" si="7">IF($H$133=1,E38,0)</f>
        <v>0</v>
      </c>
      <c r="Q38" s="608"/>
      <c r="R38" s="608"/>
      <c r="S38" s="608"/>
      <c r="T38" s="608"/>
      <c r="U38" s="98">
        <f>ROUND(ROUND(ROUND(P38*$C$8,4)*($H$8),2)*(MAX($H$9,1)),2)</f>
        <v>0</v>
      </c>
    </row>
    <row r="39" spans="1:21" hidden="1" x14ac:dyDescent="0.25">
      <c r="A39" s="578" t="s">
        <v>46</v>
      </c>
      <c r="B39" s="578"/>
      <c r="C39" s="150">
        <v>0</v>
      </c>
      <c r="D39" s="150">
        <v>0</v>
      </c>
      <c r="E39" s="144">
        <f t="shared" si="6"/>
        <v>0</v>
      </c>
      <c r="F39" s="151"/>
      <c r="G39" s="151"/>
      <c r="H39" s="151"/>
      <c r="I39" s="101">
        <f t="shared" ref="I39:I43" si="8">ROUND(ROUND(ROUND(E39*$C$8,4)*($H$8),2)*(MAX($H$9,1)),2)</f>
        <v>0</v>
      </c>
      <c r="N39" s="601" t="s">
        <v>46</v>
      </c>
      <c r="O39" s="601"/>
      <c r="P39" s="608">
        <f t="shared" si="7"/>
        <v>0</v>
      </c>
      <c r="Q39" s="608"/>
      <c r="R39" s="608"/>
      <c r="S39" s="608"/>
      <c r="T39" s="608"/>
      <c r="U39" s="98">
        <f t="shared" ref="U39:U43" si="9">ROUND(ROUND(ROUND(P39*$C$8,4)*($H$8),2)*(MAX($H$9,1)),2)</f>
        <v>0</v>
      </c>
    </row>
    <row r="40" spans="1:21" hidden="1" x14ac:dyDescent="0.25">
      <c r="A40" s="583" t="s">
        <v>47</v>
      </c>
      <c r="B40" s="583"/>
      <c r="C40" s="150">
        <v>0</v>
      </c>
      <c r="D40" s="150">
        <v>0</v>
      </c>
      <c r="E40" s="144">
        <f t="shared" si="6"/>
        <v>0</v>
      </c>
      <c r="F40" s="151"/>
      <c r="G40" s="151"/>
      <c r="H40" s="151"/>
      <c r="I40" s="101">
        <f t="shared" si="8"/>
        <v>0</v>
      </c>
      <c r="N40" s="646" t="s">
        <v>47</v>
      </c>
      <c r="O40" s="646"/>
      <c r="P40" s="608">
        <f t="shared" si="7"/>
        <v>0</v>
      </c>
      <c r="Q40" s="608"/>
      <c r="R40" s="608"/>
      <c r="S40" s="608"/>
      <c r="T40" s="608"/>
      <c r="U40" s="98">
        <f t="shared" si="9"/>
        <v>0</v>
      </c>
    </row>
    <row r="41" spans="1:21" hidden="1" x14ac:dyDescent="0.25">
      <c r="A41" s="578" t="s">
        <v>48</v>
      </c>
      <c r="B41" s="578"/>
      <c r="C41" s="150">
        <v>0</v>
      </c>
      <c r="D41" s="150">
        <v>0</v>
      </c>
      <c r="E41" s="144">
        <f t="shared" si="6"/>
        <v>0</v>
      </c>
      <c r="F41" s="151"/>
      <c r="G41" s="151"/>
      <c r="H41" s="151"/>
      <c r="I41" s="101">
        <f t="shared" si="8"/>
        <v>0</v>
      </c>
      <c r="N41" s="601" t="s">
        <v>48</v>
      </c>
      <c r="O41" s="601"/>
      <c r="P41" s="608">
        <f t="shared" si="7"/>
        <v>0</v>
      </c>
      <c r="Q41" s="608"/>
      <c r="R41" s="608"/>
      <c r="S41" s="608"/>
      <c r="T41" s="608"/>
      <c r="U41" s="98">
        <f t="shared" si="9"/>
        <v>0</v>
      </c>
    </row>
    <row r="42" spans="1:21" hidden="1" x14ac:dyDescent="0.25">
      <c r="A42" s="578" t="s">
        <v>49</v>
      </c>
      <c r="B42" s="578"/>
      <c r="C42" s="150">
        <v>0</v>
      </c>
      <c r="D42" s="150">
        <v>0</v>
      </c>
      <c r="E42" s="144">
        <f t="shared" si="6"/>
        <v>0</v>
      </c>
      <c r="F42" s="151"/>
      <c r="G42" s="151"/>
      <c r="H42" s="151"/>
      <c r="I42" s="101">
        <f t="shared" si="8"/>
        <v>0</v>
      </c>
      <c r="N42" s="601" t="s">
        <v>49</v>
      </c>
      <c r="O42" s="601"/>
      <c r="P42" s="608">
        <f t="shared" si="7"/>
        <v>0</v>
      </c>
      <c r="Q42" s="608"/>
      <c r="R42" s="608"/>
      <c r="S42" s="608"/>
      <c r="T42" s="608"/>
      <c r="U42" s="98">
        <f t="shared" si="9"/>
        <v>0</v>
      </c>
    </row>
    <row r="43" spans="1:21" hidden="1" x14ac:dyDescent="0.25">
      <c r="A43" s="578" t="s">
        <v>41</v>
      </c>
      <c r="B43" s="578"/>
      <c r="C43" s="149">
        <v>0</v>
      </c>
      <c r="D43" s="149">
        <v>0</v>
      </c>
      <c r="E43" s="136">
        <f t="shared" si="6"/>
        <v>0</v>
      </c>
      <c r="F43" s="151"/>
      <c r="G43" s="151"/>
      <c r="H43" s="151"/>
      <c r="I43" s="94">
        <f t="shared" si="8"/>
        <v>0</v>
      </c>
      <c r="N43" s="616" t="s">
        <v>41</v>
      </c>
      <c r="O43" s="616"/>
      <c r="P43" s="608">
        <f t="shared" si="7"/>
        <v>0</v>
      </c>
      <c r="Q43" s="608"/>
      <c r="R43" s="608"/>
      <c r="S43" s="608"/>
      <c r="T43" s="60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3" t="s">
        <v>43</v>
      </c>
      <c r="O44" s="603"/>
      <c r="P44" s="603"/>
      <c r="Q44" s="603"/>
      <c r="R44" s="33">
        <f>SUM(P38:R43)</f>
        <v>0</v>
      </c>
      <c r="S44" s="617" t="s">
        <v>51</v>
      </c>
      <c r="T44" s="617"/>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461.35149999999999</v>
      </c>
      <c r="F46" s="34"/>
      <c r="G46" s="106"/>
      <c r="H46" s="107" t="s">
        <v>98</v>
      </c>
      <c r="I46" s="94">
        <f>SUM(I44,I30)</f>
        <v>2559801.4</v>
      </c>
      <c r="N46" s="603" t="s">
        <v>44</v>
      </c>
      <c r="O46" s="603"/>
      <c r="P46" s="603"/>
      <c r="Q46" s="603"/>
      <c r="R46" s="35">
        <f>R44+T30</f>
        <v>0</v>
      </c>
      <c r="S46" s="617" t="s">
        <v>42</v>
      </c>
      <c r="T46" s="617"/>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396</v>
      </c>
      <c r="B48" s="26"/>
      <c r="C48" s="26"/>
      <c r="D48" s="26"/>
      <c r="E48" s="26"/>
      <c r="F48" s="34"/>
      <c r="G48" s="27"/>
      <c r="H48" s="27"/>
      <c r="I48" s="101"/>
      <c r="N48" s="383" t="s">
        <v>396</v>
      </c>
      <c r="O48" s="28"/>
      <c r="P48" s="28"/>
      <c r="Q48" s="28"/>
      <c r="R48" s="35"/>
      <c r="S48" s="30"/>
      <c r="T48" s="30"/>
      <c r="U48" s="402"/>
    </row>
    <row r="49" spans="1:22" s="391" customFormat="1" ht="9" customHeight="1" x14ac:dyDescent="0.2">
      <c r="A49" s="481" t="s">
        <v>397</v>
      </c>
      <c r="F49" s="392"/>
      <c r="G49" s="393"/>
      <c r="H49" s="393"/>
      <c r="I49" s="394"/>
      <c r="N49" s="403" t="s">
        <v>397</v>
      </c>
      <c r="O49" s="395"/>
      <c r="P49" s="395"/>
      <c r="Q49" s="395"/>
      <c r="R49" s="396"/>
      <c r="S49" s="397"/>
      <c r="T49" s="397"/>
      <c r="U49" s="404"/>
    </row>
    <row r="50" spans="1:22" s="391" customFormat="1" ht="11.25" customHeight="1" x14ac:dyDescent="0.2">
      <c r="A50" s="483" t="s">
        <v>398</v>
      </c>
      <c r="F50" s="392"/>
      <c r="G50" s="393"/>
      <c r="H50" s="393"/>
      <c r="I50" s="394"/>
      <c r="N50" s="405" t="s">
        <v>398</v>
      </c>
      <c r="O50" s="395"/>
      <c r="P50" s="395"/>
      <c r="Q50" s="395"/>
      <c r="R50" s="396"/>
      <c r="S50" s="397"/>
      <c r="T50" s="397"/>
      <c r="U50" s="404"/>
    </row>
    <row r="51" spans="1:22" x14ac:dyDescent="0.25">
      <c r="A51" s="389"/>
      <c r="B51" s="399" t="s">
        <v>399</v>
      </c>
      <c r="C51" s="26"/>
      <c r="D51" s="26"/>
      <c r="E51" s="43" t="s">
        <v>400</v>
      </c>
      <c r="F51" s="400">
        <f>I46</f>
        <v>2559801.4</v>
      </c>
      <c r="G51" s="109" t="s">
        <v>6</v>
      </c>
      <c r="H51" s="401">
        <v>4.5199999999999997E-2</v>
      </c>
      <c r="I51" s="101">
        <f>ROUND(F51*H51,2)</f>
        <v>115703.02</v>
      </c>
      <c r="N51" s="406"/>
      <c r="O51" s="407" t="s">
        <v>399</v>
      </c>
      <c r="P51" s="28"/>
      <c r="Q51" s="44" t="s">
        <v>400</v>
      </c>
      <c r="R51" s="408">
        <f>U30</f>
        <v>0</v>
      </c>
      <c r="S51" s="409" t="s">
        <v>6</v>
      </c>
      <c r="T51" s="410">
        <v>4.5199999999999997E-2</v>
      </c>
      <c r="U51" s="402">
        <f>ROUND(R51*T51,2)</f>
        <v>0</v>
      </c>
    </row>
    <row r="52" spans="1:22" x14ac:dyDescent="0.25">
      <c r="A52" s="26"/>
      <c r="B52" s="81" t="s">
        <v>401</v>
      </c>
      <c r="C52" s="26"/>
      <c r="D52" s="26"/>
      <c r="E52" s="43" t="s">
        <v>400</v>
      </c>
      <c r="F52" s="400">
        <f>I46</f>
        <v>2559801.4</v>
      </c>
      <c r="G52" s="109" t="s">
        <v>6</v>
      </c>
      <c r="H52" s="401">
        <v>1.41E-2</v>
      </c>
      <c r="I52" s="101">
        <f>ROUND(F52*H52,2)</f>
        <v>36093.199999999997</v>
      </c>
      <c r="N52" s="28"/>
      <c r="O52" s="383" t="s">
        <v>401</v>
      </c>
      <c r="P52" s="28"/>
      <c r="Q52" s="44" t="s">
        <v>400</v>
      </c>
      <c r="R52" s="408">
        <f>U30</f>
        <v>0</v>
      </c>
      <c r="S52" s="409" t="s">
        <v>6</v>
      </c>
      <c r="T52" s="410">
        <v>1.41E-2</v>
      </c>
      <c r="U52" s="411">
        <f>ROUND(R52*T52,2)</f>
        <v>0</v>
      </c>
    </row>
    <row r="53" spans="1:22" x14ac:dyDescent="0.25">
      <c r="A53" s="26"/>
      <c r="B53" s="81" t="s">
        <v>402</v>
      </c>
      <c r="C53" s="26"/>
      <c r="D53" s="26"/>
      <c r="E53" s="43"/>
      <c r="F53" s="400"/>
      <c r="G53" s="109"/>
      <c r="H53" s="401"/>
      <c r="I53" s="97">
        <f>SUM(I51:I52)</f>
        <v>151796.22</v>
      </c>
      <c r="N53" s="28"/>
      <c r="O53" s="383" t="s">
        <v>402</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440</v>
      </c>
      <c r="G55" s="109" t="s">
        <v>441</v>
      </c>
      <c r="H55" s="454" t="s">
        <v>442</v>
      </c>
      <c r="I55" s="101"/>
      <c r="N55" s="448"/>
      <c r="O55" s="448"/>
      <c r="P55" s="464"/>
      <c r="Q55" s="465"/>
      <c r="R55" s="466"/>
      <c r="S55" s="468" t="s">
        <v>441</v>
      </c>
      <c r="T55" s="469" t="s">
        <v>442</v>
      </c>
      <c r="U55" s="467"/>
      <c r="V55" s="424"/>
    </row>
    <row r="56" spans="1:22" x14ac:dyDescent="0.25">
      <c r="A56" s="36" t="s">
        <v>443</v>
      </c>
      <c r="B56" s="36"/>
      <c r="C56" s="324" t="str">
        <f>'1461'!C56</f>
        <v>FTE</v>
      </c>
      <c r="D56" s="324" t="str">
        <f>'1461'!D56</f>
        <v>FTE</v>
      </c>
      <c r="E56" s="90" t="s">
        <v>2</v>
      </c>
      <c r="F56" s="439" t="s">
        <v>444</v>
      </c>
      <c r="G56" s="441" t="s">
        <v>444</v>
      </c>
      <c r="H56" s="455" t="s">
        <v>445</v>
      </c>
      <c r="I56" s="36"/>
      <c r="N56" s="459" t="s">
        <v>443</v>
      </c>
      <c r="O56" s="459"/>
      <c r="P56" s="620" t="s">
        <v>2</v>
      </c>
      <c r="Q56" s="620"/>
      <c r="R56" s="459" t="s">
        <v>449</v>
      </c>
      <c r="S56" s="450" t="s">
        <v>444</v>
      </c>
      <c r="T56" s="470" t="s">
        <v>445</v>
      </c>
      <c r="U56" s="459"/>
      <c r="V56" s="458"/>
    </row>
    <row r="57" spans="1:22" x14ac:dyDescent="0.25">
      <c r="A57" s="588" t="s">
        <v>447</v>
      </c>
      <c r="B57" s="588"/>
      <c r="C57" s="143">
        <v>7.5</v>
      </c>
      <c r="D57" s="143">
        <v>8.52</v>
      </c>
      <c r="E57" s="116">
        <f t="shared" ref="E57:E65" si="10">IF(D$66=0,C57*2,C57+D57)</f>
        <v>16.02</v>
      </c>
      <c r="F57" s="443" t="s">
        <v>439</v>
      </c>
      <c r="G57" s="443">
        <v>251</v>
      </c>
      <c r="H57" s="457">
        <f>'1461'!H57</f>
        <v>1047</v>
      </c>
      <c r="I57" s="101">
        <f>ROUND(E57*H57,2)</f>
        <v>16772.939999999999</v>
      </c>
      <c r="N57" s="618" t="s">
        <v>447</v>
      </c>
      <c r="O57" s="618"/>
      <c r="P57" s="621"/>
      <c r="Q57" s="621"/>
      <c r="R57" s="449" t="s">
        <v>439</v>
      </c>
      <c r="S57" s="449">
        <v>251</v>
      </c>
      <c r="T57" s="460">
        <f>H57</f>
        <v>1047</v>
      </c>
      <c r="U57" s="474">
        <f>ROUND(P57*T57,2)</f>
        <v>0</v>
      </c>
      <c r="V57" s="424"/>
    </row>
    <row r="58" spans="1:22" x14ac:dyDescent="0.25">
      <c r="A58" s="589"/>
      <c r="B58" s="589"/>
      <c r="C58" s="143">
        <v>1</v>
      </c>
      <c r="D58" s="143">
        <v>1.5</v>
      </c>
      <c r="E58" s="116">
        <f t="shared" si="10"/>
        <v>2.5</v>
      </c>
      <c r="F58" s="443" t="s">
        <v>439</v>
      </c>
      <c r="G58" s="443">
        <v>252</v>
      </c>
      <c r="H58" s="457">
        <f>'1461'!H58</f>
        <v>3380</v>
      </c>
      <c r="I58" s="101">
        <f t="shared" ref="I58:I65" si="11">ROUND(E58*H58,2)</f>
        <v>8450</v>
      </c>
      <c r="N58" s="619"/>
      <c r="O58" s="619"/>
      <c r="P58" s="622"/>
      <c r="Q58" s="622"/>
      <c r="R58" s="449" t="s">
        <v>439</v>
      </c>
      <c r="S58" s="449">
        <v>252</v>
      </c>
      <c r="T58" s="460">
        <f t="shared" ref="T58:T65" si="12">H58</f>
        <v>3380</v>
      </c>
      <c r="U58" s="474">
        <f t="shared" ref="U58:U65" si="13">ROUND(P58*T58,2)</f>
        <v>0</v>
      </c>
      <c r="V58" s="424"/>
    </row>
    <row r="59" spans="1:22" x14ac:dyDescent="0.25">
      <c r="A59" s="589"/>
      <c r="B59" s="589"/>
      <c r="C59" s="143">
        <v>0</v>
      </c>
      <c r="D59" s="143">
        <v>0</v>
      </c>
      <c r="E59" s="116">
        <f t="shared" si="10"/>
        <v>0</v>
      </c>
      <c r="F59" s="443" t="s">
        <v>439</v>
      </c>
      <c r="G59" s="443">
        <v>253</v>
      </c>
      <c r="H59" s="457">
        <f>'1461'!H59</f>
        <v>6896</v>
      </c>
      <c r="I59" s="101">
        <f t="shared" si="11"/>
        <v>0</v>
      </c>
      <c r="N59" s="619"/>
      <c r="O59" s="619"/>
      <c r="P59" s="622"/>
      <c r="Q59" s="622"/>
      <c r="R59" s="449" t="s">
        <v>439</v>
      </c>
      <c r="S59" s="449">
        <v>253</v>
      </c>
      <c r="T59" s="460">
        <f t="shared" si="12"/>
        <v>6896</v>
      </c>
      <c r="U59" s="474">
        <f t="shared" si="13"/>
        <v>0</v>
      </c>
      <c r="V59" s="424"/>
    </row>
    <row r="60" spans="1:22" x14ac:dyDescent="0.25">
      <c r="A60" s="589"/>
      <c r="B60" s="589"/>
      <c r="C60" s="143">
        <v>6</v>
      </c>
      <c r="D60" s="143">
        <v>6.59</v>
      </c>
      <c r="E60" s="116">
        <f t="shared" si="10"/>
        <v>12.59</v>
      </c>
      <c r="F60" s="444" t="s">
        <v>13</v>
      </c>
      <c r="G60" s="443">
        <v>251</v>
      </c>
      <c r="H60" s="457">
        <f>'1461'!H60</f>
        <v>1173</v>
      </c>
      <c r="I60" s="101">
        <f t="shared" si="11"/>
        <v>14768.07</v>
      </c>
      <c r="N60" s="619"/>
      <c r="O60" s="619"/>
      <c r="P60" s="622"/>
      <c r="Q60" s="622"/>
      <c r="R60" s="40" t="s">
        <v>13</v>
      </c>
      <c r="S60" s="449">
        <v>251</v>
      </c>
      <c r="T60" s="460">
        <f t="shared" si="12"/>
        <v>1173</v>
      </c>
      <c r="U60" s="474">
        <f t="shared" si="13"/>
        <v>0</v>
      </c>
      <c r="V60" s="424"/>
    </row>
    <row r="61" spans="1:22" x14ac:dyDescent="0.25">
      <c r="A61" s="589"/>
      <c r="B61" s="589"/>
      <c r="C61" s="143">
        <v>0.5</v>
      </c>
      <c r="D61" s="143">
        <v>0.41</v>
      </c>
      <c r="E61" s="116">
        <f t="shared" si="10"/>
        <v>0.90999999999999992</v>
      </c>
      <c r="F61" s="444" t="s">
        <v>13</v>
      </c>
      <c r="G61" s="443">
        <v>252</v>
      </c>
      <c r="H61" s="457">
        <f>'1461'!H61</f>
        <v>3506</v>
      </c>
      <c r="I61" s="101">
        <f t="shared" si="11"/>
        <v>3190.46</v>
      </c>
      <c r="N61" s="619"/>
      <c r="O61" s="619"/>
      <c r="P61" s="622"/>
      <c r="Q61" s="622"/>
      <c r="R61" s="40" t="s">
        <v>13</v>
      </c>
      <c r="S61" s="449">
        <v>252</v>
      </c>
      <c r="T61" s="460">
        <f t="shared" si="12"/>
        <v>3506</v>
      </c>
      <c r="U61" s="474">
        <f t="shared" si="13"/>
        <v>0</v>
      </c>
      <c r="V61" s="424"/>
    </row>
    <row r="62" spans="1:22" x14ac:dyDescent="0.25">
      <c r="A62" s="589"/>
      <c r="B62" s="589"/>
      <c r="C62" s="143">
        <v>0</v>
      </c>
      <c r="D62" s="143">
        <v>0</v>
      </c>
      <c r="E62" s="116">
        <f t="shared" si="10"/>
        <v>0</v>
      </c>
      <c r="F62" s="444" t="s">
        <v>13</v>
      </c>
      <c r="G62" s="443">
        <v>253</v>
      </c>
      <c r="H62" s="457">
        <f>'1461'!H62</f>
        <v>7023</v>
      </c>
      <c r="I62" s="101">
        <f t="shared" si="11"/>
        <v>0</v>
      </c>
      <c r="N62" s="619"/>
      <c r="O62" s="619"/>
      <c r="P62" s="622"/>
      <c r="Q62" s="622"/>
      <c r="R62" s="40" t="s">
        <v>13</v>
      </c>
      <c r="S62" s="449">
        <v>253</v>
      </c>
      <c r="T62" s="460">
        <f t="shared" si="12"/>
        <v>7023</v>
      </c>
      <c r="U62" s="474">
        <f t="shared" si="13"/>
        <v>0</v>
      </c>
      <c r="V62" s="424"/>
    </row>
    <row r="63" spans="1:22" x14ac:dyDescent="0.25">
      <c r="A63" s="589"/>
      <c r="B63" s="589"/>
      <c r="C63" s="143">
        <v>0</v>
      </c>
      <c r="D63" s="143">
        <v>0</v>
      </c>
      <c r="E63" s="116">
        <f t="shared" si="10"/>
        <v>0</v>
      </c>
      <c r="F63" s="444" t="s">
        <v>14</v>
      </c>
      <c r="G63" s="443">
        <v>251</v>
      </c>
      <c r="H63" s="457">
        <f>'1461'!H63</f>
        <v>835</v>
      </c>
      <c r="I63" s="101">
        <f t="shared" si="11"/>
        <v>0</v>
      </c>
      <c r="N63" s="619"/>
      <c r="O63" s="619"/>
      <c r="P63" s="622"/>
      <c r="Q63" s="622"/>
      <c r="R63" s="40" t="s">
        <v>14</v>
      </c>
      <c r="S63" s="449">
        <v>251</v>
      </c>
      <c r="T63" s="460">
        <f t="shared" si="12"/>
        <v>835</v>
      </c>
      <c r="U63" s="474">
        <f t="shared" si="13"/>
        <v>0</v>
      </c>
      <c r="V63" s="424"/>
    </row>
    <row r="64" spans="1:22" x14ac:dyDescent="0.25">
      <c r="A64" s="589"/>
      <c r="B64" s="589"/>
      <c r="C64" s="143">
        <v>0</v>
      </c>
      <c r="D64" s="143">
        <v>0</v>
      </c>
      <c r="E64" s="116">
        <f t="shared" si="10"/>
        <v>0</v>
      </c>
      <c r="F64" s="444" t="s">
        <v>14</v>
      </c>
      <c r="G64" s="443">
        <v>252</v>
      </c>
      <c r="H64" s="457">
        <f>'1461'!H64</f>
        <v>3168</v>
      </c>
      <c r="I64" s="101">
        <f t="shared" si="11"/>
        <v>0</v>
      </c>
      <c r="N64" s="619"/>
      <c r="O64" s="619"/>
      <c r="P64" s="622"/>
      <c r="Q64" s="622"/>
      <c r="R64" s="40" t="s">
        <v>14</v>
      </c>
      <c r="S64" s="449">
        <v>252</v>
      </c>
      <c r="T64" s="460">
        <f t="shared" si="12"/>
        <v>3168</v>
      </c>
      <c r="U64" s="474">
        <f t="shared" si="13"/>
        <v>0</v>
      </c>
      <c r="V64" s="424"/>
    </row>
    <row r="65" spans="1:22" ht="16.5" thickBot="1" x14ac:dyDescent="0.3">
      <c r="A65" s="589"/>
      <c r="B65" s="589"/>
      <c r="C65" s="143">
        <v>0</v>
      </c>
      <c r="D65" s="143">
        <v>0</v>
      </c>
      <c r="E65" s="116">
        <f t="shared" si="10"/>
        <v>0</v>
      </c>
      <c r="F65" s="444" t="s">
        <v>14</v>
      </c>
      <c r="G65" s="443">
        <v>253</v>
      </c>
      <c r="H65" s="457">
        <f>'1461'!H65</f>
        <v>6685</v>
      </c>
      <c r="I65" s="101">
        <f t="shared" si="11"/>
        <v>0</v>
      </c>
      <c r="N65" s="619"/>
      <c r="O65" s="619"/>
      <c r="P65" s="623"/>
      <c r="Q65" s="623"/>
      <c r="R65" s="40" t="s">
        <v>14</v>
      </c>
      <c r="S65" s="449">
        <v>253</v>
      </c>
      <c r="T65" s="460">
        <f t="shared" si="12"/>
        <v>6685</v>
      </c>
      <c r="U65" s="475">
        <f t="shared" si="13"/>
        <v>0</v>
      </c>
      <c r="V65" s="424"/>
    </row>
    <row r="66" spans="1:22" ht="16.5" thickBot="1" x14ac:dyDescent="0.3">
      <c r="A66" s="440"/>
      <c r="C66" s="97">
        <f>SUM(C57:C65)</f>
        <v>15</v>
      </c>
      <c r="D66" s="97">
        <f>SUM(D57:D65)</f>
        <v>17.02</v>
      </c>
      <c r="E66" s="97">
        <f>SUM(E57:E65)</f>
        <v>32.019999999999996</v>
      </c>
      <c r="F66" s="590" t="s">
        <v>448</v>
      </c>
      <c r="G66" s="590"/>
      <c r="H66" s="590"/>
      <c r="I66" s="97">
        <f>SUM(I57:I65)</f>
        <v>43181.469999999994</v>
      </c>
      <c r="N66" s="446"/>
      <c r="O66" s="51"/>
      <c r="P66" s="602">
        <f>SUM(P57:P65)</f>
        <v>0</v>
      </c>
      <c r="Q66" s="602"/>
      <c r="R66" s="603" t="s">
        <v>448</v>
      </c>
      <c r="S66" s="603"/>
      <c r="T66" s="603"/>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450</v>
      </c>
      <c r="N68" s="453" t="s">
        <v>458</v>
      </c>
      <c r="O68" s="51"/>
      <c r="P68" s="51"/>
      <c r="Q68" s="51"/>
      <c r="R68" s="51"/>
      <c r="S68" s="51"/>
      <c r="T68" s="51"/>
      <c r="U68" s="51"/>
    </row>
    <row r="69" spans="1:22" x14ac:dyDescent="0.25">
      <c r="A69" s="584" t="s">
        <v>403</v>
      </c>
      <c r="B69" s="578"/>
      <c r="C69" s="112">
        <f>E30</f>
        <v>417.09000000000003</v>
      </c>
      <c r="D69" s="565" t="s">
        <v>414</v>
      </c>
      <c r="E69" s="565"/>
      <c r="F69" s="565"/>
      <c r="G69" s="565"/>
      <c r="H69" s="300">
        <f>'1461'!H69</f>
        <v>210228.91</v>
      </c>
      <c r="I69" s="113"/>
      <c r="N69" s="600" t="s">
        <v>407</v>
      </c>
      <c r="O69" s="601"/>
      <c r="P69" s="41">
        <f>P30</f>
        <v>0</v>
      </c>
      <c r="Q69" s="606" t="s">
        <v>409</v>
      </c>
      <c r="R69" s="607"/>
      <c r="S69" s="607"/>
      <c r="T69" s="604">
        <f>H69</f>
        <v>210228.91</v>
      </c>
      <c r="U69" s="604"/>
    </row>
    <row r="70" spans="1:22" x14ac:dyDescent="0.25">
      <c r="B70" s="69"/>
      <c r="G70" s="42" t="s">
        <v>12</v>
      </c>
      <c r="H70" s="114">
        <f>ROUND(C69/H69,6)</f>
        <v>1.9840000000000001E-3</v>
      </c>
      <c r="I70" s="115"/>
      <c r="N70" s="601"/>
      <c r="O70" s="601"/>
      <c r="P70" s="601"/>
      <c r="Q70" s="601"/>
      <c r="R70" s="601"/>
      <c r="S70" s="601"/>
      <c r="T70" s="605">
        <f>ROUND(P69/T69,6)</f>
        <v>0</v>
      </c>
      <c r="U70" s="605"/>
    </row>
    <row r="71" spans="1:22" x14ac:dyDescent="0.25">
      <c r="A71" s="442" t="s">
        <v>451</v>
      </c>
      <c r="N71" s="453" t="s">
        <v>459</v>
      </c>
      <c r="O71" s="51"/>
      <c r="P71" s="51"/>
      <c r="Q71" s="51"/>
      <c r="R71" s="51"/>
      <c r="S71" s="51"/>
      <c r="T71" s="51"/>
      <c r="U71" s="51"/>
    </row>
    <row r="72" spans="1:22" x14ac:dyDescent="0.25">
      <c r="A72" s="584" t="s">
        <v>404</v>
      </c>
      <c r="B72" s="578"/>
      <c r="C72" s="112">
        <f>H30</f>
        <v>461.35149999999999</v>
      </c>
      <c r="D72" s="565" t="s">
        <v>415</v>
      </c>
      <c r="E72" s="565"/>
      <c r="F72" s="565"/>
      <c r="G72" s="565"/>
      <c r="H72" s="301">
        <f>'1461'!H72</f>
        <v>234891.44</v>
      </c>
      <c r="I72" s="116"/>
      <c r="N72" s="600" t="s">
        <v>408</v>
      </c>
      <c r="O72" s="601"/>
      <c r="P72" s="41">
        <f>T30</f>
        <v>0</v>
      </c>
      <c r="Q72" s="606" t="s">
        <v>410</v>
      </c>
      <c r="R72" s="607"/>
      <c r="S72" s="607"/>
      <c r="T72" s="604">
        <f>H72</f>
        <v>234891.44</v>
      </c>
      <c r="U72" s="604"/>
    </row>
    <row r="73" spans="1:22" x14ac:dyDescent="0.25">
      <c r="G73" s="42" t="s">
        <v>12</v>
      </c>
      <c r="H73" s="114">
        <f>ROUND(C72/H72,6)</f>
        <v>1.964E-3</v>
      </c>
      <c r="I73" s="114"/>
      <c r="N73" s="601"/>
      <c r="O73" s="601"/>
      <c r="P73" s="601"/>
      <c r="Q73" s="601"/>
      <c r="R73" s="601"/>
      <c r="S73" s="601"/>
      <c r="T73" s="605">
        <f>ROUND(P72/T72,6)</f>
        <v>0</v>
      </c>
      <c r="U73" s="605"/>
    </row>
    <row r="74" spans="1:22" x14ac:dyDescent="0.25">
      <c r="A74" s="417" t="s">
        <v>452</v>
      </c>
      <c r="B74" s="414"/>
      <c r="C74" s="414"/>
      <c r="D74" s="414"/>
      <c r="E74" s="414"/>
      <c r="F74" s="414"/>
      <c r="G74" s="414"/>
      <c r="H74" s="414"/>
      <c r="I74" s="414"/>
      <c r="N74" s="416" t="s">
        <v>460</v>
      </c>
      <c r="O74" s="415"/>
      <c r="P74" s="415"/>
      <c r="Q74" s="415"/>
      <c r="R74" s="415"/>
      <c r="S74" s="415"/>
      <c r="T74" s="415"/>
      <c r="U74" s="415"/>
      <c r="V74" s="414"/>
    </row>
    <row r="75" spans="1:22" x14ac:dyDescent="0.25">
      <c r="A75" s="584" t="s">
        <v>405</v>
      </c>
      <c r="B75" s="578"/>
      <c r="C75" s="112">
        <f>E30</f>
        <v>417.09000000000003</v>
      </c>
      <c r="D75" s="557" t="s">
        <v>416</v>
      </c>
      <c r="E75" s="557"/>
      <c r="F75" s="557"/>
      <c r="G75" s="557"/>
      <c r="H75" s="300">
        <f>'1461'!H75</f>
        <v>187665.41</v>
      </c>
      <c r="I75" s="113"/>
      <c r="N75" s="600" t="s">
        <v>406</v>
      </c>
      <c r="O75" s="601"/>
      <c r="P75" s="41">
        <f>P30</f>
        <v>0</v>
      </c>
      <c r="Q75" s="636" t="s">
        <v>411</v>
      </c>
      <c r="R75" s="637"/>
      <c r="S75" s="637"/>
      <c r="T75" s="604">
        <f>H75</f>
        <v>187665.41</v>
      </c>
      <c r="U75" s="604"/>
    </row>
    <row r="76" spans="1:22" x14ac:dyDescent="0.25">
      <c r="B76" s="69"/>
      <c r="G76" s="42" t="s">
        <v>12</v>
      </c>
      <c r="H76" s="114">
        <f>ROUND(C75/H75,6)</f>
        <v>2.2230000000000001E-3</v>
      </c>
      <c r="I76" s="115"/>
      <c r="N76" s="601"/>
      <c r="O76" s="601"/>
      <c r="P76" s="601"/>
      <c r="Q76" s="601"/>
      <c r="R76" s="601"/>
      <c r="S76" s="601"/>
      <c r="T76" s="605">
        <f>ROUND(P75/T75,6)</f>
        <v>0</v>
      </c>
      <c r="U76" s="605"/>
    </row>
    <row r="77" spans="1:22" x14ac:dyDescent="0.25">
      <c r="A77" s="417" t="s">
        <v>453</v>
      </c>
      <c r="B77" s="414"/>
      <c r="C77" s="414"/>
      <c r="D77" s="414"/>
      <c r="E77" s="414"/>
      <c r="F77" s="414"/>
      <c r="G77" s="414"/>
      <c r="H77" s="414"/>
      <c r="I77" s="414"/>
      <c r="N77" s="416" t="s">
        <v>461</v>
      </c>
      <c r="O77" s="415"/>
      <c r="P77" s="415"/>
      <c r="Q77" s="415"/>
      <c r="R77" s="415"/>
      <c r="S77" s="415"/>
      <c r="T77" s="415"/>
      <c r="U77" s="415"/>
      <c r="V77" s="414"/>
    </row>
    <row r="78" spans="1:22" x14ac:dyDescent="0.25">
      <c r="A78" s="584" t="s">
        <v>405</v>
      </c>
      <c r="B78" s="578"/>
      <c r="C78" s="112">
        <f>E30</f>
        <v>417.09000000000003</v>
      </c>
      <c r="D78" s="585" t="s">
        <v>417</v>
      </c>
      <c r="E78" s="585"/>
      <c r="F78" s="585"/>
      <c r="G78" s="585"/>
      <c r="H78" s="300">
        <f>'1461'!H78</f>
        <v>209892.26</v>
      </c>
      <c r="I78" s="113"/>
      <c r="N78" s="600" t="s">
        <v>406</v>
      </c>
      <c r="O78" s="601"/>
      <c r="P78" s="41">
        <f>P30</f>
        <v>0</v>
      </c>
      <c r="Q78" s="634" t="s">
        <v>412</v>
      </c>
      <c r="R78" s="635"/>
      <c r="S78" s="635"/>
      <c r="T78" s="604">
        <f>H78</f>
        <v>209892.26</v>
      </c>
      <c r="U78" s="604"/>
    </row>
    <row r="79" spans="1:22" x14ac:dyDescent="0.25">
      <c r="B79" s="69"/>
      <c r="G79" s="42" t="s">
        <v>12</v>
      </c>
      <c r="H79" s="114">
        <f>ROUND(C78/H78,6)</f>
        <v>1.9870000000000001E-3</v>
      </c>
      <c r="I79" s="115"/>
      <c r="N79" s="601"/>
      <c r="O79" s="601"/>
      <c r="P79" s="601"/>
      <c r="Q79" s="601"/>
      <c r="R79" s="601"/>
      <c r="S79" s="601"/>
      <c r="T79" s="605">
        <f>ROUND(P78/T78,6)</f>
        <v>0</v>
      </c>
      <c r="U79" s="605"/>
    </row>
    <row r="80" spans="1:22" x14ac:dyDescent="0.25">
      <c r="A80" s="417" t="s">
        <v>454</v>
      </c>
      <c r="B80" s="414"/>
      <c r="C80" s="414"/>
      <c r="D80" s="414"/>
      <c r="E80" s="414"/>
      <c r="F80" s="414"/>
      <c r="G80" s="414"/>
      <c r="H80" s="414"/>
      <c r="I80" s="414"/>
      <c r="N80" s="416" t="s">
        <v>462</v>
      </c>
      <c r="O80" s="415"/>
      <c r="P80" s="415"/>
      <c r="Q80" s="415"/>
      <c r="R80" s="415"/>
      <c r="S80" s="415"/>
      <c r="T80" s="415"/>
      <c r="U80" s="415"/>
      <c r="V80" s="414"/>
    </row>
    <row r="81" spans="1:21" x14ac:dyDescent="0.25">
      <c r="A81" s="584" t="s">
        <v>413</v>
      </c>
      <c r="B81" s="578"/>
      <c r="C81" s="112">
        <f>E30</f>
        <v>417.09000000000003</v>
      </c>
      <c r="D81" s="557" t="s">
        <v>418</v>
      </c>
      <c r="E81" s="557"/>
      <c r="F81" s="557"/>
      <c r="G81" s="557"/>
      <c r="H81" s="300">
        <f>'1461'!H81</f>
        <v>187328.76</v>
      </c>
      <c r="I81" s="113"/>
      <c r="N81" s="600" t="s">
        <v>419</v>
      </c>
      <c r="O81" s="601"/>
      <c r="P81" s="41">
        <f>P30</f>
        <v>0</v>
      </c>
      <c r="Q81" s="636" t="s">
        <v>420</v>
      </c>
      <c r="R81" s="637"/>
      <c r="S81" s="637"/>
      <c r="T81" s="604">
        <f>H81</f>
        <v>187328.76</v>
      </c>
      <c r="U81" s="604"/>
    </row>
    <row r="82" spans="1:21" x14ac:dyDescent="0.25">
      <c r="B82" s="69"/>
      <c r="G82" s="42" t="s">
        <v>12</v>
      </c>
      <c r="H82" s="114">
        <f>ROUND(C81/H81,6)</f>
        <v>2.2269999999999998E-3</v>
      </c>
      <c r="I82" s="115"/>
      <c r="N82" s="601"/>
      <c r="O82" s="601"/>
      <c r="P82" s="601"/>
      <c r="Q82" s="601"/>
      <c r="R82" s="601"/>
      <c r="S82" s="601"/>
      <c r="T82" s="605">
        <f>ROUND(P81/T81,6)</f>
        <v>0</v>
      </c>
      <c r="U82" s="605"/>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455</v>
      </c>
      <c r="D85" s="69"/>
      <c r="E85" s="43" t="s">
        <v>299</v>
      </c>
      <c r="F85" s="302">
        <f>'1461'!F85</f>
        <v>46163704</v>
      </c>
      <c r="G85" s="37" t="s">
        <v>6</v>
      </c>
      <c r="H85" s="422">
        <f>H79</f>
        <v>1.9870000000000001E-3</v>
      </c>
      <c r="I85" s="101">
        <f>ROUND(F85*H85,2)</f>
        <v>91727.28</v>
      </c>
      <c r="N85" s="453" t="s">
        <v>455</v>
      </c>
      <c r="O85" s="51"/>
      <c r="P85" s="51"/>
      <c r="Q85" s="44"/>
      <c r="R85" s="419">
        <f>F85</f>
        <v>46163704</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87" t="s">
        <v>71</v>
      </c>
      <c r="B87" s="578"/>
      <c r="C87" s="578"/>
      <c r="D87" s="69"/>
      <c r="E87" s="43"/>
      <c r="F87" s="153"/>
      <c r="G87" s="37"/>
      <c r="H87" s="422"/>
      <c r="I87" s="101"/>
      <c r="N87" s="600" t="s">
        <v>463</v>
      </c>
      <c r="O87" s="601"/>
      <c r="P87" s="601"/>
      <c r="Q87" s="51"/>
      <c r="R87" s="420"/>
      <c r="S87" s="51"/>
      <c r="T87" s="38"/>
      <c r="U87" s="478"/>
    </row>
    <row r="88" spans="1:21" x14ac:dyDescent="0.25">
      <c r="A88" s="587" t="s">
        <v>99</v>
      </c>
      <c r="B88" s="578"/>
      <c r="C88" s="578"/>
      <c r="D88" s="69"/>
      <c r="E88" s="43" t="s">
        <v>3</v>
      </c>
      <c r="F88" s="302">
        <f>'1461'!F88</f>
        <v>0</v>
      </c>
      <c r="G88" s="37" t="s">
        <v>6</v>
      </c>
      <c r="H88" s="422">
        <f>H70</f>
        <v>1.9840000000000001E-3</v>
      </c>
      <c r="I88" s="101">
        <f>ROUND(F88*H88,2)</f>
        <v>0</v>
      </c>
      <c r="N88" s="638" t="s">
        <v>99</v>
      </c>
      <c r="O88" s="601"/>
      <c r="P88" s="601"/>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456</v>
      </c>
      <c r="D90" s="69"/>
      <c r="E90" s="43" t="s">
        <v>421</v>
      </c>
      <c r="F90" s="302">
        <f>'1461'!F90</f>
        <v>19042026</v>
      </c>
      <c r="G90" s="37" t="s">
        <v>6</v>
      </c>
      <c r="H90" s="422">
        <f>H82</f>
        <v>2.2269999999999998E-3</v>
      </c>
      <c r="I90" s="101">
        <f>ROUND(F90*H90,2)</f>
        <v>42406.59</v>
      </c>
      <c r="N90" s="453" t="s">
        <v>456</v>
      </c>
      <c r="O90" s="51"/>
      <c r="P90" s="51"/>
      <c r="Q90" s="44"/>
      <c r="R90" s="419">
        <f>F90</f>
        <v>19042026</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457</v>
      </c>
      <c r="D92" s="69"/>
      <c r="E92" s="43" t="s">
        <v>3</v>
      </c>
      <c r="F92" s="302">
        <f>'1461'!F92</f>
        <v>11441151</v>
      </c>
      <c r="G92" s="37" t="s">
        <v>6</v>
      </c>
      <c r="H92" s="422">
        <f>H76</f>
        <v>2.2230000000000001E-3</v>
      </c>
      <c r="I92" s="101">
        <f t="shared" ref="I92:I96" si="14">ROUND(F92*H92,2)</f>
        <v>25433.68</v>
      </c>
      <c r="N92" s="453" t="s">
        <v>457</v>
      </c>
      <c r="O92" s="51"/>
      <c r="P92" s="51"/>
      <c r="Q92" s="44"/>
      <c r="R92" s="419">
        <f t="shared" ref="R92:R96" si="15">F92</f>
        <v>11441151</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84" t="s">
        <v>422</v>
      </c>
      <c r="B94" s="578"/>
      <c r="C94" s="578"/>
      <c r="D94" s="69"/>
      <c r="E94" s="43" t="s">
        <v>4</v>
      </c>
      <c r="F94" s="302">
        <f>'1461'!F94</f>
        <v>247265670</v>
      </c>
      <c r="G94" s="37" t="s">
        <v>6</v>
      </c>
      <c r="H94" s="422">
        <f>H73</f>
        <v>1.964E-3</v>
      </c>
      <c r="I94" s="101">
        <f t="shared" si="14"/>
        <v>485629.78</v>
      </c>
      <c r="N94" s="601" t="s">
        <v>422</v>
      </c>
      <c r="O94" s="601"/>
      <c r="P94" s="601"/>
      <c r="Q94" s="44"/>
      <c r="R94" s="419">
        <f t="shared" si="15"/>
        <v>247265670</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4" t="s">
        <v>423</v>
      </c>
      <c r="B96" s="578"/>
      <c r="C96" s="578"/>
      <c r="D96" s="69"/>
      <c r="E96" s="43" t="s">
        <v>4</v>
      </c>
      <c r="F96" s="302">
        <f>'1461'!F96</f>
        <v>0</v>
      </c>
      <c r="G96" s="37" t="s">
        <v>6</v>
      </c>
      <c r="H96" s="422">
        <f>H73</f>
        <v>1.964E-3</v>
      </c>
      <c r="I96" s="101">
        <f t="shared" si="14"/>
        <v>0</v>
      </c>
      <c r="N96" s="600" t="s">
        <v>423</v>
      </c>
      <c r="O96" s="601"/>
      <c r="P96" s="601"/>
      <c r="Q96" s="44"/>
      <c r="R96" s="419">
        <f t="shared" si="15"/>
        <v>0</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530" t="s">
        <v>497</v>
      </c>
      <c r="B98" s="529"/>
      <c r="C98" s="529"/>
      <c r="D98" s="529"/>
      <c r="E98" s="527" t="s">
        <v>3</v>
      </c>
      <c r="F98" s="290">
        <v>0</v>
      </c>
      <c r="G98" s="528" t="s">
        <v>6</v>
      </c>
      <c r="H98" s="422">
        <f>H70</f>
        <v>1.9840000000000001E-3</v>
      </c>
      <c r="I98" s="101">
        <f t="shared" ref="I98" si="16">ROUND(F98*H98,2)</f>
        <v>0</v>
      </c>
      <c r="N98" s="533" t="s">
        <v>497</v>
      </c>
      <c r="O98" s="533"/>
      <c r="P98" s="533"/>
      <c r="Q98" s="44"/>
      <c r="R98" s="536">
        <f>F98</f>
        <v>0</v>
      </c>
      <c r="S98" s="534" t="s">
        <v>6</v>
      </c>
      <c r="T98" s="421">
        <f>T70</f>
        <v>0</v>
      </c>
      <c r="U98" s="473">
        <f>ROUND(R98*T98,2)</f>
        <v>0</v>
      </c>
    </row>
    <row r="99" spans="1:21" x14ac:dyDescent="0.25">
      <c r="A99" s="530"/>
      <c r="B99" s="529"/>
      <c r="C99" s="529"/>
      <c r="D99" s="529"/>
      <c r="E99" s="527"/>
      <c r="F99" s="276"/>
      <c r="G99" s="528"/>
      <c r="H99" s="422"/>
      <c r="I99" s="101"/>
      <c r="N99" s="533"/>
      <c r="O99" s="533"/>
      <c r="P99" s="533"/>
      <c r="Q99" s="44"/>
      <c r="R99" s="535"/>
      <c r="S99" s="534"/>
      <c r="T99" s="421"/>
      <c r="U99" s="477"/>
    </row>
    <row r="100" spans="1:21" x14ac:dyDescent="0.25">
      <c r="A100" s="530"/>
      <c r="B100" s="529"/>
      <c r="C100" s="529"/>
      <c r="D100" s="529"/>
      <c r="E100" s="527"/>
      <c r="F100" s="276"/>
      <c r="G100" s="528"/>
      <c r="H100" s="422"/>
      <c r="I100" s="101"/>
      <c r="N100" s="533"/>
      <c r="O100" s="533"/>
      <c r="P100" s="533"/>
      <c r="Q100" s="44"/>
      <c r="R100" s="420"/>
      <c r="S100" s="534"/>
      <c r="T100" s="421"/>
      <c r="U100" s="103"/>
    </row>
    <row r="101" spans="1:21" x14ac:dyDescent="0.25">
      <c r="A101" s="399" t="s">
        <v>498</v>
      </c>
      <c r="N101" s="407" t="s">
        <v>498</v>
      </c>
      <c r="O101" s="51"/>
      <c r="P101" s="51"/>
      <c r="Q101" s="51"/>
      <c r="R101" s="51"/>
      <c r="S101" s="51"/>
      <c r="T101" s="51"/>
      <c r="U101" s="51"/>
    </row>
    <row r="102" spans="1:21" x14ac:dyDescent="0.25">
      <c r="B102" s="69"/>
      <c r="C102" s="563" t="s">
        <v>60</v>
      </c>
      <c r="D102" s="563"/>
      <c r="E102" s="69"/>
      <c r="F102" s="39" t="s">
        <v>28</v>
      </c>
      <c r="G102" s="69"/>
      <c r="H102" s="69"/>
      <c r="I102" s="69"/>
      <c r="N102" s="45"/>
      <c r="O102" s="45"/>
      <c r="P102" s="45"/>
      <c r="Q102" s="45"/>
      <c r="R102" s="45"/>
      <c r="S102" s="45"/>
      <c r="T102" s="45"/>
      <c r="U102" s="45"/>
    </row>
    <row r="103" spans="1:21" x14ac:dyDescent="0.25">
      <c r="A103" s="3"/>
      <c r="B103" s="118"/>
      <c r="C103" s="564" t="s">
        <v>101</v>
      </c>
      <c r="D103" s="564"/>
      <c r="E103" s="423" t="s">
        <v>426</v>
      </c>
      <c r="F103" s="120" t="s">
        <v>106</v>
      </c>
      <c r="G103" s="121"/>
      <c r="H103" s="121"/>
      <c r="I103" s="121"/>
      <c r="N103" s="631" t="s">
        <v>35</v>
      </c>
      <c r="O103" s="631"/>
      <c r="P103" s="672" t="s">
        <v>428</v>
      </c>
      <c r="Q103" s="633"/>
      <c r="R103" s="604" t="s">
        <v>31</v>
      </c>
      <c r="S103" s="604"/>
      <c r="T103" s="604"/>
      <c r="U103" s="604"/>
    </row>
    <row r="104" spans="1:21" x14ac:dyDescent="0.25">
      <c r="A104" s="26"/>
      <c r="B104" s="52" t="s">
        <v>105</v>
      </c>
      <c r="C104" s="596">
        <f>H14+H15+H20+H23+H26</f>
        <v>339.47039999999998</v>
      </c>
      <c r="D104" s="596"/>
      <c r="E104" s="46">
        <f>H8</f>
        <v>1.0407999999999999</v>
      </c>
      <c r="F104" s="303">
        <f>'1461'!F104</f>
        <v>950.92</v>
      </c>
      <c r="G104" s="39" t="s">
        <v>12</v>
      </c>
      <c r="H104" s="101">
        <f>ROUND(C104*E104*F104,2)</f>
        <v>335979.81</v>
      </c>
      <c r="I104" s="104"/>
      <c r="N104" s="28" t="s">
        <v>17</v>
      </c>
      <c r="O104" s="47">
        <f>T14+T15+T20+T23+T26</f>
        <v>0</v>
      </c>
      <c r="P104" s="611">
        <f>T8</f>
        <v>1.0407999999999999</v>
      </c>
      <c r="Q104" s="611"/>
      <c r="R104" s="48">
        <f>F104</f>
        <v>950.92</v>
      </c>
      <c r="S104" s="40" t="s">
        <v>12</v>
      </c>
      <c r="T104" s="479">
        <f>ROUND(O104*P104*R104,2)</f>
        <v>0</v>
      </c>
      <c r="U104" s="102"/>
    </row>
    <row r="105" spans="1:21" x14ac:dyDescent="0.25">
      <c r="A105" s="49"/>
      <c r="B105" s="49" t="s">
        <v>104</v>
      </c>
      <c r="C105" s="596">
        <f>H16+H17+H21+H24+H27</f>
        <v>121.8811</v>
      </c>
      <c r="D105" s="596"/>
      <c r="E105" s="46">
        <f>H8</f>
        <v>1.0407999999999999</v>
      </c>
      <c r="F105" s="303">
        <f>'1461'!F105</f>
        <v>907.92</v>
      </c>
      <c r="G105" s="39" t="s">
        <v>12</v>
      </c>
      <c r="H105" s="101">
        <f>ROUND(C105*E105*F105,2)</f>
        <v>115173.15</v>
      </c>
      <c r="N105" s="50" t="s">
        <v>13</v>
      </c>
      <c r="O105" s="47">
        <f>T16+T17+T21+T24+T27</f>
        <v>0</v>
      </c>
      <c r="P105" s="611">
        <f>T8</f>
        <v>1.0407999999999999</v>
      </c>
      <c r="Q105" s="611"/>
      <c r="R105" s="48">
        <f>F105</f>
        <v>907.92</v>
      </c>
      <c r="S105" s="40" t="s">
        <v>12</v>
      </c>
      <c r="T105" s="479">
        <f>ROUND(O105*P105*R105,2)</f>
        <v>0</v>
      </c>
      <c r="U105" s="51"/>
    </row>
    <row r="106" spans="1:21" ht="16.5" thickBot="1" x14ac:dyDescent="0.3">
      <c r="A106" s="52"/>
      <c r="B106" s="52" t="s">
        <v>103</v>
      </c>
      <c r="C106" s="596">
        <f>H18+H19+H22+H25+H28+H29</f>
        <v>0</v>
      </c>
      <c r="D106" s="596"/>
      <c r="E106" s="46">
        <f>H8</f>
        <v>1.0407999999999999</v>
      </c>
      <c r="F106" s="303">
        <f>'1461'!F106</f>
        <v>910.12</v>
      </c>
      <c r="G106" s="39" t="s">
        <v>12</v>
      </c>
      <c r="H106" s="94">
        <f>ROUND(C106*E106*F106,2)</f>
        <v>0</v>
      </c>
      <c r="N106" s="53" t="s">
        <v>14</v>
      </c>
      <c r="O106" s="54">
        <f>T18+T19+T22+T25+T28+T29</f>
        <v>0</v>
      </c>
      <c r="P106" s="611">
        <f>T8</f>
        <v>1.0407999999999999</v>
      </c>
      <c r="Q106" s="611"/>
      <c r="R106" s="48">
        <f>F106</f>
        <v>910.12</v>
      </c>
      <c r="S106" s="40" t="s">
        <v>12</v>
      </c>
      <c r="T106" s="479">
        <f>ROUND(O106*P106*R106,2)</f>
        <v>0</v>
      </c>
      <c r="U106" s="51"/>
    </row>
    <row r="107" spans="1:21" ht="16.5" thickBot="1" x14ac:dyDescent="0.3">
      <c r="A107" s="55"/>
      <c r="B107" s="122" t="s">
        <v>102</v>
      </c>
      <c r="C107" s="586">
        <f>SUM(C104:C106)</f>
        <v>461.35149999999999</v>
      </c>
      <c r="D107" s="586"/>
      <c r="E107" s="123"/>
      <c r="F107" s="123"/>
      <c r="G107" s="123"/>
      <c r="H107" s="124" t="s">
        <v>100</v>
      </c>
      <c r="I107" s="101">
        <f>IF(A1=75,0,H106+H105+H104)</f>
        <v>451152.95999999996</v>
      </c>
      <c r="N107" s="56" t="s">
        <v>89</v>
      </c>
      <c r="O107" s="57">
        <f>SUM(O104:O106)</f>
        <v>0</v>
      </c>
      <c r="P107" s="612" t="s">
        <v>16</v>
      </c>
      <c r="Q107" s="613"/>
      <c r="R107" s="613"/>
      <c r="S107" s="613"/>
      <c r="T107" s="613"/>
      <c r="U107" s="473">
        <f>IF(N1=75,0,T106+T105+T104)</f>
        <v>0</v>
      </c>
    </row>
    <row r="108" spans="1:21" ht="16.5" thickTop="1" x14ac:dyDescent="0.25">
      <c r="A108" s="555" t="s">
        <v>65</v>
      </c>
      <c r="B108" s="555"/>
      <c r="C108" s="555"/>
      <c r="D108" s="555"/>
      <c r="E108" s="555"/>
      <c r="F108" s="555"/>
      <c r="G108" s="555"/>
      <c r="H108" s="555"/>
      <c r="I108" s="555"/>
      <c r="N108" s="614" t="s">
        <v>65</v>
      </c>
      <c r="O108" s="614"/>
      <c r="P108" s="614"/>
      <c r="Q108" s="614"/>
      <c r="R108" s="614"/>
      <c r="S108" s="614"/>
      <c r="T108" s="614"/>
      <c r="U108" s="614"/>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0" t="s">
        <v>499</v>
      </c>
      <c r="C110" s="43"/>
      <c r="D110" s="69"/>
      <c r="E110" s="43" t="s">
        <v>32</v>
      </c>
      <c r="F110" s="556"/>
      <c r="G110" s="556"/>
      <c r="H110" s="556"/>
      <c r="I110" s="556"/>
      <c r="N110" s="600" t="s">
        <v>499</v>
      </c>
      <c r="O110" s="601"/>
      <c r="P110" s="601"/>
      <c r="Q110" s="615"/>
      <c r="R110" s="615"/>
      <c r="S110" s="615"/>
      <c r="T110" s="615"/>
      <c r="U110" s="103"/>
    </row>
    <row r="111" spans="1:21" x14ac:dyDescent="0.25">
      <c r="B111" s="69"/>
      <c r="C111" s="88" t="s">
        <v>494</v>
      </c>
      <c r="D111" s="333" t="s">
        <v>495</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57" t="s">
        <v>381</v>
      </c>
      <c r="B113" s="558"/>
      <c r="C113" s="143">
        <v>2</v>
      </c>
      <c r="D113" s="143">
        <v>0</v>
      </c>
      <c r="E113" s="144">
        <f>(C113+D113)/2</f>
        <v>1</v>
      </c>
      <c r="F113" s="126" t="s">
        <v>30</v>
      </c>
      <c r="G113" s="304">
        <f>'1461'!G113</f>
        <v>576</v>
      </c>
      <c r="I113" s="101">
        <f>ROUND(G113*E113,2)</f>
        <v>576</v>
      </c>
      <c r="N113" s="630" t="s">
        <v>52</v>
      </c>
      <c r="O113" s="630"/>
      <c r="P113" s="610">
        <f>IF(H133=1,E113,0)</f>
        <v>0</v>
      </c>
      <c r="Q113" s="610"/>
      <c r="R113" s="610"/>
      <c r="S113" s="83" t="s">
        <v>30</v>
      </c>
      <c r="T113" s="58">
        <f>G113</f>
        <v>576</v>
      </c>
      <c r="U113" s="473">
        <f>ROUND(T113*P113,2)</f>
        <v>0</v>
      </c>
    </row>
    <row r="114" spans="1:21" x14ac:dyDescent="0.25">
      <c r="A114" s="557" t="s">
        <v>382</v>
      </c>
      <c r="B114" s="558"/>
      <c r="C114" s="143">
        <v>0</v>
      </c>
      <c r="D114" s="143">
        <v>0</v>
      </c>
      <c r="E114" s="144">
        <f>C114</f>
        <v>0</v>
      </c>
      <c r="F114" s="126" t="s">
        <v>30</v>
      </c>
      <c r="G114" s="304">
        <f>'1461'!G114</f>
        <v>1823</v>
      </c>
      <c r="I114" s="101">
        <f>ROUND(G114*E114,2)</f>
        <v>0</v>
      </c>
      <c r="N114" s="630" t="s">
        <v>64</v>
      </c>
      <c r="O114" s="630"/>
      <c r="P114" s="608"/>
      <c r="Q114" s="608"/>
      <c r="R114" s="608"/>
      <c r="S114" s="83" t="s">
        <v>30</v>
      </c>
      <c r="T114" s="58">
        <f>G114</f>
        <v>1823</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4" t="s">
        <v>430</v>
      </c>
      <c r="B117" s="578"/>
      <c r="C117" s="578"/>
      <c r="D117" s="69"/>
      <c r="E117" s="39" t="s">
        <v>300</v>
      </c>
      <c r="F117" s="563"/>
      <c r="G117" s="563"/>
      <c r="H117" s="563"/>
      <c r="I117" s="563"/>
      <c r="N117" s="600" t="s">
        <v>431</v>
      </c>
      <c r="O117" s="601"/>
      <c r="P117" s="601"/>
      <c r="Q117" s="601"/>
      <c r="R117" s="601"/>
      <c r="S117" s="601"/>
      <c r="T117" s="601"/>
      <c r="U117" s="601"/>
    </row>
    <row r="118" spans="1:21" hidden="1" x14ac:dyDescent="0.25">
      <c r="B118" s="69"/>
      <c r="C118" s="564" t="s">
        <v>66</v>
      </c>
      <c r="D118" s="564"/>
      <c r="E118" s="564"/>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5" t="s">
        <v>109</v>
      </c>
      <c r="G119" s="563"/>
      <c r="H119" s="37" t="s">
        <v>29</v>
      </c>
      <c r="I119" s="37"/>
      <c r="N119" s="45"/>
      <c r="O119" s="45"/>
      <c r="P119" s="45"/>
      <c r="Q119" s="45"/>
      <c r="R119" s="45"/>
      <c r="S119" s="45"/>
      <c r="T119" s="45"/>
      <c r="U119" s="45"/>
    </row>
    <row r="120" spans="1:21" hidden="1" x14ac:dyDescent="0.25">
      <c r="A120" s="564" t="s">
        <v>69</v>
      </c>
      <c r="B120" s="564"/>
      <c r="C120" s="90" t="s">
        <v>2</v>
      </c>
      <c r="D120" s="90" t="s">
        <v>2</v>
      </c>
      <c r="E120" s="59" t="s">
        <v>2</v>
      </c>
      <c r="F120" s="564" t="s">
        <v>28</v>
      </c>
      <c r="G120" s="564"/>
      <c r="H120" s="59" t="s">
        <v>28</v>
      </c>
      <c r="I120" s="59" t="s">
        <v>8</v>
      </c>
      <c r="N120" s="609" t="s">
        <v>53</v>
      </c>
      <c r="O120" s="609"/>
      <c r="P120" s="610" t="s">
        <v>66</v>
      </c>
      <c r="Q120" s="610"/>
      <c r="R120" s="609" t="s">
        <v>54</v>
      </c>
      <c r="S120" s="609"/>
      <c r="T120" s="60" t="s">
        <v>55</v>
      </c>
      <c r="U120" s="60" t="s">
        <v>8</v>
      </c>
    </row>
    <row r="121" spans="1:21" hidden="1" x14ac:dyDescent="0.25">
      <c r="A121" s="561" t="s">
        <v>56</v>
      </c>
      <c r="B121" s="561"/>
      <c r="C121" s="141">
        <v>0</v>
      </c>
      <c r="D121" s="141">
        <v>0</v>
      </c>
      <c r="E121" s="142">
        <f>IF(D30=0,C121*2,C121+D121)</f>
        <v>0</v>
      </c>
      <c r="F121" s="675">
        <v>0</v>
      </c>
      <c r="G121" s="675"/>
      <c r="H121" s="61">
        <f>IF(C121=0,0,125)</f>
        <v>0</v>
      </c>
      <c r="I121" s="101">
        <f>ROUND((H121+F121)*E121,2)</f>
        <v>0</v>
      </c>
      <c r="N121" s="601" t="s">
        <v>56</v>
      </c>
      <c r="O121" s="601"/>
      <c r="P121" s="608">
        <f>IF(H$133=1,C121,0)</f>
        <v>0</v>
      </c>
      <c r="Q121" s="608"/>
      <c r="R121" s="628">
        <f>F121</f>
        <v>0</v>
      </c>
      <c r="S121" s="628"/>
      <c r="T121" s="62">
        <f>H121</f>
        <v>0</v>
      </c>
      <c r="U121" s="96">
        <f>ROUND((T121+R121)*P121,0)</f>
        <v>0</v>
      </c>
    </row>
    <row r="122" spans="1:21" hidden="1" x14ac:dyDescent="0.25">
      <c r="A122" s="581" t="s">
        <v>57</v>
      </c>
      <c r="B122" s="581"/>
      <c r="C122" s="143">
        <v>0</v>
      </c>
      <c r="D122" s="143">
        <v>0</v>
      </c>
      <c r="E122" s="144">
        <f>IF(D31=0,C122*2,C122+D122)</f>
        <v>0</v>
      </c>
      <c r="F122" s="598">
        <f>ROUND(F121/2,2)</f>
        <v>0</v>
      </c>
      <c r="G122" s="598"/>
      <c r="H122" s="61">
        <f>IF(C122=0,0,62.5)</f>
        <v>0</v>
      </c>
      <c r="I122" s="101">
        <f>ROUND((H122+F122)*E122,2)</f>
        <v>0</v>
      </c>
      <c r="N122" s="601" t="s">
        <v>57</v>
      </c>
      <c r="O122" s="601"/>
      <c r="P122" s="608">
        <f>IF(H$133=1,C122,0)</f>
        <v>0</v>
      </c>
      <c r="Q122" s="608"/>
      <c r="R122" s="629">
        <f>ROUND(R121/2,2)</f>
        <v>0</v>
      </c>
      <c r="S122" s="629"/>
      <c r="T122" s="62">
        <f>H122</f>
        <v>0</v>
      </c>
      <c r="U122" s="96">
        <f>ROUND((T122+R122)*P122,0)</f>
        <v>0</v>
      </c>
    </row>
    <row r="123" spans="1:21" ht="16.5" hidden="1" thickBot="1" x14ac:dyDescent="0.3">
      <c r="A123" s="581" t="s">
        <v>58</v>
      </c>
      <c r="B123" s="581"/>
      <c r="C123" s="143">
        <v>0</v>
      </c>
      <c r="D123" s="143">
        <v>0</v>
      </c>
      <c r="E123" s="144">
        <f>IF(D32=0,C123*2,C123+D123)</f>
        <v>0</v>
      </c>
      <c r="F123" s="599"/>
      <c r="G123" s="599"/>
      <c r="H123" s="63">
        <f>IF(H121&gt;0,436,0)</f>
        <v>0</v>
      </c>
      <c r="I123" s="101">
        <f>ROUND(H123*E123,2)</f>
        <v>0</v>
      </c>
      <c r="N123" s="616" t="s">
        <v>58</v>
      </c>
      <c r="O123" s="616"/>
      <c r="P123" s="608">
        <f>IF(H$133=1,C123,0)</f>
        <v>0</v>
      </c>
      <c r="Q123" s="608"/>
      <c r="R123" s="609"/>
      <c r="S123" s="609"/>
      <c r="T123" s="64">
        <f>H123</f>
        <v>0</v>
      </c>
      <c r="U123" s="103">
        <f>ROUND(T123*P123,0)</f>
        <v>0</v>
      </c>
    </row>
    <row r="124" spans="1:21" ht="16.5" hidden="1" thickBot="1" x14ac:dyDescent="0.3">
      <c r="A124" s="563" t="s">
        <v>8</v>
      </c>
      <c r="B124" s="563"/>
      <c r="C124" s="65"/>
      <c r="D124" s="65"/>
      <c r="E124" s="65"/>
      <c r="F124" s="65"/>
      <c r="G124" s="65"/>
      <c r="H124" s="65"/>
      <c r="I124" s="97">
        <f>SUM(I121:I123)</f>
        <v>0</v>
      </c>
      <c r="N124" s="627" t="s">
        <v>8</v>
      </c>
      <c r="O124" s="627"/>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4" t="s">
        <v>432</v>
      </c>
      <c r="B126" s="578"/>
      <c r="C126" s="578"/>
      <c r="D126" s="69"/>
      <c r="E126" s="68" t="s">
        <v>34</v>
      </c>
      <c r="F126" s="597"/>
      <c r="G126" s="597"/>
      <c r="H126" s="597"/>
      <c r="I126" s="154">
        <v>0</v>
      </c>
      <c r="N126" s="600" t="s">
        <v>432</v>
      </c>
      <c r="O126" s="601"/>
      <c r="P126" s="601"/>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90" t="s">
        <v>8</v>
      </c>
      <c r="B128" s="590"/>
      <c r="C128" s="590"/>
      <c r="D128" s="590"/>
      <c r="E128" s="590"/>
      <c r="F128" s="590"/>
      <c r="G128" s="590"/>
      <c r="H128" s="590"/>
      <c r="I128" s="94">
        <f>SUM(I46,I66,I85,I88,I90,I92,I94,I96,I107,I113,I114,I124,I126)</f>
        <v>3699909.16</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434</v>
      </c>
      <c r="B130" s="26"/>
      <c r="C130" s="26"/>
      <c r="D130" s="26"/>
      <c r="E130" s="26"/>
      <c r="F130" s="26"/>
      <c r="G130" s="26"/>
      <c r="H130" s="26"/>
      <c r="I130" s="101">
        <f>I128-I53</f>
        <v>3548112.94</v>
      </c>
      <c r="N130" s="601" t="s">
        <v>434</v>
      </c>
      <c r="O130" s="601"/>
      <c r="P130" s="601"/>
      <c r="Q130" s="601"/>
      <c r="R130" s="601"/>
      <c r="S130" s="601"/>
      <c r="T130" s="601"/>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4" t="s">
        <v>502</v>
      </c>
      <c r="B132" s="578"/>
      <c r="C132" s="578"/>
      <c r="D132" s="578"/>
      <c r="E132" s="578"/>
      <c r="F132" s="578"/>
      <c r="G132" s="578"/>
      <c r="H132" s="81" t="s">
        <v>333</v>
      </c>
      <c r="I132" s="134"/>
      <c r="N132" s="600" t="s">
        <v>502</v>
      </c>
      <c r="O132" s="601"/>
      <c r="P132" s="601"/>
      <c r="Q132" s="601"/>
      <c r="R132" s="601"/>
      <c r="S132" s="601"/>
      <c r="T132" s="601"/>
      <c r="U132" s="138"/>
    </row>
    <row r="133" spans="1:21" x14ac:dyDescent="0.25">
      <c r="A133" s="578" t="s">
        <v>70</v>
      </c>
      <c r="B133" s="578"/>
      <c r="C133" s="578"/>
      <c r="D133" s="578"/>
      <c r="E133" s="578"/>
      <c r="F133" s="578"/>
      <c r="G133" s="578"/>
      <c r="H133" s="70" t="str">
        <f>IF(E30=0,"",IF((E15+E17+SUM(E19:E25))/E30&gt;0.75,1,""))</f>
        <v/>
      </c>
      <c r="I133" s="116">
        <f>U130</f>
        <v>0</v>
      </c>
      <c r="N133" s="601" t="s">
        <v>70</v>
      </c>
      <c r="O133" s="601"/>
      <c r="P133" s="601"/>
      <c r="Q133" s="601"/>
      <c r="R133" s="601"/>
      <c r="S133" s="601"/>
      <c r="T133" s="601"/>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3548112.94</v>
      </c>
      <c r="I135" s="94">
        <f>ROUND(IF(E30=0,0,IF(E30&gt;250,-(((250/E30)*H135)*IF(G135="H",0.02,0.05)),IF(G135="H",-0.02*H135,-0.05*H135))),2)</f>
        <v>-106335.35</v>
      </c>
      <c r="N135" s="626"/>
      <c r="O135" s="626"/>
      <c r="P135" s="626"/>
      <c r="Q135" s="626"/>
      <c r="R135" s="626"/>
      <c r="S135" s="626"/>
      <c r="T135" s="626"/>
      <c r="U135" s="626"/>
    </row>
    <row r="136" spans="1:21" x14ac:dyDescent="0.25">
      <c r="B136" s="69"/>
      <c r="C136" s="69"/>
      <c r="D136" s="69"/>
      <c r="E136" s="69"/>
      <c r="F136" s="69"/>
      <c r="G136" s="69"/>
      <c r="H136" s="65"/>
      <c r="I136" s="101"/>
      <c r="N136" s="624" t="s">
        <v>7</v>
      </c>
      <c r="O136" s="624"/>
      <c r="P136" s="624"/>
      <c r="Q136" s="624"/>
      <c r="R136" s="624"/>
      <c r="S136" s="624"/>
      <c r="T136" s="624"/>
      <c r="U136" s="624"/>
    </row>
    <row r="137" spans="1:21" x14ac:dyDescent="0.25">
      <c r="A137" s="309" t="s">
        <v>74</v>
      </c>
      <c r="B137" s="310"/>
      <c r="C137" s="310"/>
      <c r="D137" s="310"/>
      <c r="E137" s="310"/>
      <c r="F137" s="310"/>
      <c r="G137" s="310"/>
      <c r="H137" s="311"/>
      <c r="I137" s="312">
        <f>I128+I135</f>
        <v>3593573.81</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Payments'!Q109</f>
        <v>0</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3593573.81</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299464.48</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71070.3</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372</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373</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374</v>
      </c>
      <c r="B155" s="252"/>
      <c r="C155" s="252"/>
      <c r="D155" s="252"/>
      <c r="E155" s="252"/>
      <c r="F155" s="252"/>
      <c r="G155" s="252"/>
      <c r="H155" s="252"/>
      <c r="I155" s="252"/>
      <c r="N155" s="625"/>
      <c r="O155" s="625"/>
      <c r="P155" s="625"/>
      <c r="Q155" s="625"/>
      <c r="R155" s="625"/>
      <c r="S155" s="625"/>
      <c r="T155" s="625"/>
      <c r="U155" s="625"/>
    </row>
    <row r="156" spans="1:21" s="76" customFormat="1" x14ac:dyDescent="0.2">
      <c r="A156" s="320" t="s">
        <v>375</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376</v>
      </c>
      <c r="B157" s="252"/>
      <c r="C157" s="252"/>
      <c r="D157" s="252"/>
      <c r="E157" s="252"/>
      <c r="F157" s="252"/>
      <c r="G157" s="252"/>
      <c r="H157" s="252"/>
      <c r="I157" s="252"/>
      <c r="N157" s="78"/>
      <c r="O157" s="79"/>
      <c r="P157" s="79"/>
      <c r="Q157" s="79"/>
      <c r="R157" s="79"/>
      <c r="S157" s="79"/>
      <c r="T157" s="79"/>
      <c r="U157" s="79"/>
    </row>
    <row r="158" spans="1:21" s="76" customFormat="1" x14ac:dyDescent="0.2">
      <c r="A158" s="320" t="s">
        <v>377</v>
      </c>
      <c r="B158" s="252"/>
      <c r="C158" s="252"/>
      <c r="D158" s="252"/>
      <c r="E158" s="252"/>
      <c r="F158" s="252"/>
      <c r="G158" s="252"/>
      <c r="H158" s="252"/>
      <c r="I158" s="252"/>
      <c r="N158" s="78"/>
    </row>
    <row r="159" spans="1:21" s="76" customFormat="1" x14ac:dyDescent="0.2">
      <c r="A159" s="320" t="s">
        <v>379</v>
      </c>
      <c r="B159" s="252"/>
      <c r="C159" s="252"/>
      <c r="D159" s="252"/>
      <c r="E159" s="252"/>
      <c r="F159" s="252"/>
      <c r="G159" s="252"/>
      <c r="H159" s="252"/>
      <c r="I159" s="252"/>
      <c r="N159" s="78"/>
    </row>
    <row r="160" spans="1:21" s="76" customFormat="1" x14ac:dyDescent="0.2">
      <c r="A160" s="385" t="s">
        <v>378</v>
      </c>
      <c r="B160" s="252"/>
      <c r="C160" s="252"/>
      <c r="D160" s="252"/>
      <c r="E160" s="252"/>
      <c r="F160" s="252"/>
      <c r="G160" s="252"/>
      <c r="H160" s="252"/>
      <c r="I160" s="252"/>
      <c r="N160" s="78"/>
    </row>
    <row r="161" spans="1:14" s="76" customFormat="1" x14ac:dyDescent="0.2">
      <c r="A161" s="320" t="s">
        <v>380</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383</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385</v>
      </c>
      <c r="B165" s="293"/>
      <c r="C165" s="293"/>
      <c r="D165" s="293"/>
      <c r="E165" s="293"/>
      <c r="F165" s="293"/>
      <c r="G165" s="293"/>
      <c r="H165" s="293"/>
      <c r="I165" s="293"/>
      <c r="N165" s="78"/>
    </row>
    <row r="166" spans="1:14" s="76" customFormat="1" ht="15.75" customHeight="1" x14ac:dyDescent="0.2">
      <c r="A166" s="351" t="s">
        <v>384</v>
      </c>
      <c r="B166" s="293"/>
      <c r="C166" s="293"/>
      <c r="D166" s="293"/>
      <c r="E166" s="293"/>
      <c r="F166" s="293"/>
      <c r="G166" s="293"/>
      <c r="H166" s="293"/>
      <c r="I166" s="293"/>
      <c r="N166" s="78"/>
    </row>
    <row r="167" spans="1:14" s="76" customFormat="1" ht="15.75" customHeight="1" x14ac:dyDescent="0.2">
      <c r="A167" s="320" t="s">
        <v>386</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388</v>
      </c>
      <c r="B169" s="343"/>
      <c r="C169" s="343"/>
      <c r="D169" s="343"/>
      <c r="E169" s="343"/>
      <c r="F169" s="343"/>
      <c r="G169" s="343"/>
      <c r="H169" s="343"/>
      <c r="I169" s="343"/>
      <c r="N169" s="78"/>
    </row>
    <row r="170" spans="1:14" s="76" customFormat="1" ht="15.75" customHeight="1" x14ac:dyDescent="0.2">
      <c r="A170" s="351" t="s">
        <v>387</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389</v>
      </c>
      <c r="B175" s="293"/>
      <c r="C175" s="293"/>
      <c r="D175" s="293"/>
      <c r="E175" s="293"/>
      <c r="F175" s="293"/>
      <c r="G175" s="293"/>
      <c r="H175" s="293"/>
      <c r="I175" s="293"/>
      <c r="J175" s="3"/>
      <c r="K175" s="3"/>
      <c r="L175" s="3"/>
      <c r="M175" s="3"/>
      <c r="N175" s="78"/>
    </row>
    <row r="176" spans="1:14" s="76" customFormat="1" ht="15.75" customHeight="1" x14ac:dyDescent="0.2">
      <c r="A176" s="361" t="s">
        <v>390</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A126:C126"/>
    <mergeCell ref="F126:H126"/>
    <mergeCell ref="N130:T130"/>
    <mergeCell ref="A128:H128"/>
    <mergeCell ref="A132:G132"/>
    <mergeCell ref="N135:U135"/>
    <mergeCell ref="A133:G133"/>
    <mergeCell ref="N136:U136"/>
    <mergeCell ref="N126:P126"/>
    <mergeCell ref="N132:T132"/>
    <mergeCell ref="N133:T133"/>
    <mergeCell ref="A123:B123"/>
    <mergeCell ref="F123:G123"/>
    <mergeCell ref="N123:O123"/>
    <mergeCell ref="P123:Q123"/>
    <mergeCell ref="R123:S123"/>
    <mergeCell ref="A124:B124"/>
    <mergeCell ref="N124:O124"/>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9">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6" t="s">
        <v>15</v>
      </c>
      <c r="C1" s="567"/>
      <c r="D1" s="567"/>
      <c r="E1" s="567"/>
      <c r="F1" s="567"/>
      <c r="G1" s="567"/>
      <c r="H1" s="567"/>
      <c r="I1" s="567"/>
      <c r="J1" s="135"/>
      <c r="K1" s="135"/>
      <c r="L1" s="135"/>
      <c r="N1" s="82">
        <f>A1</f>
        <v>0</v>
      </c>
      <c r="O1" s="658" t="s">
        <v>15</v>
      </c>
      <c r="P1" s="659"/>
      <c r="Q1" s="659"/>
      <c r="R1" s="659"/>
      <c r="S1" s="659"/>
      <c r="T1" s="659"/>
      <c r="U1" s="659"/>
    </row>
    <row r="2" spans="1:21" ht="21" x14ac:dyDescent="0.35">
      <c r="A2" s="1" t="s">
        <v>266</v>
      </c>
      <c r="B2" s="2"/>
      <c r="C2" s="2"/>
      <c r="D2" s="2"/>
      <c r="E2" s="2"/>
      <c r="F2" s="2"/>
      <c r="G2" s="2"/>
      <c r="H2" s="2"/>
      <c r="I2" s="2"/>
      <c r="N2" s="660" t="s">
        <v>18</v>
      </c>
      <c r="O2" s="660"/>
      <c r="P2" s="660"/>
      <c r="Q2" s="660"/>
      <c r="R2" s="660"/>
      <c r="S2" s="660"/>
      <c r="T2" s="660"/>
      <c r="U2" s="660"/>
    </row>
    <row r="3" spans="1:21" x14ac:dyDescent="0.25">
      <c r="A3" s="81" t="str">
        <f>'1461'!A3</f>
        <v>Based on the FLDOE 2024-25 Conference Calculation</v>
      </c>
      <c r="N3" s="627" t="str">
        <f>A3</f>
        <v>Based on the FLDOE 2024-25 Conference Calculation</v>
      </c>
      <c r="O3" s="627"/>
      <c r="P3" s="627"/>
      <c r="Q3" s="627"/>
      <c r="R3" s="627"/>
      <c r="S3" s="627"/>
      <c r="T3" s="627"/>
      <c r="U3" s="627"/>
    </row>
    <row r="4" spans="1:21" x14ac:dyDescent="0.25">
      <c r="A4" s="568" t="s">
        <v>0</v>
      </c>
      <c r="B4" s="568"/>
      <c r="C4" s="569" t="s">
        <v>9</v>
      </c>
      <c r="D4" s="569"/>
      <c r="E4" s="569"/>
      <c r="F4" s="4" t="str">
        <f>'1461'!F4</f>
        <v>July 2024</v>
      </c>
      <c r="G4" s="4"/>
      <c r="H4" s="4"/>
      <c r="I4" s="4"/>
      <c r="N4" s="661" t="s">
        <v>0</v>
      </c>
      <c r="O4" s="661"/>
      <c r="P4" s="662" t="str">
        <f>C4</f>
        <v>Palm Beach</v>
      </c>
      <c r="Q4" s="662"/>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70" t="s">
        <v>433</v>
      </c>
      <c r="B7" s="664"/>
      <c r="C7" s="664"/>
      <c r="D7" s="664"/>
      <c r="E7" s="664"/>
      <c r="F7" s="664"/>
      <c r="G7" s="664"/>
      <c r="H7" s="664"/>
      <c r="I7" s="664"/>
      <c r="N7" s="661" t="str">
        <f>A7</f>
        <v>1A.   2023-24 FEFP State and Local Funding</v>
      </c>
      <c r="O7" s="661"/>
      <c r="P7" s="661"/>
      <c r="Q7" s="661"/>
      <c r="R7" s="661"/>
      <c r="S7" s="661"/>
      <c r="T7" s="661"/>
      <c r="U7" s="661"/>
    </row>
    <row r="8" spans="1:21" x14ac:dyDescent="0.25">
      <c r="A8" s="84"/>
      <c r="B8" s="85" t="s">
        <v>92</v>
      </c>
      <c r="C8" s="299">
        <f>'1461'!C8</f>
        <v>5330.98</v>
      </c>
      <c r="D8" s="86"/>
      <c r="E8" s="87"/>
      <c r="F8" s="84"/>
      <c r="G8" s="85" t="s">
        <v>393</v>
      </c>
      <c r="H8" s="287">
        <f>'1461'!H8</f>
        <v>1.0407999999999999</v>
      </c>
      <c r="I8" s="75"/>
      <c r="N8" s="665" t="s">
        <v>10</v>
      </c>
      <c r="O8" s="665"/>
      <c r="P8" s="666">
        <f>C8</f>
        <v>5330.98</v>
      </c>
      <c r="Q8" s="666"/>
      <c r="R8" s="648" t="s">
        <v>394</v>
      </c>
      <c r="S8" s="649"/>
      <c r="T8" s="650">
        <f>H8</f>
        <v>1.0407999999999999</v>
      </c>
      <c r="U8" s="650"/>
    </row>
    <row r="9" spans="1:21" x14ac:dyDescent="0.25">
      <c r="A9" s="84"/>
      <c r="B9" s="85"/>
      <c r="C9" s="222"/>
      <c r="D9" s="86"/>
      <c r="E9" s="87"/>
      <c r="F9" s="84"/>
      <c r="G9" s="85" t="s">
        <v>391</v>
      </c>
      <c r="H9" s="287">
        <f>'1461'!H9</f>
        <v>1</v>
      </c>
      <c r="I9" s="75"/>
      <c r="N9" s="12"/>
      <c r="O9" s="12"/>
      <c r="P9" s="13"/>
      <c r="Q9" s="13"/>
      <c r="R9" s="387" t="s">
        <v>392</v>
      </c>
      <c r="S9" s="384"/>
      <c r="T9" s="650">
        <f>H9</f>
        <v>1</v>
      </c>
      <c r="U9" s="650"/>
    </row>
    <row r="10" spans="1:21" x14ac:dyDescent="0.25">
      <c r="A10" s="7"/>
      <c r="B10" s="42" t="s">
        <v>310</v>
      </c>
      <c r="C10" s="334" t="str">
        <f>'1461'!C10</f>
        <v xml:space="preserve"> </v>
      </c>
      <c r="D10" s="334" t="str">
        <f>'1461'!D10</f>
        <v xml:space="preserve"> </v>
      </c>
      <c r="E10" s="8"/>
      <c r="F10" s="9"/>
      <c r="G10" s="9"/>
      <c r="H10" s="10"/>
      <c r="I10" s="305" t="str">
        <f>'1461'!I10</f>
        <v>2024-25</v>
      </c>
      <c r="N10" s="12"/>
      <c r="O10" s="12"/>
      <c r="P10" s="13"/>
      <c r="Q10" s="13"/>
      <c r="R10" s="14"/>
      <c r="S10" s="14"/>
      <c r="T10" s="15"/>
      <c r="U10" s="366" t="str">
        <f>I10</f>
        <v>2024-25</v>
      </c>
    </row>
    <row r="11" spans="1:21" x14ac:dyDescent="0.25">
      <c r="A11" s="7"/>
      <c r="B11" s="7"/>
      <c r="C11" s="88" t="str">
        <f>'1461'!C11</f>
        <v>Oct 2023</v>
      </c>
      <c r="D11" s="333" t="str">
        <f>'1461'!D11</f>
        <v>Feb 2024</v>
      </c>
      <c r="E11" s="89" t="s">
        <v>8</v>
      </c>
      <c r="F11" s="571" t="s">
        <v>1</v>
      </c>
      <c r="G11" s="571"/>
      <c r="H11" s="10" t="s">
        <v>60</v>
      </c>
      <c r="I11" s="11" t="s">
        <v>27</v>
      </c>
      <c r="N11" s="12"/>
      <c r="O11" s="12"/>
      <c r="P11" s="13"/>
      <c r="Q11" s="13"/>
      <c r="R11" s="651" t="s">
        <v>1</v>
      </c>
      <c r="S11" s="651"/>
      <c r="T11" s="15" t="s">
        <v>60</v>
      </c>
      <c r="U11" s="16" t="s">
        <v>27</v>
      </c>
    </row>
    <row r="12" spans="1:21" ht="15.75" customHeight="1" x14ac:dyDescent="0.25">
      <c r="A12" s="572" t="s">
        <v>1</v>
      </c>
      <c r="B12" s="572"/>
      <c r="C12" s="326" t="str">
        <f>'1461'!C12</f>
        <v>FTE</v>
      </c>
      <c r="D12" s="324" t="str">
        <f>'1461'!D12</f>
        <v>FTE</v>
      </c>
      <c r="E12" s="324" t="s">
        <v>2</v>
      </c>
      <c r="F12" s="573" t="s">
        <v>63</v>
      </c>
      <c r="G12" s="573"/>
      <c r="H12" s="17" t="s">
        <v>59</v>
      </c>
      <c r="I12" s="388" t="s">
        <v>395</v>
      </c>
      <c r="N12" s="639" t="s">
        <v>1</v>
      </c>
      <c r="O12" s="639"/>
      <c r="P12" s="652" t="s">
        <v>19</v>
      </c>
      <c r="Q12" s="652"/>
      <c r="R12" s="653" t="s">
        <v>63</v>
      </c>
      <c r="S12" s="653"/>
      <c r="T12" s="18" t="s">
        <v>59</v>
      </c>
      <c r="U12" s="19" t="str">
        <f>I12</f>
        <v>(WFTE x BSA x CWF x SDF)</v>
      </c>
    </row>
    <row r="13" spans="1:21" x14ac:dyDescent="0.25">
      <c r="A13" s="574" t="s">
        <v>36</v>
      </c>
      <c r="B13" s="574"/>
      <c r="C13" s="91"/>
      <c r="D13" s="91"/>
      <c r="E13" s="92" t="s">
        <v>37</v>
      </c>
      <c r="F13" s="575" t="s">
        <v>38</v>
      </c>
      <c r="G13" s="575"/>
      <c r="H13" s="20" t="s">
        <v>39</v>
      </c>
      <c r="I13" s="21" t="s">
        <v>40</v>
      </c>
      <c r="N13" s="654" t="s">
        <v>36</v>
      </c>
      <c r="O13" s="654"/>
      <c r="P13" s="655" t="s">
        <v>37</v>
      </c>
      <c r="Q13" s="655"/>
      <c r="R13" s="656" t="s">
        <v>38</v>
      </c>
      <c r="S13" s="656"/>
      <c r="T13" s="22" t="s">
        <v>39</v>
      </c>
      <c r="U13" s="23" t="s">
        <v>40</v>
      </c>
    </row>
    <row r="14" spans="1:21" x14ac:dyDescent="0.25">
      <c r="A14" s="576" t="s">
        <v>20</v>
      </c>
      <c r="B14" s="576"/>
      <c r="C14" s="143">
        <v>0</v>
      </c>
      <c r="D14" s="141">
        <v>0</v>
      </c>
      <c r="E14" s="187">
        <f>IF(D$30=0,C14*2,C14+D14)</f>
        <v>0</v>
      </c>
      <c r="F14" s="667">
        <f>'1461'!F14:G14</f>
        <v>1.1180000000000001</v>
      </c>
      <c r="G14" s="667"/>
      <c r="H14" s="145">
        <f>ROUND(E14*F14,4)</f>
        <v>0</v>
      </c>
      <c r="I14" s="111">
        <f>ROUND(ROUND(ROUND(H14*$C$8,4)*($H$8),2)*(MAX($H$9,1)),2)</f>
        <v>0</v>
      </c>
      <c r="N14" s="641" t="s">
        <v>20</v>
      </c>
      <c r="O14" s="641"/>
      <c r="P14" s="642">
        <f t="shared" ref="P14:P29" si="0">IF($H$133=1,E14,0)</f>
        <v>0</v>
      </c>
      <c r="Q14" s="642"/>
      <c r="R14" s="657">
        <v>1</v>
      </c>
      <c r="S14" s="657"/>
      <c r="T14" s="95">
        <f>ROUND(P14*R14,4)</f>
        <v>0</v>
      </c>
      <c r="U14" s="473">
        <f>ROUND(ROUND(ROUND(T14*$C$8,4)*($H$8),2)*(MAX($H$9,1)),2)</f>
        <v>0</v>
      </c>
    </row>
    <row r="15" spans="1:21" x14ac:dyDescent="0.25">
      <c r="A15" s="578" t="s">
        <v>21</v>
      </c>
      <c r="B15" s="578"/>
      <c r="C15" s="143">
        <v>0.5</v>
      </c>
      <c r="D15" s="143">
        <v>1</v>
      </c>
      <c r="E15" s="116">
        <f t="shared" ref="E15:E29" si="1">IF(D$30=0,C15*2,C15+D15)</f>
        <v>1.5</v>
      </c>
      <c r="F15" s="663">
        <f>'1461'!F15:G15</f>
        <v>1.1180000000000001</v>
      </c>
      <c r="G15" s="663"/>
      <c r="H15" s="80">
        <f t="shared" ref="H15:H29" si="2">ROUND(E15*F15,4)</f>
        <v>1.677</v>
      </c>
      <c r="I15" s="101">
        <f t="shared" ref="I15:I29" si="3">ROUND(ROUND(ROUND(H15*$C$8,4)*($H$8),2)*(MAX($H$9,1)),2)</f>
        <v>9304.81</v>
      </c>
      <c r="J15" s="65" t="str">
        <f>IF(ROUND(E15,2)=ROUND(SUM(E57:E59),2)," ","CHECK PK-3 LINES BELOW")</f>
        <v xml:space="preserve"> </v>
      </c>
      <c r="N15" s="601" t="s">
        <v>21</v>
      </c>
      <c r="O15" s="601"/>
      <c r="P15" s="642">
        <f t="shared" si="0"/>
        <v>1.5</v>
      </c>
      <c r="Q15" s="642"/>
      <c r="R15" s="647">
        <v>1</v>
      </c>
      <c r="S15" s="647"/>
      <c r="T15" s="95">
        <f t="shared" ref="T15:T29" si="4">ROUND(P15*R15,4)</f>
        <v>1.5</v>
      </c>
      <c r="U15" s="473">
        <f t="shared" ref="U15:U29" si="5">ROUND(ROUND(ROUND(T15*$C$8,4)*($H$8),2)*(MAX($H$9,1)),2)</f>
        <v>8322.73</v>
      </c>
    </row>
    <row r="16" spans="1:21" x14ac:dyDescent="0.25">
      <c r="A16" s="578" t="s">
        <v>22</v>
      </c>
      <c r="B16" s="578"/>
      <c r="C16" s="143">
        <v>0</v>
      </c>
      <c r="D16" s="143">
        <v>0</v>
      </c>
      <c r="E16" s="116">
        <f t="shared" si="1"/>
        <v>0</v>
      </c>
      <c r="F16" s="663">
        <f>'1461'!F16:G16</f>
        <v>1</v>
      </c>
      <c r="G16" s="663"/>
      <c r="H16" s="80">
        <f t="shared" si="2"/>
        <v>0</v>
      </c>
      <c r="I16" s="101">
        <f t="shared" si="3"/>
        <v>0</v>
      </c>
      <c r="N16" s="601" t="s">
        <v>22</v>
      </c>
      <c r="O16" s="601"/>
      <c r="P16" s="642">
        <f t="shared" si="0"/>
        <v>0</v>
      </c>
      <c r="Q16" s="642"/>
      <c r="R16" s="647">
        <v>1</v>
      </c>
      <c r="S16" s="647"/>
      <c r="T16" s="95">
        <f t="shared" si="4"/>
        <v>0</v>
      </c>
      <c r="U16" s="473">
        <f t="shared" si="5"/>
        <v>0</v>
      </c>
    </row>
    <row r="17" spans="1:21" x14ac:dyDescent="0.25">
      <c r="A17" s="578" t="s">
        <v>23</v>
      </c>
      <c r="B17" s="578"/>
      <c r="C17" s="143">
        <v>1.5</v>
      </c>
      <c r="D17" s="143">
        <v>1.5</v>
      </c>
      <c r="E17" s="116">
        <f t="shared" si="1"/>
        <v>3</v>
      </c>
      <c r="F17" s="663">
        <f>'1461'!F17:G17</f>
        <v>1</v>
      </c>
      <c r="G17" s="663"/>
      <c r="H17" s="80">
        <f t="shared" si="2"/>
        <v>3</v>
      </c>
      <c r="I17" s="101">
        <f t="shared" si="3"/>
        <v>16645.45</v>
      </c>
      <c r="J17" s="65" t="str">
        <f>IF(ROUND(E17,2)=ROUND(SUM(E60:E62),2)," ","CHECK 4-8 LINES BELOW")</f>
        <v xml:space="preserve"> </v>
      </c>
      <c r="N17" s="601" t="s">
        <v>23</v>
      </c>
      <c r="O17" s="601"/>
      <c r="P17" s="642">
        <f t="shared" si="0"/>
        <v>3</v>
      </c>
      <c r="Q17" s="642"/>
      <c r="R17" s="647">
        <v>1</v>
      </c>
      <c r="S17" s="647"/>
      <c r="T17" s="95">
        <f t="shared" si="4"/>
        <v>3</v>
      </c>
      <c r="U17" s="473">
        <f t="shared" si="5"/>
        <v>16645.45</v>
      </c>
    </row>
    <row r="18" spans="1:21" x14ac:dyDescent="0.25">
      <c r="A18" s="578" t="s">
        <v>24</v>
      </c>
      <c r="B18" s="578"/>
      <c r="C18" s="143">
        <v>0</v>
      </c>
      <c r="D18" s="143">
        <v>0</v>
      </c>
      <c r="E18" s="116">
        <f t="shared" si="1"/>
        <v>0</v>
      </c>
      <c r="F18" s="663">
        <f>'1461'!F18:G18</f>
        <v>0.97799999999999998</v>
      </c>
      <c r="G18" s="663"/>
      <c r="H18" s="80">
        <f t="shared" si="2"/>
        <v>0</v>
      </c>
      <c r="I18" s="101">
        <f t="shared" si="3"/>
        <v>0</v>
      </c>
      <c r="N18" s="601" t="s">
        <v>24</v>
      </c>
      <c r="O18" s="601"/>
      <c r="P18" s="642">
        <f t="shared" si="0"/>
        <v>0</v>
      </c>
      <c r="Q18" s="642"/>
      <c r="R18" s="647">
        <v>1</v>
      </c>
      <c r="S18" s="647"/>
      <c r="T18" s="95">
        <f t="shared" si="4"/>
        <v>0</v>
      </c>
      <c r="U18" s="473">
        <f t="shared" si="5"/>
        <v>0</v>
      </c>
    </row>
    <row r="19" spans="1:21" x14ac:dyDescent="0.25">
      <c r="A19" s="578" t="s">
        <v>25</v>
      </c>
      <c r="B19" s="578"/>
      <c r="C19" s="143">
        <v>0</v>
      </c>
      <c r="D19" s="143">
        <v>0</v>
      </c>
      <c r="E19" s="116">
        <f t="shared" si="1"/>
        <v>0</v>
      </c>
      <c r="F19" s="663">
        <f>'1461'!F19:G19</f>
        <v>0.97799999999999998</v>
      </c>
      <c r="G19" s="663"/>
      <c r="H19" s="80">
        <f t="shared" si="2"/>
        <v>0</v>
      </c>
      <c r="I19" s="101">
        <f t="shared" si="3"/>
        <v>0</v>
      </c>
      <c r="J19" s="65" t="str">
        <f>IF(ROUND(E19,2)=ROUND(SUM(E63:E65),2)," ","CHECK 4-8 LINES BELOW")</f>
        <v xml:space="preserve"> </v>
      </c>
      <c r="N19" s="601" t="s">
        <v>25</v>
      </c>
      <c r="O19" s="601"/>
      <c r="P19" s="642">
        <f t="shared" si="0"/>
        <v>0</v>
      </c>
      <c r="Q19" s="642"/>
      <c r="R19" s="647">
        <v>1</v>
      </c>
      <c r="S19" s="647"/>
      <c r="T19" s="95">
        <f t="shared" si="4"/>
        <v>0</v>
      </c>
      <c r="U19" s="472">
        <f t="shared" si="5"/>
        <v>0</v>
      </c>
    </row>
    <row r="20" spans="1:21" x14ac:dyDescent="0.25">
      <c r="A20" s="578" t="s">
        <v>79</v>
      </c>
      <c r="B20" s="578"/>
      <c r="C20" s="143">
        <v>10.5</v>
      </c>
      <c r="D20" s="143">
        <v>11</v>
      </c>
      <c r="E20" s="116">
        <f t="shared" si="1"/>
        <v>21.5</v>
      </c>
      <c r="F20" s="663">
        <f>'1461'!F20:G20</f>
        <v>3.6970000000000001</v>
      </c>
      <c r="G20" s="663"/>
      <c r="H20" s="80">
        <f t="shared" si="2"/>
        <v>79.485500000000002</v>
      </c>
      <c r="I20" s="101">
        <f t="shared" si="3"/>
        <v>441024.02</v>
      </c>
      <c r="N20" s="601" t="s">
        <v>79</v>
      </c>
      <c r="O20" s="601"/>
      <c r="P20" s="642">
        <f t="shared" si="0"/>
        <v>21.5</v>
      </c>
      <c r="Q20" s="642"/>
      <c r="R20" s="647">
        <v>1</v>
      </c>
      <c r="S20" s="647"/>
      <c r="T20" s="95">
        <f t="shared" si="4"/>
        <v>21.5</v>
      </c>
      <c r="U20" s="473">
        <f t="shared" si="5"/>
        <v>119292.41</v>
      </c>
    </row>
    <row r="21" spans="1:21" x14ac:dyDescent="0.25">
      <c r="A21" s="578" t="s">
        <v>80</v>
      </c>
      <c r="B21" s="578"/>
      <c r="C21" s="143">
        <v>10</v>
      </c>
      <c r="D21" s="143">
        <v>9.5</v>
      </c>
      <c r="E21" s="116">
        <f t="shared" si="1"/>
        <v>19.5</v>
      </c>
      <c r="F21" s="663">
        <f>'1461'!F21:G21</f>
        <v>3.6970000000000001</v>
      </c>
      <c r="G21" s="663"/>
      <c r="H21" s="80">
        <f t="shared" si="2"/>
        <v>72.091499999999996</v>
      </c>
      <c r="I21" s="101">
        <f t="shared" si="3"/>
        <v>399998.53</v>
      </c>
      <c r="N21" s="601" t="s">
        <v>80</v>
      </c>
      <c r="O21" s="601"/>
      <c r="P21" s="642">
        <f t="shared" si="0"/>
        <v>19.5</v>
      </c>
      <c r="Q21" s="642"/>
      <c r="R21" s="647">
        <v>1</v>
      </c>
      <c r="S21" s="647"/>
      <c r="T21" s="95">
        <f t="shared" si="4"/>
        <v>19.5</v>
      </c>
      <c r="U21" s="473">
        <f t="shared" si="5"/>
        <v>108195.44</v>
      </c>
    </row>
    <row r="22" spans="1:21" x14ac:dyDescent="0.25">
      <c r="A22" s="578" t="s">
        <v>81</v>
      </c>
      <c r="B22" s="578"/>
      <c r="C22" s="143">
        <v>0</v>
      </c>
      <c r="D22" s="143">
        <v>0</v>
      </c>
      <c r="E22" s="116">
        <f t="shared" si="1"/>
        <v>0</v>
      </c>
      <c r="F22" s="663">
        <f>'1461'!F22:G22</f>
        <v>3.6970000000000001</v>
      </c>
      <c r="G22" s="663"/>
      <c r="H22" s="80">
        <f t="shared" si="2"/>
        <v>0</v>
      </c>
      <c r="I22" s="101">
        <f t="shared" si="3"/>
        <v>0</v>
      </c>
      <c r="N22" s="601" t="s">
        <v>81</v>
      </c>
      <c r="O22" s="601"/>
      <c r="P22" s="642">
        <f t="shared" si="0"/>
        <v>0</v>
      </c>
      <c r="Q22" s="642"/>
      <c r="R22" s="647">
        <v>1</v>
      </c>
      <c r="S22" s="647"/>
      <c r="T22" s="95">
        <f t="shared" si="4"/>
        <v>0</v>
      </c>
      <c r="U22" s="473">
        <f t="shared" si="5"/>
        <v>0</v>
      </c>
    </row>
    <row r="23" spans="1:21" x14ac:dyDescent="0.25">
      <c r="A23" s="578" t="s">
        <v>82</v>
      </c>
      <c r="B23" s="578"/>
      <c r="C23" s="143">
        <v>13</v>
      </c>
      <c r="D23" s="143">
        <v>13.5</v>
      </c>
      <c r="E23" s="116">
        <f t="shared" si="1"/>
        <v>26.5</v>
      </c>
      <c r="F23" s="663">
        <f>'1461'!F23:G23</f>
        <v>5.992</v>
      </c>
      <c r="G23" s="663"/>
      <c r="H23" s="80">
        <f t="shared" si="2"/>
        <v>158.78800000000001</v>
      </c>
      <c r="I23" s="101">
        <f t="shared" si="3"/>
        <v>881032.67</v>
      </c>
      <c r="N23" s="601" t="s">
        <v>82</v>
      </c>
      <c r="O23" s="601"/>
      <c r="P23" s="642">
        <f t="shared" si="0"/>
        <v>26.5</v>
      </c>
      <c r="Q23" s="642"/>
      <c r="R23" s="647">
        <v>1</v>
      </c>
      <c r="S23" s="647"/>
      <c r="T23" s="95">
        <f t="shared" si="4"/>
        <v>26.5</v>
      </c>
      <c r="U23" s="473">
        <f t="shared" si="5"/>
        <v>147034.82999999999</v>
      </c>
    </row>
    <row r="24" spans="1:21" x14ac:dyDescent="0.25">
      <c r="A24" s="578" t="s">
        <v>83</v>
      </c>
      <c r="B24" s="578"/>
      <c r="C24" s="143">
        <v>9</v>
      </c>
      <c r="D24" s="143">
        <v>8.5</v>
      </c>
      <c r="E24" s="116">
        <f t="shared" si="1"/>
        <v>17.5</v>
      </c>
      <c r="F24" s="663">
        <f>'1461'!F24:G24</f>
        <v>5.992</v>
      </c>
      <c r="G24" s="663"/>
      <c r="H24" s="80">
        <f t="shared" si="2"/>
        <v>104.86</v>
      </c>
      <c r="I24" s="101">
        <f t="shared" si="3"/>
        <v>581814.03</v>
      </c>
      <c r="N24" s="601" t="s">
        <v>83</v>
      </c>
      <c r="O24" s="601"/>
      <c r="P24" s="642">
        <f t="shared" si="0"/>
        <v>17.5</v>
      </c>
      <c r="Q24" s="642"/>
      <c r="R24" s="647">
        <v>1</v>
      </c>
      <c r="S24" s="647"/>
      <c r="T24" s="95">
        <f t="shared" si="4"/>
        <v>17.5</v>
      </c>
      <c r="U24" s="473">
        <f t="shared" si="5"/>
        <v>97098.47</v>
      </c>
    </row>
    <row r="25" spans="1:21" x14ac:dyDescent="0.25">
      <c r="A25" s="578" t="s">
        <v>84</v>
      </c>
      <c r="B25" s="578"/>
      <c r="C25" s="143">
        <v>0</v>
      </c>
      <c r="D25" s="143">
        <v>0</v>
      </c>
      <c r="E25" s="116">
        <f t="shared" si="1"/>
        <v>0</v>
      </c>
      <c r="F25" s="663">
        <f>'1461'!F25:G25</f>
        <v>5.992</v>
      </c>
      <c r="G25" s="663"/>
      <c r="H25" s="80">
        <f t="shared" si="2"/>
        <v>0</v>
      </c>
      <c r="I25" s="101">
        <f t="shared" si="3"/>
        <v>0</v>
      </c>
      <c r="N25" s="601" t="s">
        <v>84</v>
      </c>
      <c r="O25" s="601"/>
      <c r="P25" s="642">
        <f t="shared" si="0"/>
        <v>0</v>
      </c>
      <c r="Q25" s="642"/>
      <c r="R25" s="647">
        <v>1</v>
      </c>
      <c r="S25" s="647"/>
      <c r="T25" s="95">
        <f t="shared" si="4"/>
        <v>0</v>
      </c>
      <c r="U25" s="473">
        <f t="shared" si="5"/>
        <v>0</v>
      </c>
    </row>
    <row r="26" spans="1:21" x14ac:dyDescent="0.25">
      <c r="A26" s="578" t="s">
        <v>85</v>
      </c>
      <c r="B26" s="578"/>
      <c r="C26" s="143">
        <v>0</v>
      </c>
      <c r="D26" s="143">
        <v>0</v>
      </c>
      <c r="E26" s="116">
        <f t="shared" si="1"/>
        <v>0</v>
      </c>
      <c r="F26" s="663">
        <f>'1461'!F26:G26</f>
        <v>1.1919999999999999</v>
      </c>
      <c r="G26" s="663"/>
      <c r="H26" s="80">
        <f t="shared" si="2"/>
        <v>0</v>
      </c>
      <c r="I26" s="101">
        <f t="shared" si="3"/>
        <v>0</v>
      </c>
      <c r="N26" s="601" t="s">
        <v>85</v>
      </c>
      <c r="O26" s="601"/>
      <c r="P26" s="642">
        <f t="shared" si="0"/>
        <v>0</v>
      </c>
      <c r="Q26" s="642"/>
      <c r="R26" s="647">
        <v>1</v>
      </c>
      <c r="S26" s="647"/>
      <c r="T26" s="95">
        <f t="shared" si="4"/>
        <v>0</v>
      </c>
      <c r="U26" s="473">
        <f t="shared" si="5"/>
        <v>0</v>
      </c>
    </row>
    <row r="27" spans="1:21" x14ac:dyDescent="0.25">
      <c r="A27" s="578" t="s">
        <v>86</v>
      </c>
      <c r="B27" s="578"/>
      <c r="C27" s="143">
        <v>0</v>
      </c>
      <c r="D27" s="143">
        <v>0</v>
      </c>
      <c r="E27" s="116">
        <f t="shared" si="1"/>
        <v>0</v>
      </c>
      <c r="F27" s="663">
        <f>'1461'!F27:G27</f>
        <v>1.1919999999999999</v>
      </c>
      <c r="G27" s="663"/>
      <c r="H27" s="80">
        <f t="shared" si="2"/>
        <v>0</v>
      </c>
      <c r="I27" s="101">
        <f t="shared" si="3"/>
        <v>0</v>
      </c>
      <c r="N27" s="601" t="s">
        <v>86</v>
      </c>
      <c r="O27" s="601"/>
      <c r="P27" s="642">
        <f t="shared" si="0"/>
        <v>0</v>
      </c>
      <c r="Q27" s="642"/>
      <c r="R27" s="647">
        <v>1</v>
      </c>
      <c r="S27" s="647"/>
      <c r="T27" s="95">
        <f t="shared" si="4"/>
        <v>0</v>
      </c>
      <c r="U27" s="473">
        <f t="shared" si="5"/>
        <v>0</v>
      </c>
    </row>
    <row r="28" spans="1:21" x14ac:dyDescent="0.25">
      <c r="A28" s="578" t="s">
        <v>87</v>
      </c>
      <c r="B28" s="578"/>
      <c r="C28" s="143">
        <v>0</v>
      </c>
      <c r="D28" s="143">
        <v>0</v>
      </c>
      <c r="E28" s="116">
        <f t="shared" si="1"/>
        <v>0</v>
      </c>
      <c r="F28" s="663">
        <f>'1461'!F28:G28</f>
        <v>1.1919999999999999</v>
      </c>
      <c r="G28" s="663"/>
      <c r="H28" s="80">
        <f t="shared" si="2"/>
        <v>0</v>
      </c>
      <c r="I28" s="101">
        <f t="shared" si="3"/>
        <v>0</v>
      </c>
      <c r="N28" s="601" t="s">
        <v>87</v>
      </c>
      <c r="O28" s="601"/>
      <c r="P28" s="642">
        <f t="shared" si="0"/>
        <v>0</v>
      </c>
      <c r="Q28" s="642"/>
      <c r="R28" s="647">
        <v>1</v>
      </c>
      <c r="S28" s="647"/>
      <c r="T28" s="95">
        <f t="shared" si="4"/>
        <v>0</v>
      </c>
      <c r="U28" s="473">
        <f t="shared" si="5"/>
        <v>0</v>
      </c>
    </row>
    <row r="29" spans="1:21" x14ac:dyDescent="0.25">
      <c r="A29" s="578" t="s">
        <v>88</v>
      </c>
      <c r="B29" s="578"/>
      <c r="C29" s="110">
        <v>0</v>
      </c>
      <c r="D29" s="110">
        <v>0</v>
      </c>
      <c r="E29" s="154">
        <f t="shared" si="1"/>
        <v>0</v>
      </c>
      <c r="F29" s="663">
        <f>'1461'!F29:G29</f>
        <v>1.079</v>
      </c>
      <c r="G29" s="663"/>
      <c r="H29" s="93">
        <f t="shared" si="2"/>
        <v>0</v>
      </c>
      <c r="I29" s="94">
        <f t="shared" si="3"/>
        <v>0</v>
      </c>
      <c r="N29" s="616" t="s">
        <v>88</v>
      </c>
      <c r="O29" s="616"/>
      <c r="P29" s="642">
        <f t="shared" si="0"/>
        <v>0</v>
      </c>
      <c r="Q29" s="642"/>
      <c r="R29" s="643">
        <v>1</v>
      </c>
      <c r="S29" s="643"/>
      <c r="T29" s="95">
        <f t="shared" si="4"/>
        <v>0</v>
      </c>
      <c r="U29" s="473">
        <f t="shared" si="5"/>
        <v>0</v>
      </c>
    </row>
    <row r="30" spans="1:21" x14ac:dyDescent="0.25">
      <c r="A30" s="590" t="s">
        <v>5</v>
      </c>
      <c r="B30" s="590"/>
      <c r="C30" s="94">
        <f>SUM(C14:C29)</f>
        <v>44.5</v>
      </c>
      <c r="D30" s="94">
        <f>SUM(D14:D29)</f>
        <v>45</v>
      </c>
      <c r="E30" s="94">
        <f>SUM(E14:E29)</f>
        <v>89.5</v>
      </c>
      <c r="F30" s="582"/>
      <c r="G30" s="582"/>
      <c r="H30" s="99">
        <f>SUM(H14:H29)</f>
        <v>419.90200000000004</v>
      </c>
      <c r="I30" s="94">
        <f>SUM(I14:I29)</f>
        <v>2329819.5099999998</v>
      </c>
      <c r="N30" s="644" t="s">
        <v>5</v>
      </c>
      <c r="O30" s="644"/>
      <c r="P30" s="645">
        <f>SUM(P14:P29)</f>
        <v>89.5</v>
      </c>
      <c r="Q30" s="645"/>
      <c r="R30" s="617"/>
      <c r="S30" s="617"/>
      <c r="T30" s="100">
        <f>SUM(T14:T29)</f>
        <v>89.5</v>
      </c>
      <c r="U30" s="473">
        <f>SUM(U14:U29)</f>
        <v>496589.32999999996</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0" t="s">
        <v>233</v>
      </c>
      <c r="G34" s="670"/>
      <c r="H34" s="670"/>
      <c r="I34" s="101"/>
      <c r="N34" s="28"/>
      <c r="O34" s="28"/>
      <c r="P34" s="29"/>
      <c r="Q34" s="29"/>
      <c r="R34" s="30"/>
      <c r="S34" s="30"/>
      <c r="T34" s="102"/>
      <c r="U34" s="103"/>
    </row>
    <row r="35" spans="1:21" hidden="1" x14ac:dyDescent="0.25">
      <c r="A35" s="3"/>
      <c r="B35" s="69"/>
      <c r="C35" s="69"/>
      <c r="D35" s="69"/>
      <c r="E35" s="69"/>
      <c r="F35" s="670"/>
      <c r="G35" s="670"/>
      <c r="H35" s="670"/>
      <c r="I35" s="24" t="s">
        <v>61</v>
      </c>
      <c r="N35" s="627" t="s">
        <v>26</v>
      </c>
      <c r="O35" s="627"/>
      <c r="P35" s="627"/>
      <c r="Q35" s="627"/>
      <c r="R35" s="627"/>
      <c r="S35" s="627"/>
      <c r="T35" s="627"/>
      <c r="U35" s="25" t="str">
        <f>I35</f>
        <v>2015-16</v>
      </c>
    </row>
    <row r="36" spans="1:21" hidden="1" x14ac:dyDescent="0.25">
      <c r="A36" s="26"/>
      <c r="B36" s="26"/>
      <c r="C36" s="88" t="s">
        <v>93</v>
      </c>
      <c r="D36" s="88" t="s">
        <v>94</v>
      </c>
      <c r="E36" s="89" t="s">
        <v>8</v>
      </c>
      <c r="F36" s="670"/>
      <c r="G36" s="670"/>
      <c r="H36" s="670"/>
      <c r="I36" s="24" t="s">
        <v>27</v>
      </c>
      <c r="N36" s="28"/>
      <c r="O36" s="28"/>
      <c r="P36" s="29"/>
      <c r="Q36" s="29"/>
      <c r="R36" s="30"/>
      <c r="S36" s="30"/>
      <c r="T36" s="102"/>
      <c r="U36" s="25" t="s">
        <v>27</v>
      </c>
    </row>
    <row r="37" spans="1:21" ht="26.25" hidden="1" x14ac:dyDescent="0.25">
      <c r="A37" s="572" t="s">
        <v>50</v>
      </c>
      <c r="B37" s="572"/>
      <c r="C37" s="90" t="s">
        <v>2</v>
      </c>
      <c r="D37" s="90" t="s">
        <v>2</v>
      </c>
      <c r="E37" s="90" t="s">
        <v>2</v>
      </c>
      <c r="F37" s="671"/>
      <c r="G37" s="671"/>
      <c r="H37" s="671"/>
      <c r="I37" s="31" t="s">
        <v>395</v>
      </c>
      <c r="N37" s="639" t="s">
        <v>50</v>
      </c>
      <c r="O37" s="639"/>
      <c r="P37" s="640" t="s">
        <v>19</v>
      </c>
      <c r="Q37" s="640"/>
      <c r="R37" s="640"/>
      <c r="S37" s="640"/>
      <c r="T37" s="640"/>
      <c r="U37" s="19" t="str">
        <f>I37</f>
        <v>(WFTE x BSA x CWF x SDF)</v>
      </c>
    </row>
    <row r="38" spans="1:21" hidden="1" x14ac:dyDescent="0.25">
      <c r="A38" s="576" t="s">
        <v>45</v>
      </c>
      <c r="B38" s="576"/>
      <c r="C38" s="147">
        <v>0</v>
      </c>
      <c r="D38" s="147">
        <v>0</v>
      </c>
      <c r="E38" s="142">
        <f t="shared" ref="E38:E43" si="6">IF(D$44=0,C38*2,C38+D38)</f>
        <v>0</v>
      </c>
      <c r="F38" s="148"/>
      <c r="G38" s="148"/>
      <c r="H38" s="148"/>
      <c r="I38" s="111">
        <f>ROUND(ROUND(ROUND(E38*$C$8,4)*($H$8),2)*(MAX($H$9,1)),2)</f>
        <v>0</v>
      </c>
      <c r="N38" s="641" t="s">
        <v>45</v>
      </c>
      <c r="O38" s="641"/>
      <c r="P38" s="608">
        <f t="shared" ref="P38:P43" si="7">IF($H$133=1,E38,0)</f>
        <v>0</v>
      </c>
      <c r="Q38" s="608"/>
      <c r="R38" s="608"/>
      <c r="S38" s="608"/>
      <c r="T38" s="608"/>
      <c r="U38" s="98">
        <f>ROUND(ROUND(ROUND(P38*$C$8,4)*($H$8),2)*(MAX($H$9,1)),2)</f>
        <v>0</v>
      </c>
    </row>
    <row r="39" spans="1:21" hidden="1" x14ac:dyDescent="0.25">
      <c r="A39" s="578" t="s">
        <v>46</v>
      </c>
      <c r="B39" s="578"/>
      <c r="C39" s="150">
        <v>0</v>
      </c>
      <c r="D39" s="150">
        <v>0</v>
      </c>
      <c r="E39" s="144">
        <f t="shared" si="6"/>
        <v>0</v>
      </c>
      <c r="F39" s="151"/>
      <c r="G39" s="151"/>
      <c r="H39" s="151"/>
      <c r="I39" s="101">
        <f t="shared" ref="I39:I43" si="8">ROUND(ROUND(ROUND(E39*$C$8,4)*($H$8),2)*(MAX($H$9,1)),2)</f>
        <v>0</v>
      </c>
      <c r="N39" s="601" t="s">
        <v>46</v>
      </c>
      <c r="O39" s="601"/>
      <c r="P39" s="608">
        <f t="shared" si="7"/>
        <v>0</v>
      </c>
      <c r="Q39" s="608"/>
      <c r="R39" s="608"/>
      <c r="S39" s="608"/>
      <c r="T39" s="608"/>
      <c r="U39" s="98">
        <f t="shared" ref="U39:U43" si="9">ROUND(ROUND(ROUND(P39*$C$8,4)*($H$8),2)*(MAX($H$9,1)),2)</f>
        <v>0</v>
      </c>
    </row>
    <row r="40" spans="1:21" hidden="1" x14ac:dyDescent="0.25">
      <c r="A40" s="583" t="s">
        <v>47</v>
      </c>
      <c r="B40" s="583"/>
      <c r="C40" s="150">
        <v>0</v>
      </c>
      <c r="D40" s="150">
        <v>0</v>
      </c>
      <c r="E40" s="144">
        <f t="shared" si="6"/>
        <v>0</v>
      </c>
      <c r="F40" s="151"/>
      <c r="G40" s="151"/>
      <c r="H40" s="151"/>
      <c r="I40" s="101">
        <f t="shared" si="8"/>
        <v>0</v>
      </c>
      <c r="N40" s="646" t="s">
        <v>47</v>
      </c>
      <c r="O40" s="646"/>
      <c r="P40" s="608">
        <f t="shared" si="7"/>
        <v>0</v>
      </c>
      <c r="Q40" s="608"/>
      <c r="R40" s="608"/>
      <c r="S40" s="608"/>
      <c r="T40" s="608"/>
      <c r="U40" s="98">
        <f t="shared" si="9"/>
        <v>0</v>
      </c>
    </row>
    <row r="41" spans="1:21" hidden="1" x14ac:dyDescent="0.25">
      <c r="A41" s="578" t="s">
        <v>48</v>
      </c>
      <c r="B41" s="578"/>
      <c r="C41" s="150">
        <v>0</v>
      </c>
      <c r="D41" s="150">
        <v>0</v>
      </c>
      <c r="E41" s="144">
        <f t="shared" si="6"/>
        <v>0</v>
      </c>
      <c r="F41" s="151"/>
      <c r="G41" s="151"/>
      <c r="H41" s="151"/>
      <c r="I41" s="101">
        <f t="shared" si="8"/>
        <v>0</v>
      </c>
      <c r="N41" s="601" t="s">
        <v>48</v>
      </c>
      <c r="O41" s="601"/>
      <c r="P41" s="608">
        <f t="shared" si="7"/>
        <v>0</v>
      </c>
      <c r="Q41" s="608"/>
      <c r="R41" s="608"/>
      <c r="S41" s="608"/>
      <c r="T41" s="608"/>
      <c r="U41" s="98">
        <f t="shared" si="9"/>
        <v>0</v>
      </c>
    </row>
    <row r="42" spans="1:21" hidden="1" x14ac:dyDescent="0.25">
      <c r="A42" s="578" t="s">
        <v>49</v>
      </c>
      <c r="B42" s="578"/>
      <c r="C42" s="150">
        <v>0</v>
      </c>
      <c r="D42" s="150">
        <v>0</v>
      </c>
      <c r="E42" s="144">
        <f t="shared" si="6"/>
        <v>0</v>
      </c>
      <c r="F42" s="151"/>
      <c r="G42" s="151"/>
      <c r="H42" s="151"/>
      <c r="I42" s="101">
        <f t="shared" si="8"/>
        <v>0</v>
      </c>
      <c r="N42" s="601" t="s">
        <v>49</v>
      </c>
      <c r="O42" s="601"/>
      <c r="P42" s="608">
        <f t="shared" si="7"/>
        <v>0</v>
      </c>
      <c r="Q42" s="608"/>
      <c r="R42" s="608"/>
      <c r="S42" s="608"/>
      <c r="T42" s="608"/>
      <c r="U42" s="98">
        <f t="shared" si="9"/>
        <v>0</v>
      </c>
    </row>
    <row r="43" spans="1:21" hidden="1" x14ac:dyDescent="0.25">
      <c r="A43" s="578" t="s">
        <v>41</v>
      </c>
      <c r="B43" s="578"/>
      <c r="C43" s="149">
        <v>0</v>
      </c>
      <c r="D43" s="149">
        <v>0</v>
      </c>
      <c r="E43" s="136">
        <f t="shared" si="6"/>
        <v>0</v>
      </c>
      <c r="F43" s="151"/>
      <c r="G43" s="151"/>
      <c r="H43" s="151"/>
      <c r="I43" s="94">
        <f t="shared" si="8"/>
        <v>0</v>
      </c>
      <c r="N43" s="616" t="s">
        <v>41</v>
      </c>
      <c r="O43" s="616"/>
      <c r="P43" s="608">
        <f t="shared" si="7"/>
        <v>0</v>
      </c>
      <c r="Q43" s="608"/>
      <c r="R43" s="608"/>
      <c r="S43" s="608"/>
      <c r="T43" s="60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3" t="s">
        <v>43</v>
      </c>
      <c r="O44" s="603"/>
      <c r="P44" s="603"/>
      <c r="Q44" s="603"/>
      <c r="R44" s="33">
        <f>SUM(P38:R43)</f>
        <v>0</v>
      </c>
      <c r="S44" s="617" t="s">
        <v>51</v>
      </c>
      <c r="T44" s="617"/>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419.90200000000004</v>
      </c>
      <c r="F46" s="34"/>
      <c r="G46" s="106"/>
      <c r="H46" s="107" t="s">
        <v>98</v>
      </c>
      <c r="I46" s="94">
        <f>SUM(I44,I30)</f>
        <v>2329819.5099999998</v>
      </c>
      <c r="N46" s="603" t="s">
        <v>44</v>
      </c>
      <c r="O46" s="603"/>
      <c r="P46" s="603"/>
      <c r="Q46" s="603"/>
      <c r="R46" s="35">
        <f>R44+T30</f>
        <v>89.5</v>
      </c>
      <c r="S46" s="617" t="s">
        <v>42</v>
      </c>
      <c r="T46" s="617"/>
      <c r="U46" s="108">
        <f>SUM(U44,U30)</f>
        <v>496589.32999999996</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396</v>
      </c>
      <c r="B48" s="26"/>
      <c r="C48" s="26"/>
      <c r="D48" s="26"/>
      <c r="E48" s="26"/>
      <c r="F48" s="34"/>
      <c r="G48" s="27"/>
      <c r="H48" s="27"/>
      <c r="I48" s="101"/>
      <c r="N48" s="383" t="s">
        <v>396</v>
      </c>
      <c r="O48" s="28"/>
      <c r="P48" s="28"/>
      <c r="Q48" s="28"/>
      <c r="R48" s="35"/>
      <c r="S48" s="30"/>
      <c r="T48" s="30"/>
      <c r="U48" s="402"/>
    </row>
    <row r="49" spans="1:22" s="391" customFormat="1" ht="9" customHeight="1" x14ac:dyDescent="0.2">
      <c r="A49" s="481" t="s">
        <v>397</v>
      </c>
      <c r="F49" s="392"/>
      <c r="G49" s="393"/>
      <c r="H49" s="393"/>
      <c r="I49" s="394"/>
      <c r="N49" s="403" t="s">
        <v>397</v>
      </c>
      <c r="O49" s="395"/>
      <c r="P49" s="395"/>
      <c r="Q49" s="395"/>
      <c r="R49" s="396"/>
      <c r="S49" s="397"/>
      <c r="T49" s="397"/>
      <c r="U49" s="404"/>
    </row>
    <row r="50" spans="1:22" s="391" customFormat="1" ht="11.25" customHeight="1" x14ac:dyDescent="0.2">
      <c r="A50" s="483" t="s">
        <v>398</v>
      </c>
      <c r="F50" s="392"/>
      <c r="G50" s="393"/>
      <c r="H50" s="393"/>
      <c r="I50" s="394"/>
      <c r="N50" s="405" t="s">
        <v>398</v>
      </c>
      <c r="O50" s="395"/>
      <c r="P50" s="395"/>
      <c r="Q50" s="395"/>
      <c r="R50" s="396"/>
      <c r="S50" s="397"/>
      <c r="T50" s="397"/>
      <c r="U50" s="404"/>
    </row>
    <row r="51" spans="1:22" x14ac:dyDescent="0.25">
      <c r="A51" s="389"/>
      <c r="B51" s="399" t="s">
        <v>399</v>
      </c>
      <c r="C51" s="26"/>
      <c r="D51" s="26"/>
      <c r="E51" s="43" t="s">
        <v>400</v>
      </c>
      <c r="F51" s="400">
        <f>I46</f>
        <v>2329819.5099999998</v>
      </c>
      <c r="G51" s="109" t="s">
        <v>6</v>
      </c>
      <c r="H51" s="401">
        <v>4.5199999999999997E-2</v>
      </c>
      <c r="I51" s="101">
        <f>ROUND(F51*H51,2)</f>
        <v>105307.84</v>
      </c>
      <c r="N51" s="406"/>
      <c r="O51" s="407" t="s">
        <v>399</v>
      </c>
      <c r="P51" s="28"/>
      <c r="Q51" s="44" t="s">
        <v>400</v>
      </c>
      <c r="R51" s="408">
        <f>U30</f>
        <v>496589.32999999996</v>
      </c>
      <c r="S51" s="409" t="s">
        <v>6</v>
      </c>
      <c r="T51" s="410">
        <v>4.5199999999999997E-2</v>
      </c>
      <c r="U51" s="402">
        <f>ROUND(R51*T51,2)</f>
        <v>22445.84</v>
      </c>
    </row>
    <row r="52" spans="1:22" x14ac:dyDescent="0.25">
      <c r="A52" s="26"/>
      <c r="B52" s="81" t="s">
        <v>401</v>
      </c>
      <c r="C52" s="26"/>
      <c r="D52" s="26"/>
      <c r="E52" s="43" t="s">
        <v>400</v>
      </c>
      <c r="F52" s="400">
        <f>I46</f>
        <v>2329819.5099999998</v>
      </c>
      <c r="G52" s="109" t="s">
        <v>6</v>
      </c>
      <c r="H52" s="401">
        <v>1.41E-2</v>
      </c>
      <c r="I52" s="101">
        <f>ROUND(F52*H52,2)</f>
        <v>32850.46</v>
      </c>
      <c r="N52" s="28"/>
      <c r="O52" s="383" t="s">
        <v>401</v>
      </c>
      <c r="P52" s="28"/>
      <c r="Q52" s="44" t="s">
        <v>400</v>
      </c>
      <c r="R52" s="408">
        <f>U30</f>
        <v>496589.32999999996</v>
      </c>
      <c r="S52" s="409" t="s">
        <v>6</v>
      </c>
      <c r="T52" s="410">
        <v>1.41E-2</v>
      </c>
      <c r="U52" s="411">
        <f>ROUND(R52*T52,2)</f>
        <v>7001.91</v>
      </c>
    </row>
    <row r="53" spans="1:22" x14ac:dyDescent="0.25">
      <c r="A53" s="26"/>
      <c r="B53" s="81" t="s">
        <v>402</v>
      </c>
      <c r="C53" s="26"/>
      <c r="D53" s="26"/>
      <c r="E53" s="43"/>
      <c r="F53" s="400"/>
      <c r="G53" s="109"/>
      <c r="H53" s="401"/>
      <c r="I53" s="97">
        <f>SUM(I51:I52)</f>
        <v>138158.29999999999</v>
      </c>
      <c r="N53" s="28"/>
      <c r="O53" s="383" t="s">
        <v>402</v>
      </c>
      <c r="P53" s="28"/>
      <c r="Q53" s="44"/>
      <c r="R53" s="408"/>
      <c r="S53" s="409"/>
      <c r="T53" s="410"/>
      <c r="U53" s="402">
        <f>SUM(U51:U52)</f>
        <v>29447.75</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440</v>
      </c>
      <c r="G55" s="109" t="s">
        <v>441</v>
      </c>
      <c r="H55" s="454" t="s">
        <v>442</v>
      </c>
      <c r="I55" s="101"/>
      <c r="N55" s="448"/>
      <c r="O55" s="448"/>
      <c r="P55" s="464"/>
      <c r="Q55" s="465"/>
      <c r="R55" s="466"/>
      <c r="S55" s="468" t="s">
        <v>441</v>
      </c>
      <c r="T55" s="469" t="s">
        <v>442</v>
      </c>
      <c r="U55" s="467"/>
      <c r="V55" s="424"/>
    </row>
    <row r="56" spans="1:22" x14ac:dyDescent="0.25">
      <c r="A56" s="36" t="s">
        <v>443</v>
      </c>
      <c r="B56" s="36"/>
      <c r="C56" s="324" t="str">
        <f>'1461'!C56</f>
        <v>FTE</v>
      </c>
      <c r="D56" s="324" t="str">
        <f>'1461'!D56</f>
        <v>FTE</v>
      </c>
      <c r="E56" s="90" t="s">
        <v>2</v>
      </c>
      <c r="F56" s="439" t="s">
        <v>444</v>
      </c>
      <c r="G56" s="441" t="s">
        <v>444</v>
      </c>
      <c r="H56" s="455" t="s">
        <v>445</v>
      </c>
      <c r="I56" s="36"/>
      <c r="N56" s="459" t="s">
        <v>443</v>
      </c>
      <c r="O56" s="459"/>
      <c r="P56" s="620" t="s">
        <v>2</v>
      </c>
      <c r="Q56" s="620"/>
      <c r="R56" s="459" t="s">
        <v>449</v>
      </c>
      <c r="S56" s="450" t="s">
        <v>444</v>
      </c>
      <c r="T56" s="470" t="s">
        <v>445</v>
      </c>
      <c r="U56" s="459"/>
      <c r="V56" s="458"/>
    </row>
    <row r="57" spans="1:22" x14ac:dyDescent="0.25">
      <c r="A57" s="588" t="s">
        <v>447</v>
      </c>
      <c r="B57" s="588"/>
      <c r="C57" s="143">
        <v>0</v>
      </c>
      <c r="D57" s="143">
        <v>0</v>
      </c>
      <c r="E57" s="116">
        <f t="shared" ref="E57:E65" si="10">IF(D$66=0,C57*2,C57+D57)</f>
        <v>0</v>
      </c>
      <c r="F57" s="443" t="s">
        <v>439</v>
      </c>
      <c r="G57" s="443">
        <v>251</v>
      </c>
      <c r="H57" s="457">
        <f>'1461'!H57</f>
        <v>1047</v>
      </c>
      <c r="I57" s="101">
        <f>ROUND(E57*H57,2)</f>
        <v>0</v>
      </c>
      <c r="N57" s="618" t="s">
        <v>447</v>
      </c>
      <c r="O57" s="618"/>
      <c r="P57" s="621"/>
      <c r="Q57" s="621"/>
      <c r="R57" s="449" t="s">
        <v>439</v>
      </c>
      <c r="S57" s="449">
        <v>251</v>
      </c>
      <c r="T57" s="460">
        <f>H57</f>
        <v>1047</v>
      </c>
      <c r="U57" s="474">
        <f>ROUND(P57*T57,2)</f>
        <v>0</v>
      </c>
      <c r="V57" s="424"/>
    </row>
    <row r="58" spans="1:22" x14ac:dyDescent="0.25">
      <c r="A58" s="589"/>
      <c r="B58" s="589"/>
      <c r="C58" s="143">
        <v>0</v>
      </c>
      <c r="D58" s="143">
        <v>0</v>
      </c>
      <c r="E58" s="116">
        <f t="shared" si="10"/>
        <v>0</v>
      </c>
      <c r="F58" s="443" t="s">
        <v>439</v>
      </c>
      <c r="G58" s="443">
        <v>252</v>
      </c>
      <c r="H58" s="457">
        <f>'1461'!H58</f>
        <v>3380</v>
      </c>
      <c r="I58" s="101">
        <f t="shared" ref="I58:I65" si="11">ROUND(E58*H58,2)</f>
        <v>0</v>
      </c>
      <c r="N58" s="619"/>
      <c r="O58" s="619"/>
      <c r="P58" s="622"/>
      <c r="Q58" s="622"/>
      <c r="R58" s="449" t="s">
        <v>439</v>
      </c>
      <c r="S58" s="449">
        <v>252</v>
      </c>
      <c r="T58" s="460">
        <f t="shared" ref="T58:T65" si="12">H58</f>
        <v>3380</v>
      </c>
      <c r="U58" s="474">
        <f t="shared" ref="U58:U65" si="13">ROUND(P58*T58,2)</f>
        <v>0</v>
      </c>
      <c r="V58" s="424"/>
    </row>
    <row r="59" spans="1:22" x14ac:dyDescent="0.25">
      <c r="A59" s="589"/>
      <c r="B59" s="589"/>
      <c r="C59" s="143">
        <v>0.5</v>
      </c>
      <c r="D59" s="143">
        <v>1</v>
      </c>
      <c r="E59" s="116">
        <f t="shared" si="10"/>
        <v>1.5</v>
      </c>
      <c r="F59" s="443" t="s">
        <v>439</v>
      </c>
      <c r="G59" s="443">
        <v>253</v>
      </c>
      <c r="H59" s="457">
        <f>'1461'!H59</f>
        <v>6896</v>
      </c>
      <c r="I59" s="101">
        <f t="shared" si="11"/>
        <v>10344</v>
      </c>
      <c r="N59" s="619"/>
      <c r="O59" s="619"/>
      <c r="P59" s="622"/>
      <c r="Q59" s="622"/>
      <c r="R59" s="449" t="s">
        <v>439</v>
      </c>
      <c r="S59" s="449">
        <v>253</v>
      </c>
      <c r="T59" s="460">
        <f t="shared" si="12"/>
        <v>6896</v>
      </c>
      <c r="U59" s="474">
        <f t="shared" si="13"/>
        <v>0</v>
      </c>
      <c r="V59" s="424"/>
    </row>
    <row r="60" spans="1:22" x14ac:dyDescent="0.25">
      <c r="A60" s="589"/>
      <c r="B60" s="589"/>
      <c r="C60" s="143">
        <v>0</v>
      </c>
      <c r="D60" s="143">
        <v>0</v>
      </c>
      <c r="E60" s="116">
        <f t="shared" si="10"/>
        <v>0</v>
      </c>
      <c r="F60" s="444" t="s">
        <v>13</v>
      </c>
      <c r="G60" s="443">
        <v>251</v>
      </c>
      <c r="H60" s="457">
        <f>'1461'!H60</f>
        <v>1173</v>
      </c>
      <c r="I60" s="101">
        <f t="shared" si="11"/>
        <v>0</v>
      </c>
      <c r="N60" s="619"/>
      <c r="O60" s="619"/>
      <c r="P60" s="622"/>
      <c r="Q60" s="622"/>
      <c r="R60" s="40" t="s">
        <v>13</v>
      </c>
      <c r="S60" s="449">
        <v>251</v>
      </c>
      <c r="T60" s="460">
        <f t="shared" si="12"/>
        <v>1173</v>
      </c>
      <c r="U60" s="474">
        <f t="shared" si="13"/>
        <v>0</v>
      </c>
      <c r="V60" s="424"/>
    </row>
    <row r="61" spans="1:22" x14ac:dyDescent="0.25">
      <c r="A61" s="589"/>
      <c r="B61" s="589"/>
      <c r="C61" s="143">
        <v>0</v>
      </c>
      <c r="D61" s="143">
        <v>0</v>
      </c>
      <c r="E61" s="116">
        <f t="shared" si="10"/>
        <v>0</v>
      </c>
      <c r="F61" s="444" t="s">
        <v>13</v>
      </c>
      <c r="G61" s="443">
        <v>252</v>
      </c>
      <c r="H61" s="457">
        <f>'1461'!H61</f>
        <v>3506</v>
      </c>
      <c r="I61" s="101">
        <f t="shared" si="11"/>
        <v>0</v>
      </c>
      <c r="N61" s="619"/>
      <c r="O61" s="619"/>
      <c r="P61" s="622"/>
      <c r="Q61" s="622"/>
      <c r="R61" s="40" t="s">
        <v>13</v>
      </c>
      <c r="S61" s="449">
        <v>252</v>
      </c>
      <c r="T61" s="460">
        <f t="shared" si="12"/>
        <v>3506</v>
      </c>
      <c r="U61" s="474">
        <f t="shared" si="13"/>
        <v>0</v>
      </c>
      <c r="V61" s="424"/>
    </row>
    <row r="62" spans="1:22" x14ac:dyDescent="0.25">
      <c r="A62" s="589"/>
      <c r="B62" s="589"/>
      <c r="C62" s="143">
        <v>1.5</v>
      </c>
      <c r="D62" s="143">
        <v>1.5</v>
      </c>
      <c r="E62" s="116">
        <f t="shared" si="10"/>
        <v>3</v>
      </c>
      <c r="F62" s="444" t="s">
        <v>13</v>
      </c>
      <c r="G62" s="443">
        <v>253</v>
      </c>
      <c r="H62" s="457">
        <f>'1461'!H62</f>
        <v>7023</v>
      </c>
      <c r="I62" s="101">
        <f t="shared" si="11"/>
        <v>21069</v>
      </c>
      <c r="N62" s="619"/>
      <c r="O62" s="619"/>
      <c r="P62" s="622"/>
      <c r="Q62" s="622"/>
      <c r="R62" s="40" t="s">
        <v>13</v>
      </c>
      <c r="S62" s="449">
        <v>253</v>
      </c>
      <c r="T62" s="460">
        <f t="shared" si="12"/>
        <v>7023</v>
      </c>
      <c r="U62" s="474">
        <f t="shared" si="13"/>
        <v>0</v>
      </c>
      <c r="V62" s="424"/>
    </row>
    <row r="63" spans="1:22" x14ac:dyDescent="0.25">
      <c r="A63" s="589"/>
      <c r="B63" s="589"/>
      <c r="C63" s="143">
        <v>0</v>
      </c>
      <c r="D63" s="143">
        <v>0</v>
      </c>
      <c r="E63" s="116">
        <f t="shared" si="10"/>
        <v>0</v>
      </c>
      <c r="F63" s="444" t="s">
        <v>14</v>
      </c>
      <c r="G63" s="443">
        <v>251</v>
      </c>
      <c r="H63" s="457">
        <f>'1461'!H63</f>
        <v>835</v>
      </c>
      <c r="I63" s="101">
        <f t="shared" si="11"/>
        <v>0</v>
      </c>
      <c r="N63" s="619"/>
      <c r="O63" s="619"/>
      <c r="P63" s="622"/>
      <c r="Q63" s="622"/>
      <c r="R63" s="40" t="s">
        <v>14</v>
      </c>
      <c r="S63" s="449">
        <v>251</v>
      </c>
      <c r="T63" s="460">
        <f t="shared" si="12"/>
        <v>835</v>
      </c>
      <c r="U63" s="474">
        <f t="shared" si="13"/>
        <v>0</v>
      </c>
      <c r="V63" s="424"/>
    </row>
    <row r="64" spans="1:22" x14ac:dyDescent="0.25">
      <c r="A64" s="589"/>
      <c r="B64" s="589"/>
      <c r="C64" s="143">
        <v>0</v>
      </c>
      <c r="D64" s="143">
        <v>0</v>
      </c>
      <c r="E64" s="116">
        <f t="shared" si="10"/>
        <v>0</v>
      </c>
      <c r="F64" s="444" t="s">
        <v>14</v>
      </c>
      <c r="G64" s="443">
        <v>252</v>
      </c>
      <c r="H64" s="457">
        <f>'1461'!H64</f>
        <v>3168</v>
      </c>
      <c r="I64" s="101">
        <f t="shared" si="11"/>
        <v>0</v>
      </c>
      <c r="N64" s="619"/>
      <c r="O64" s="619"/>
      <c r="P64" s="622"/>
      <c r="Q64" s="622"/>
      <c r="R64" s="40" t="s">
        <v>14</v>
      </c>
      <c r="S64" s="449">
        <v>252</v>
      </c>
      <c r="T64" s="460">
        <f t="shared" si="12"/>
        <v>3168</v>
      </c>
      <c r="U64" s="474">
        <f t="shared" si="13"/>
        <v>0</v>
      </c>
      <c r="V64" s="424"/>
    </row>
    <row r="65" spans="1:22" ht="16.5" thickBot="1" x14ac:dyDescent="0.3">
      <c r="A65" s="589"/>
      <c r="B65" s="589"/>
      <c r="C65" s="143">
        <v>0</v>
      </c>
      <c r="D65" s="143">
        <v>0</v>
      </c>
      <c r="E65" s="116">
        <f t="shared" si="10"/>
        <v>0</v>
      </c>
      <c r="F65" s="444" t="s">
        <v>14</v>
      </c>
      <c r="G65" s="443">
        <v>253</v>
      </c>
      <c r="H65" s="457">
        <f>'1461'!H65</f>
        <v>6685</v>
      </c>
      <c r="I65" s="101">
        <f t="shared" si="11"/>
        <v>0</v>
      </c>
      <c r="N65" s="619"/>
      <c r="O65" s="619"/>
      <c r="P65" s="623"/>
      <c r="Q65" s="623"/>
      <c r="R65" s="40" t="s">
        <v>14</v>
      </c>
      <c r="S65" s="449">
        <v>253</v>
      </c>
      <c r="T65" s="460">
        <f t="shared" si="12"/>
        <v>6685</v>
      </c>
      <c r="U65" s="475">
        <f t="shared" si="13"/>
        <v>0</v>
      </c>
      <c r="V65" s="424"/>
    </row>
    <row r="66" spans="1:22" ht="16.5" thickBot="1" x14ac:dyDescent="0.3">
      <c r="A66" s="440"/>
      <c r="C66" s="97">
        <f>SUM(C57:C65)</f>
        <v>2</v>
      </c>
      <c r="D66" s="97">
        <f>SUM(D57:D65)</f>
        <v>2.5</v>
      </c>
      <c r="E66" s="97">
        <f>SUM(E57:E65)</f>
        <v>4.5</v>
      </c>
      <c r="F66" s="590" t="s">
        <v>448</v>
      </c>
      <c r="G66" s="590"/>
      <c r="H66" s="590"/>
      <c r="I66" s="97">
        <f>SUM(I57:I65)</f>
        <v>31413</v>
      </c>
      <c r="N66" s="446"/>
      <c r="O66" s="51"/>
      <c r="P66" s="602">
        <f>SUM(P57:P65)</f>
        <v>0</v>
      </c>
      <c r="Q66" s="602"/>
      <c r="R66" s="603" t="s">
        <v>448</v>
      </c>
      <c r="S66" s="603"/>
      <c r="T66" s="603"/>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450</v>
      </c>
      <c r="N68" s="453" t="s">
        <v>458</v>
      </c>
      <c r="O68" s="51"/>
      <c r="P68" s="51"/>
      <c r="Q68" s="51"/>
      <c r="R68" s="51"/>
      <c r="S68" s="51"/>
      <c r="T68" s="51"/>
      <c r="U68" s="51"/>
    </row>
    <row r="69" spans="1:22" x14ac:dyDescent="0.25">
      <c r="A69" s="584" t="s">
        <v>403</v>
      </c>
      <c r="B69" s="578"/>
      <c r="C69" s="112">
        <f>E30</f>
        <v>89.5</v>
      </c>
      <c r="D69" s="565" t="s">
        <v>414</v>
      </c>
      <c r="E69" s="565"/>
      <c r="F69" s="565"/>
      <c r="G69" s="565"/>
      <c r="H69" s="300">
        <f>'1461'!H69</f>
        <v>210228.91</v>
      </c>
      <c r="I69" s="113"/>
      <c r="N69" s="600" t="s">
        <v>407</v>
      </c>
      <c r="O69" s="601"/>
      <c r="P69" s="41">
        <f>P30</f>
        <v>89.5</v>
      </c>
      <c r="Q69" s="606" t="s">
        <v>409</v>
      </c>
      <c r="R69" s="607"/>
      <c r="S69" s="607"/>
      <c r="T69" s="604">
        <f>H69</f>
        <v>210228.91</v>
      </c>
      <c r="U69" s="604"/>
    </row>
    <row r="70" spans="1:22" x14ac:dyDescent="0.25">
      <c r="B70" s="69"/>
      <c r="G70" s="42" t="s">
        <v>12</v>
      </c>
      <c r="H70" s="114">
        <f>ROUND(C69/H69,6)</f>
        <v>4.26E-4</v>
      </c>
      <c r="I70" s="115"/>
      <c r="N70" s="601"/>
      <c r="O70" s="601"/>
      <c r="P70" s="601"/>
      <c r="Q70" s="601"/>
      <c r="R70" s="601"/>
      <c r="S70" s="601"/>
      <c r="T70" s="605">
        <f>ROUND(P69/T69,6)</f>
        <v>4.26E-4</v>
      </c>
      <c r="U70" s="605"/>
    </row>
    <row r="71" spans="1:22" x14ac:dyDescent="0.25">
      <c r="A71" s="442" t="s">
        <v>451</v>
      </c>
      <c r="N71" s="453" t="s">
        <v>459</v>
      </c>
      <c r="O71" s="51"/>
      <c r="P71" s="51"/>
      <c r="Q71" s="51"/>
      <c r="R71" s="51"/>
      <c r="S71" s="51"/>
      <c r="T71" s="51"/>
      <c r="U71" s="51"/>
    </row>
    <row r="72" spans="1:22" x14ac:dyDescent="0.25">
      <c r="A72" s="584" t="s">
        <v>404</v>
      </c>
      <c r="B72" s="578"/>
      <c r="C72" s="112">
        <f>H30</f>
        <v>419.90200000000004</v>
      </c>
      <c r="D72" s="565" t="s">
        <v>415</v>
      </c>
      <c r="E72" s="565"/>
      <c r="F72" s="565"/>
      <c r="G72" s="565"/>
      <c r="H72" s="301">
        <f>'1461'!H72</f>
        <v>234891.44</v>
      </c>
      <c r="I72" s="116"/>
      <c r="N72" s="600" t="s">
        <v>408</v>
      </c>
      <c r="O72" s="601"/>
      <c r="P72" s="41">
        <f>T30</f>
        <v>89.5</v>
      </c>
      <c r="Q72" s="606" t="s">
        <v>410</v>
      </c>
      <c r="R72" s="607"/>
      <c r="S72" s="607"/>
      <c r="T72" s="604">
        <f>H72</f>
        <v>234891.44</v>
      </c>
      <c r="U72" s="604"/>
    </row>
    <row r="73" spans="1:22" x14ac:dyDescent="0.25">
      <c r="G73" s="42" t="s">
        <v>12</v>
      </c>
      <c r="H73" s="114">
        <f>ROUND(C72/H72,6)</f>
        <v>1.7880000000000001E-3</v>
      </c>
      <c r="I73" s="114"/>
      <c r="N73" s="601"/>
      <c r="O73" s="601"/>
      <c r="P73" s="601"/>
      <c r="Q73" s="601"/>
      <c r="R73" s="601"/>
      <c r="S73" s="601"/>
      <c r="T73" s="605">
        <f>ROUND(P72/T72,6)</f>
        <v>3.8099999999999999E-4</v>
      </c>
      <c r="U73" s="605"/>
    </row>
    <row r="74" spans="1:22" x14ac:dyDescent="0.25">
      <c r="A74" s="417" t="s">
        <v>452</v>
      </c>
      <c r="B74" s="414"/>
      <c r="C74" s="414"/>
      <c r="D74" s="414"/>
      <c r="E74" s="414"/>
      <c r="F74" s="414"/>
      <c r="G74" s="414"/>
      <c r="H74" s="414"/>
      <c r="I74" s="414"/>
      <c r="N74" s="416" t="s">
        <v>460</v>
      </c>
      <c r="O74" s="415"/>
      <c r="P74" s="415"/>
      <c r="Q74" s="415"/>
      <c r="R74" s="415"/>
      <c r="S74" s="415"/>
      <c r="T74" s="415"/>
      <c r="U74" s="415"/>
      <c r="V74" s="414"/>
    </row>
    <row r="75" spans="1:22" x14ac:dyDescent="0.25">
      <c r="A75" s="584" t="s">
        <v>405</v>
      </c>
      <c r="B75" s="578"/>
      <c r="C75" s="112">
        <f>E30</f>
        <v>89.5</v>
      </c>
      <c r="D75" s="557" t="s">
        <v>416</v>
      </c>
      <c r="E75" s="557"/>
      <c r="F75" s="557"/>
      <c r="G75" s="557"/>
      <c r="H75" s="300">
        <f>'1461'!H75</f>
        <v>187665.41</v>
      </c>
      <c r="I75" s="113"/>
      <c r="N75" s="600" t="s">
        <v>406</v>
      </c>
      <c r="O75" s="601"/>
      <c r="P75" s="41">
        <f>P30</f>
        <v>89.5</v>
      </c>
      <c r="Q75" s="636" t="s">
        <v>411</v>
      </c>
      <c r="R75" s="637"/>
      <c r="S75" s="637"/>
      <c r="T75" s="604">
        <f>H75</f>
        <v>187665.41</v>
      </c>
      <c r="U75" s="604"/>
    </row>
    <row r="76" spans="1:22" x14ac:dyDescent="0.25">
      <c r="B76" s="69"/>
      <c r="G76" s="42" t="s">
        <v>12</v>
      </c>
      <c r="H76" s="114">
        <f>ROUND(C75/H75,6)</f>
        <v>4.7699999999999999E-4</v>
      </c>
      <c r="I76" s="115"/>
      <c r="N76" s="601"/>
      <c r="O76" s="601"/>
      <c r="P76" s="601"/>
      <c r="Q76" s="601"/>
      <c r="R76" s="601"/>
      <c r="S76" s="601"/>
      <c r="T76" s="605">
        <f>ROUND(P75/T75,6)</f>
        <v>4.7699999999999999E-4</v>
      </c>
      <c r="U76" s="605"/>
    </row>
    <row r="77" spans="1:22" x14ac:dyDescent="0.25">
      <c r="A77" s="417" t="s">
        <v>453</v>
      </c>
      <c r="B77" s="414"/>
      <c r="C77" s="414"/>
      <c r="D77" s="414"/>
      <c r="E77" s="414"/>
      <c r="F77" s="414"/>
      <c r="G77" s="414"/>
      <c r="H77" s="414"/>
      <c r="I77" s="414"/>
      <c r="N77" s="416" t="s">
        <v>461</v>
      </c>
      <c r="O77" s="415"/>
      <c r="P77" s="415"/>
      <c r="Q77" s="415"/>
      <c r="R77" s="415"/>
      <c r="S77" s="415"/>
      <c r="T77" s="415"/>
      <c r="U77" s="415"/>
      <c r="V77" s="414"/>
    </row>
    <row r="78" spans="1:22" x14ac:dyDescent="0.25">
      <c r="A78" s="584" t="s">
        <v>405</v>
      </c>
      <c r="B78" s="578"/>
      <c r="C78" s="112">
        <f>E30</f>
        <v>89.5</v>
      </c>
      <c r="D78" s="585" t="s">
        <v>417</v>
      </c>
      <c r="E78" s="585"/>
      <c r="F78" s="585"/>
      <c r="G78" s="585"/>
      <c r="H78" s="300">
        <f>'1461'!H78</f>
        <v>209892.26</v>
      </c>
      <c r="I78" s="113"/>
      <c r="N78" s="600" t="s">
        <v>406</v>
      </c>
      <c r="O78" s="601"/>
      <c r="P78" s="41">
        <f>P30</f>
        <v>89.5</v>
      </c>
      <c r="Q78" s="634" t="s">
        <v>412</v>
      </c>
      <c r="R78" s="635"/>
      <c r="S78" s="635"/>
      <c r="T78" s="604">
        <f>H78</f>
        <v>209892.26</v>
      </c>
      <c r="U78" s="604"/>
    </row>
    <row r="79" spans="1:22" x14ac:dyDescent="0.25">
      <c r="B79" s="69"/>
      <c r="G79" s="42" t="s">
        <v>12</v>
      </c>
      <c r="H79" s="114">
        <f>ROUND(C78/H78,6)</f>
        <v>4.26E-4</v>
      </c>
      <c r="I79" s="115"/>
      <c r="N79" s="601"/>
      <c r="O79" s="601"/>
      <c r="P79" s="601"/>
      <c r="Q79" s="601"/>
      <c r="R79" s="601"/>
      <c r="S79" s="601"/>
      <c r="T79" s="605">
        <f>ROUND(P78/T78,6)</f>
        <v>4.26E-4</v>
      </c>
      <c r="U79" s="605"/>
    </row>
    <row r="80" spans="1:22" x14ac:dyDescent="0.25">
      <c r="A80" s="417" t="s">
        <v>454</v>
      </c>
      <c r="B80" s="414"/>
      <c r="C80" s="414"/>
      <c r="D80" s="414"/>
      <c r="E80" s="414"/>
      <c r="F80" s="414"/>
      <c r="G80" s="414"/>
      <c r="H80" s="414"/>
      <c r="I80" s="414"/>
      <c r="N80" s="416" t="s">
        <v>462</v>
      </c>
      <c r="O80" s="415"/>
      <c r="P80" s="415"/>
      <c r="Q80" s="415"/>
      <c r="R80" s="415"/>
      <c r="S80" s="415"/>
      <c r="T80" s="415"/>
      <c r="U80" s="415"/>
      <c r="V80" s="414"/>
    </row>
    <row r="81" spans="1:21" x14ac:dyDescent="0.25">
      <c r="A81" s="584" t="s">
        <v>413</v>
      </c>
      <c r="B81" s="578"/>
      <c r="C81" s="112">
        <f>E30</f>
        <v>89.5</v>
      </c>
      <c r="D81" s="557" t="s">
        <v>418</v>
      </c>
      <c r="E81" s="557"/>
      <c r="F81" s="557"/>
      <c r="G81" s="557"/>
      <c r="H81" s="300">
        <f>'1461'!H81</f>
        <v>187328.76</v>
      </c>
      <c r="I81" s="113"/>
      <c r="N81" s="600" t="s">
        <v>419</v>
      </c>
      <c r="O81" s="601"/>
      <c r="P81" s="41">
        <f>P30</f>
        <v>89.5</v>
      </c>
      <c r="Q81" s="636" t="s">
        <v>420</v>
      </c>
      <c r="R81" s="637"/>
      <c r="S81" s="637"/>
      <c r="T81" s="604">
        <f>H81</f>
        <v>187328.76</v>
      </c>
      <c r="U81" s="604"/>
    </row>
    <row r="82" spans="1:21" x14ac:dyDescent="0.25">
      <c r="B82" s="69"/>
      <c r="G82" s="42" t="s">
        <v>12</v>
      </c>
      <c r="H82" s="114">
        <f>ROUND(C81/H81,6)</f>
        <v>4.7800000000000002E-4</v>
      </c>
      <c r="I82" s="115"/>
      <c r="N82" s="601"/>
      <c r="O82" s="601"/>
      <c r="P82" s="601"/>
      <c r="Q82" s="601"/>
      <c r="R82" s="601"/>
      <c r="S82" s="601"/>
      <c r="T82" s="605">
        <f>ROUND(P81/T81,6)</f>
        <v>4.7800000000000002E-4</v>
      </c>
      <c r="U82" s="605"/>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455</v>
      </c>
      <c r="D85" s="69"/>
      <c r="E85" s="43" t="s">
        <v>299</v>
      </c>
      <c r="F85" s="302">
        <f>'1461'!F85</f>
        <v>46163704</v>
      </c>
      <c r="G85" s="37" t="s">
        <v>6</v>
      </c>
      <c r="H85" s="422">
        <f>H79</f>
        <v>4.26E-4</v>
      </c>
      <c r="I85" s="101">
        <f>ROUND(F85*H85,2)</f>
        <v>19665.740000000002</v>
      </c>
      <c r="N85" s="453" t="s">
        <v>455</v>
      </c>
      <c r="O85" s="51"/>
      <c r="P85" s="51"/>
      <c r="Q85" s="44"/>
      <c r="R85" s="419">
        <f>F85</f>
        <v>46163704</v>
      </c>
      <c r="S85" s="38" t="s">
        <v>6</v>
      </c>
      <c r="T85" s="421">
        <f>T79</f>
        <v>4.26E-4</v>
      </c>
      <c r="U85" s="473">
        <f>ROUND(R85*T85,2)</f>
        <v>19665.740000000002</v>
      </c>
    </row>
    <row r="86" spans="1:21" x14ac:dyDescent="0.25">
      <c r="A86" s="399"/>
      <c r="D86" s="69"/>
      <c r="E86" s="43"/>
      <c r="F86" s="117"/>
      <c r="G86" s="37"/>
      <c r="H86" s="422"/>
      <c r="I86" s="101"/>
      <c r="N86" s="51"/>
      <c r="O86" s="51"/>
      <c r="P86" s="51"/>
      <c r="Q86" s="44"/>
      <c r="R86" s="420"/>
      <c r="S86" s="38"/>
      <c r="T86" s="421"/>
      <c r="U86" s="477"/>
    </row>
    <row r="87" spans="1:21" x14ac:dyDescent="0.25">
      <c r="A87" s="587" t="s">
        <v>71</v>
      </c>
      <c r="B87" s="578"/>
      <c r="C87" s="578"/>
      <c r="D87" s="69"/>
      <c r="E87" s="43"/>
      <c r="F87" s="153"/>
      <c r="G87" s="37"/>
      <c r="H87" s="422"/>
      <c r="I87" s="101"/>
      <c r="N87" s="600" t="s">
        <v>463</v>
      </c>
      <c r="O87" s="601"/>
      <c r="P87" s="601"/>
      <c r="Q87" s="51"/>
      <c r="R87" s="420"/>
      <c r="S87" s="51"/>
      <c r="T87" s="38"/>
      <c r="U87" s="478"/>
    </row>
    <row r="88" spans="1:21" x14ac:dyDescent="0.25">
      <c r="A88" s="587" t="s">
        <v>99</v>
      </c>
      <c r="B88" s="578"/>
      <c r="C88" s="578"/>
      <c r="D88" s="69"/>
      <c r="E88" s="43" t="s">
        <v>3</v>
      </c>
      <c r="F88" s="302">
        <f>'1461'!F88</f>
        <v>0</v>
      </c>
      <c r="G88" s="37" t="s">
        <v>6</v>
      </c>
      <c r="H88" s="422">
        <f>H70</f>
        <v>4.26E-4</v>
      </c>
      <c r="I88" s="101">
        <f>ROUND(F88*H88,2)</f>
        <v>0</v>
      </c>
      <c r="N88" s="638" t="s">
        <v>99</v>
      </c>
      <c r="O88" s="601"/>
      <c r="P88" s="601"/>
      <c r="Q88" s="44"/>
      <c r="R88" s="419">
        <f>F88</f>
        <v>0</v>
      </c>
      <c r="S88" s="38" t="s">
        <v>6</v>
      </c>
      <c r="T88" s="421">
        <f>T70</f>
        <v>4.26E-4</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456</v>
      </c>
      <c r="D90" s="69"/>
      <c r="E90" s="43" t="s">
        <v>421</v>
      </c>
      <c r="F90" s="302">
        <f>'1461'!F90</f>
        <v>19042026</v>
      </c>
      <c r="G90" s="37" t="s">
        <v>6</v>
      </c>
      <c r="H90" s="422">
        <f>H82</f>
        <v>4.7800000000000002E-4</v>
      </c>
      <c r="I90" s="101">
        <f>ROUND(F90*H90,2)</f>
        <v>9102.09</v>
      </c>
      <c r="N90" s="453" t="s">
        <v>456</v>
      </c>
      <c r="O90" s="51"/>
      <c r="P90" s="51"/>
      <c r="Q90" s="44"/>
      <c r="R90" s="419">
        <f>F90</f>
        <v>19042026</v>
      </c>
      <c r="S90" s="38" t="s">
        <v>6</v>
      </c>
      <c r="T90" s="421">
        <f>T82</f>
        <v>4.7800000000000002E-4</v>
      </c>
      <c r="U90" s="473">
        <f>ROUND(R90*T90,2)</f>
        <v>9102.09</v>
      </c>
    </row>
    <row r="91" spans="1:21" x14ac:dyDescent="0.25">
      <c r="A91" s="399"/>
      <c r="D91" s="69"/>
      <c r="E91" s="43"/>
      <c r="F91" s="117"/>
      <c r="G91" s="37"/>
      <c r="H91" s="422"/>
      <c r="I91" s="101"/>
      <c r="N91" s="407"/>
      <c r="O91" s="51"/>
      <c r="P91" s="51"/>
      <c r="Q91" s="44"/>
      <c r="R91" s="419"/>
      <c r="S91" s="38"/>
      <c r="T91" s="421"/>
      <c r="U91" s="473"/>
    </row>
    <row r="92" spans="1:21" x14ac:dyDescent="0.25">
      <c r="A92" s="451" t="s">
        <v>457</v>
      </c>
      <c r="D92" s="69"/>
      <c r="E92" s="43" t="s">
        <v>3</v>
      </c>
      <c r="F92" s="302">
        <f>'1461'!F92</f>
        <v>11441151</v>
      </c>
      <c r="G92" s="37" t="s">
        <v>6</v>
      </c>
      <c r="H92" s="422">
        <f>H76</f>
        <v>4.7699999999999999E-4</v>
      </c>
      <c r="I92" s="101">
        <f t="shared" ref="I92:I96" si="14">ROUND(F92*H92,2)</f>
        <v>5457.43</v>
      </c>
      <c r="N92" s="453" t="s">
        <v>457</v>
      </c>
      <c r="O92" s="51"/>
      <c r="P92" s="51"/>
      <c r="Q92" s="44"/>
      <c r="R92" s="419">
        <f t="shared" ref="R92:R96" si="15">F92</f>
        <v>11441151</v>
      </c>
      <c r="S92" s="38" t="s">
        <v>6</v>
      </c>
      <c r="T92" s="421">
        <f>T76</f>
        <v>4.7699999999999999E-4</v>
      </c>
      <c r="U92" s="473">
        <f>ROUND(R92*T92,2)</f>
        <v>5457.43</v>
      </c>
    </row>
    <row r="93" spans="1:21" x14ac:dyDescent="0.25">
      <c r="A93" s="81"/>
      <c r="D93" s="69"/>
      <c r="E93" s="43"/>
      <c r="F93" s="117"/>
      <c r="G93" s="37"/>
      <c r="H93" s="422"/>
      <c r="I93" s="101"/>
      <c r="N93" s="383"/>
      <c r="O93" s="51"/>
      <c r="P93" s="51"/>
      <c r="Q93" s="44"/>
      <c r="R93" s="420"/>
      <c r="S93" s="38"/>
      <c r="T93" s="421"/>
      <c r="U93" s="477"/>
    </row>
    <row r="94" spans="1:21" x14ac:dyDescent="0.25">
      <c r="A94" s="584" t="s">
        <v>422</v>
      </c>
      <c r="B94" s="578"/>
      <c r="C94" s="578"/>
      <c r="D94" s="69"/>
      <c r="E94" s="43" t="s">
        <v>4</v>
      </c>
      <c r="F94" s="302">
        <f>'1461'!F94</f>
        <v>247265670</v>
      </c>
      <c r="G94" s="37" t="s">
        <v>6</v>
      </c>
      <c r="H94" s="422">
        <f>H73</f>
        <v>1.7880000000000001E-3</v>
      </c>
      <c r="I94" s="101">
        <f t="shared" si="14"/>
        <v>442111.02</v>
      </c>
      <c r="N94" s="601" t="s">
        <v>422</v>
      </c>
      <c r="O94" s="601"/>
      <c r="P94" s="601"/>
      <c r="Q94" s="44"/>
      <c r="R94" s="419">
        <f t="shared" si="15"/>
        <v>247265670</v>
      </c>
      <c r="S94" s="38" t="s">
        <v>6</v>
      </c>
      <c r="T94" s="421">
        <f>T73</f>
        <v>3.8099999999999999E-4</v>
      </c>
      <c r="U94" s="473">
        <f>ROUND(R94*T94,2)</f>
        <v>94208.22</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4" t="s">
        <v>423</v>
      </c>
      <c r="B96" s="578"/>
      <c r="C96" s="578"/>
      <c r="D96" s="69"/>
      <c r="E96" s="43" t="s">
        <v>4</v>
      </c>
      <c r="F96" s="302">
        <f>'1461'!F96</f>
        <v>0</v>
      </c>
      <c r="G96" s="37" t="s">
        <v>6</v>
      </c>
      <c r="H96" s="422">
        <f>H73</f>
        <v>1.7880000000000001E-3</v>
      </c>
      <c r="I96" s="101">
        <f t="shared" si="14"/>
        <v>0</v>
      </c>
      <c r="N96" s="600" t="s">
        <v>423</v>
      </c>
      <c r="O96" s="601"/>
      <c r="P96" s="601"/>
      <c r="Q96" s="44"/>
      <c r="R96" s="419">
        <f t="shared" si="15"/>
        <v>0</v>
      </c>
      <c r="S96" s="38" t="s">
        <v>6</v>
      </c>
      <c r="T96" s="421">
        <f>T73</f>
        <v>3.8099999999999999E-4</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530" t="s">
        <v>497</v>
      </c>
      <c r="B98" s="529"/>
      <c r="C98" s="529"/>
      <c r="D98" s="529"/>
      <c r="E98" s="527" t="s">
        <v>3</v>
      </c>
      <c r="F98" s="290">
        <v>0</v>
      </c>
      <c r="G98" s="528" t="s">
        <v>6</v>
      </c>
      <c r="H98" s="422">
        <f>H70</f>
        <v>4.26E-4</v>
      </c>
      <c r="I98" s="101">
        <f t="shared" ref="I98" si="16">ROUND(F98*H98,2)</f>
        <v>0</v>
      </c>
      <c r="N98" s="533" t="s">
        <v>497</v>
      </c>
      <c r="O98" s="533"/>
      <c r="P98" s="533"/>
      <c r="Q98" s="44"/>
      <c r="R98" s="536">
        <f>F98</f>
        <v>0</v>
      </c>
      <c r="S98" s="534" t="s">
        <v>6</v>
      </c>
      <c r="T98" s="421">
        <f>T70</f>
        <v>4.26E-4</v>
      </c>
      <c r="U98" s="473">
        <f>ROUND(R98*T98,2)</f>
        <v>0</v>
      </c>
    </row>
    <row r="99" spans="1:21" x14ac:dyDescent="0.25">
      <c r="A99" s="530"/>
      <c r="B99" s="529"/>
      <c r="C99" s="529"/>
      <c r="D99" s="529"/>
      <c r="E99" s="527"/>
      <c r="F99" s="276"/>
      <c r="G99" s="528"/>
      <c r="H99" s="422"/>
      <c r="I99" s="101"/>
      <c r="N99" s="533"/>
      <c r="O99" s="533"/>
      <c r="P99" s="533"/>
      <c r="Q99" s="44"/>
      <c r="R99" s="535"/>
      <c r="S99" s="534"/>
      <c r="T99" s="421"/>
      <c r="U99" s="477"/>
    </row>
    <row r="100" spans="1:21" x14ac:dyDescent="0.25">
      <c r="A100" s="530"/>
      <c r="B100" s="529"/>
      <c r="C100" s="529"/>
      <c r="D100" s="529"/>
      <c r="E100" s="527"/>
      <c r="F100" s="276"/>
      <c r="G100" s="528"/>
      <c r="H100" s="422"/>
      <c r="I100" s="101"/>
      <c r="N100" s="533"/>
      <c r="O100" s="533"/>
      <c r="P100" s="533"/>
      <c r="Q100" s="44"/>
      <c r="R100" s="420"/>
      <c r="S100" s="534"/>
      <c r="T100" s="421"/>
      <c r="U100" s="103"/>
    </row>
    <row r="101" spans="1:21" x14ac:dyDescent="0.25">
      <c r="A101" s="399" t="s">
        <v>498</v>
      </c>
      <c r="N101" s="407" t="s">
        <v>498</v>
      </c>
      <c r="O101" s="51"/>
      <c r="P101" s="51"/>
      <c r="Q101" s="51"/>
      <c r="R101" s="51"/>
      <c r="S101" s="51"/>
      <c r="T101" s="51"/>
      <c r="U101" s="51"/>
    </row>
    <row r="102" spans="1:21" x14ac:dyDescent="0.25">
      <c r="B102" s="69"/>
      <c r="C102" s="563" t="s">
        <v>60</v>
      </c>
      <c r="D102" s="563"/>
      <c r="E102" s="69"/>
      <c r="F102" s="39" t="s">
        <v>28</v>
      </c>
      <c r="G102" s="69"/>
      <c r="H102" s="69"/>
      <c r="I102" s="69"/>
      <c r="N102" s="45"/>
      <c r="O102" s="45"/>
      <c r="P102" s="45"/>
      <c r="Q102" s="45"/>
      <c r="R102" s="45"/>
      <c r="S102" s="45"/>
      <c r="T102" s="45"/>
      <c r="U102" s="45"/>
    </row>
    <row r="103" spans="1:21" x14ac:dyDescent="0.25">
      <c r="A103" s="3"/>
      <c r="B103" s="118"/>
      <c r="C103" s="564" t="s">
        <v>101</v>
      </c>
      <c r="D103" s="564"/>
      <c r="E103" s="423" t="s">
        <v>426</v>
      </c>
      <c r="F103" s="120" t="s">
        <v>106</v>
      </c>
      <c r="G103" s="121"/>
      <c r="H103" s="121"/>
      <c r="I103" s="121"/>
      <c r="N103" s="631" t="s">
        <v>35</v>
      </c>
      <c r="O103" s="631"/>
      <c r="P103" s="672" t="s">
        <v>428</v>
      </c>
      <c r="Q103" s="633"/>
      <c r="R103" s="604" t="s">
        <v>31</v>
      </c>
      <c r="S103" s="604"/>
      <c r="T103" s="604"/>
      <c r="U103" s="604"/>
    </row>
    <row r="104" spans="1:21" x14ac:dyDescent="0.25">
      <c r="A104" s="26"/>
      <c r="B104" s="52" t="s">
        <v>105</v>
      </c>
      <c r="C104" s="596">
        <f>H14+H15+H20+H23+H26</f>
        <v>239.95050000000003</v>
      </c>
      <c r="D104" s="596"/>
      <c r="E104" s="46">
        <f>H8</f>
        <v>1.0407999999999999</v>
      </c>
      <c r="F104" s="303">
        <f>'1461'!F104</f>
        <v>950.92</v>
      </c>
      <c r="G104" s="39" t="s">
        <v>12</v>
      </c>
      <c r="H104" s="101">
        <f>ROUND(C104*E104*F104,2)</f>
        <v>237483.22</v>
      </c>
      <c r="I104" s="104"/>
      <c r="N104" s="28" t="s">
        <v>17</v>
      </c>
      <c r="O104" s="47">
        <f>T14+T15+T20+T23+T26</f>
        <v>49.5</v>
      </c>
      <c r="P104" s="611">
        <f>T8</f>
        <v>1.0407999999999999</v>
      </c>
      <c r="Q104" s="611"/>
      <c r="R104" s="48">
        <f>F104</f>
        <v>950.92</v>
      </c>
      <c r="S104" s="40" t="s">
        <v>12</v>
      </c>
      <c r="T104" s="479">
        <f>ROUND(O104*P104*R104,2)</f>
        <v>48991.02</v>
      </c>
      <c r="U104" s="102"/>
    </row>
    <row r="105" spans="1:21" x14ac:dyDescent="0.25">
      <c r="A105" s="49"/>
      <c r="B105" s="49" t="s">
        <v>104</v>
      </c>
      <c r="C105" s="596">
        <f>H16+H17+H21+H24+H27</f>
        <v>179.95150000000001</v>
      </c>
      <c r="D105" s="596"/>
      <c r="E105" s="46">
        <f>H8</f>
        <v>1.0407999999999999</v>
      </c>
      <c r="F105" s="303">
        <f>'1461'!F105</f>
        <v>907.92</v>
      </c>
      <c r="G105" s="39" t="s">
        <v>12</v>
      </c>
      <c r="H105" s="101">
        <f>ROUND(C105*E105*F105,2)</f>
        <v>170047.53</v>
      </c>
      <c r="N105" s="50" t="s">
        <v>13</v>
      </c>
      <c r="O105" s="47">
        <f>T16+T17+T21+T24+T27</f>
        <v>40</v>
      </c>
      <c r="P105" s="611">
        <f>T8</f>
        <v>1.0407999999999999</v>
      </c>
      <c r="Q105" s="611"/>
      <c r="R105" s="48">
        <f>F105</f>
        <v>907.92</v>
      </c>
      <c r="S105" s="40" t="s">
        <v>12</v>
      </c>
      <c r="T105" s="479">
        <f>ROUND(O105*P105*R105,2)</f>
        <v>37798.53</v>
      </c>
      <c r="U105" s="51"/>
    </row>
    <row r="106" spans="1:21" ht="16.5" thickBot="1" x14ac:dyDescent="0.3">
      <c r="A106" s="52"/>
      <c r="B106" s="52" t="s">
        <v>103</v>
      </c>
      <c r="C106" s="596">
        <f>H18+H19+H22+H25+H28+H29</f>
        <v>0</v>
      </c>
      <c r="D106" s="596"/>
      <c r="E106" s="46">
        <f>H8</f>
        <v>1.0407999999999999</v>
      </c>
      <c r="F106" s="303">
        <f>'1461'!F106</f>
        <v>910.12</v>
      </c>
      <c r="G106" s="39" t="s">
        <v>12</v>
      </c>
      <c r="H106" s="94">
        <f>ROUND(C106*E106*F106,2)</f>
        <v>0</v>
      </c>
      <c r="N106" s="53" t="s">
        <v>14</v>
      </c>
      <c r="O106" s="54">
        <f>T18+T19+T22+T25+T28+T29</f>
        <v>0</v>
      </c>
      <c r="P106" s="611">
        <f>T8</f>
        <v>1.0407999999999999</v>
      </c>
      <c r="Q106" s="611"/>
      <c r="R106" s="48">
        <f>F106</f>
        <v>910.12</v>
      </c>
      <c r="S106" s="40" t="s">
        <v>12</v>
      </c>
      <c r="T106" s="479">
        <f>ROUND(O106*P106*R106,2)</f>
        <v>0</v>
      </c>
      <c r="U106" s="51"/>
    </row>
    <row r="107" spans="1:21" ht="16.5" thickBot="1" x14ac:dyDescent="0.3">
      <c r="A107" s="55"/>
      <c r="B107" s="122" t="s">
        <v>102</v>
      </c>
      <c r="C107" s="586">
        <f>SUM(C104:C106)</f>
        <v>419.90200000000004</v>
      </c>
      <c r="D107" s="586"/>
      <c r="E107" s="123"/>
      <c r="F107" s="123"/>
      <c r="G107" s="123"/>
      <c r="H107" s="124" t="s">
        <v>100</v>
      </c>
      <c r="I107" s="101">
        <f>IF(A1=75,0,H106+H105+H104)</f>
        <v>407530.75</v>
      </c>
      <c r="N107" s="56" t="s">
        <v>89</v>
      </c>
      <c r="O107" s="57">
        <f>SUM(O104:O106)</f>
        <v>89.5</v>
      </c>
      <c r="P107" s="612" t="s">
        <v>16</v>
      </c>
      <c r="Q107" s="613"/>
      <c r="R107" s="613"/>
      <c r="S107" s="613"/>
      <c r="T107" s="613"/>
      <c r="U107" s="473">
        <f>IF(N1=75,0,T106+T105+T104)</f>
        <v>86789.549999999988</v>
      </c>
    </row>
    <row r="108" spans="1:21" ht="16.5" thickTop="1" x14ac:dyDescent="0.25">
      <c r="A108" s="555" t="s">
        <v>65</v>
      </c>
      <c r="B108" s="555"/>
      <c r="C108" s="555"/>
      <c r="D108" s="555"/>
      <c r="E108" s="555"/>
      <c r="F108" s="555"/>
      <c r="G108" s="555"/>
      <c r="H108" s="555"/>
      <c r="I108" s="555"/>
      <c r="N108" s="614" t="s">
        <v>65</v>
      </c>
      <c r="O108" s="614"/>
      <c r="P108" s="614"/>
      <c r="Q108" s="614"/>
      <c r="R108" s="614"/>
      <c r="S108" s="614"/>
      <c r="T108" s="614"/>
      <c r="U108" s="614"/>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0" t="s">
        <v>499</v>
      </c>
      <c r="C110" s="43"/>
      <c r="D110" s="69"/>
      <c r="E110" s="43" t="s">
        <v>32</v>
      </c>
      <c r="F110" s="556"/>
      <c r="G110" s="556"/>
      <c r="H110" s="556"/>
      <c r="I110" s="556"/>
      <c r="N110" s="600" t="s">
        <v>499</v>
      </c>
      <c r="O110" s="601"/>
      <c r="P110" s="601"/>
      <c r="Q110" s="615"/>
      <c r="R110" s="615"/>
      <c r="S110" s="615"/>
      <c r="T110" s="615"/>
      <c r="U110" s="103"/>
    </row>
    <row r="111" spans="1:21" x14ac:dyDescent="0.25">
      <c r="B111" s="69"/>
      <c r="C111" s="88" t="s">
        <v>494</v>
      </c>
      <c r="D111" s="333" t="s">
        <v>495</v>
      </c>
      <c r="E111" s="89" t="s">
        <v>107</v>
      </c>
      <c r="F111" s="43"/>
      <c r="G111" s="43"/>
      <c r="H111" s="43"/>
      <c r="I111" s="43"/>
      <c r="N111" s="45"/>
      <c r="O111" s="45"/>
      <c r="P111" s="45"/>
      <c r="Q111" s="125"/>
      <c r="R111" s="125"/>
      <c r="S111" s="125"/>
      <c r="T111" s="125"/>
      <c r="U111" s="103"/>
    </row>
    <row r="112" spans="1:21" x14ac:dyDescent="0.25">
      <c r="B112" s="69"/>
      <c r="C112" s="326" t="s">
        <v>2</v>
      </c>
      <c r="D112" s="324" t="s">
        <v>2</v>
      </c>
      <c r="E112" s="324" t="s">
        <v>2</v>
      </c>
      <c r="F112" s="43"/>
      <c r="G112" s="43"/>
      <c r="H112" s="43"/>
      <c r="I112" s="43"/>
      <c r="N112" s="45"/>
      <c r="O112" s="45"/>
      <c r="P112" s="45"/>
      <c r="Q112" s="125"/>
      <c r="R112" s="125"/>
      <c r="S112" s="125"/>
      <c r="T112" s="125"/>
      <c r="U112" s="103"/>
    </row>
    <row r="113" spans="1:21" x14ac:dyDescent="0.25">
      <c r="A113" s="557" t="s">
        <v>381</v>
      </c>
      <c r="B113" s="558"/>
      <c r="C113" s="143">
        <v>1</v>
      </c>
      <c r="D113" s="143">
        <v>0</v>
      </c>
      <c r="E113" s="144">
        <f>(C113+D113)/2</f>
        <v>0.5</v>
      </c>
      <c r="F113" s="126" t="s">
        <v>30</v>
      </c>
      <c r="G113" s="304">
        <f>'1461'!G113</f>
        <v>576</v>
      </c>
      <c r="I113" s="101">
        <f>ROUND(G113*E113,2)</f>
        <v>288</v>
      </c>
      <c r="N113" s="630" t="s">
        <v>52</v>
      </c>
      <c r="O113" s="630"/>
      <c r="P113" s="610">
        <f>IF(H133=1,E113,0)</f>
        <v>0.5</v>
      </c>
      <c r="Q113" s="610"/>
      <c r="R113" s="610"/>
      <c r="S113" s="83" t="s">
        <v>30</v>
      </c>
      <c r="T113" s="58">
        <f>G113</f>
        <v>576</v>
      </c>
      <c r="U113" s="473">
        <f>ROUND(T113*P113,2)</f>
        <v>288</v>
      </c>
    </row>
    <row r="114" spans="1:21" x14ac:dyDescent="0.25">
      <c r="A114" s="557" t="s">
        <v>382</v>
      </c>
      <c r="B114" s="558"/>
      <c r="C114" s="143">
        <v>1</v>
      </c>
      <c r="D114" s="143">
        <v>0</v>
      </c>
      <c r="E114" s="144">
        <f>(C114+D114)/2</f>
        <v>0.5</v>
      </c>
      <c r="F114" s="126" t="s">
        <v>30</v>
      </c>
      <c r="G114" s="304">
        <f>'1461'!G114</f>
        <v>1823</v>
      </c>
      <c r="I114" s="101">
        <f>ROUND(G114*E114,2)</f>
        <v>911.5</v>
      </c>
      <c r="N114" s="630" t="s">
        <v>64</v>
      </c>
      <c r="O114" s="630"/>
      <c r="P114" s="608"/>
      <c r="Q114" s="608"/>
      <c r="R114" s="608"/>
      <c r="S114" s="83" t="s">
        <v>30</v>
      </c>
      <c r="T114" s="58">
        <f>G114</f>
        <v>1823</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4" t="s">
        <v>430</v>
      </c>
      <c r="B117" s="578"/>
      <c r="C117" s="578"/>
      <c r="D117" s="69"/>
      <c r="E117" s="39" t="s">
        <v>300</v>
      </c>
      <c r="F117" s="563"/>
      <c r="G117" s="563"/>
      <c r="H117" s="563"/>
      <c r="I117" s="563"/>
      <c r="N117" s="600" t="s">
        <v>431</v>
      </c>
      <c r="O117" s="601"/>
      <c r="P117" s="601"/>
      <c r="Q117" s="601"/>
      <c r="R117" s="601"/>
      <c r="S117" s="601"/>
      <c r="T117" s="601"/>
      <c r="U117" s="601"/>
    </row>
    <row r="118" spans="1:21" hidden="1" x14ac:dyDescent="0.25">
      <c r="B118" s="69"/>
      <c r="C118" s="564" t="s">
        <v>66</v>
      </c>
      <c r="D118" s="564"/>
      <c r="E118" s="564"/>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5" t="s">
        <v>109</v>
      </c>
      <c r="G119" s="563"/>
      <c r="H119" s="37" t="s">
        <v>29</v>
      </c>
      <c r="I119" s="37"/>
      <c r="N119" s="45"/>
      <c r="O119" s="45"/>
      <c r="P119" s="45"/>
      <c r="Q119" s="45"/>
      <c r="R119" s="45"/>
      <c r="S119" s="45"/>
      <c r="T119" s="45"/>
      <c r="U119" s="45"/>
    </row>
    <row r="120" spans="1:21" hidden="1" x14ac:dyDescent="0.25">
      <c r="A120" s="564" t="s">
        <v>69</v>
      </c>
      <c r="B120" s="564"/>
      <c r="C120" s="90" t="s">
        <v>2</v>
      </c>
      <c r="D120" s="90" t="s">
        <v>2</v>
      </c>
      <c r="E120" s="59" t="s">
        <v>2</v>
      </c>
      <c r="F120" s="564" t="s">
        <v>28</v>
      </c>
      <c r="G120" s="564"/>
      <c r="H120" s="59" t="s">
        <v>28</v>
      </c>
      <c r="I120" s="59" t="s">
        <v>8</v>
      </c>
      <c r="N120" s="609" t="s">
        <v>53</v>
      </c>
      <c r="O120" s="609"/>
      <c r="P120" s="610" t="s">
        <v>66</v>
      </c>
      <c r="Q120" s="610"/>
      <c r="R120" s="609" t="s">
        <v>54</v>
      </c>
      <c r="S120" s="609"/>
      <c r="T120" s="60" t="s">
        <v>55</v>
      </c>
      <c r="U120" s="60" t="s">
        <v>8</v>
      </c>
    </row>
    <row r="121" spans="1:21" hidden="1" x14ac:dyDescent="0.25">
      <c r="A121" s="561" t="s">
        <v>56</v>
      </c>
      <c r="B121" s="561"/>
      <c r="C121" s="141">
        <v>0</v>
      </c>
      <c r="D121" s="141">
        <v>0</v>
      </c>
      <c r="E121" s="142">
        <f>IF(D30=0,C121*2,C121+D121)</f>
        <v>0</v>
      </c>
      <c r="F121" s="675">
        <v>0</v>
      </c>
      <c r="G121" s="675"/>
      <c r="H121" s="61">
        <f>IF(C121=0,0,125)</f>
        <v>0</v>
      </c>
      <c r="I121" s="101">
        <f>ROUND((H121+F121)*E121,2)</f>
        <v>0</v>
      </c>
      <c r="N121" s="601" t="s">
        <v>56</v>
      </c>
      <c r="O121" s="601"/>
      <c r="P121" s="608">
        <f>IF(H$133=1,C121,0)</f>
        <v>0</v>
      </c>
      <c r="Q121" s="608"/>
      <c r="R121" s="628">
        <f>F121</f>
        <v>0</v>
      </c>
      <c r="S121" s="628"/>
      <c r="T121" s="62">
        <f>H121</f>
        <v>0</v>
      </c>
      <c r="U121" s="96">
        <f>ROUND((T121+R121)*P121,0)</f>
        <v>0</v>
      </c>
    </row>
    <row r="122" spans="1:21" hidden="1" x14ac:dyDescent="0.25">
      <c r="A122" s="581" t="s">
        <v>57</v>
      </c>
      <c r="B122" s="581"/>
      <c r="C122" s="143">
        <v>0</v>
      </c>
      <c r="D122" s="143">
        <v>0</v>
      </c>
      <c r="E122" s="144">
        <f>IF(D31=0,C122*2,C122+D122)</f>
        <v>0</v>
      </c>
      <c r="F122" s="598">
        <f>ROUND(F121/2,2)</f>
        <v>0</v>
      </c>
      <c r="G122" s="598"/>
      <c r="H122" s="61">
        <f>IF(C122=0,0,62.5)</f>
        <v>0</v>
      </c>
      <c r="I122" s="101">
        <f>ROUND((H122+F122)*E122,2)</f>
        <v>0</v>
      </c>
      <c r="N122" s="601" t="s">
        <v>57</v>
      </c>
      <c r="O122" s="601"/>
      <c r="P122" s="608">
        <f>IF(H$133=1,C122,0)</f>
        <v>0</v>
      </c>
      <c r="Q122" s="608"/>
      <c r="R122" s="629">
        <f>ROUND(R121/2,2)</f>
        <v>0</v>
      </c>
      <c r="S122" s="629"/>
      <c r="T122" s="62">
        <f>H122</f>
        <v>0</v>
      </c>
      <c r="U122" s="96">
        <f>ROUND((T122+R122)*P122,0)</f>
        <v>0</v>
      </c>
    </row>
    <row r="123" spans="1:21" ht="16.5" hidden="1" thickBot="1" x14ac:dyDescent="0.3">
      <c r="A123" s="581" t="s">
        <v>58</v>
      </c>
      <c r="B123" s="581"/>
      <c r="C123" s="143">
        <v>0</v>
      </c>
      <c r="D123" s="143">
        <v>0</v>
      </c>
      <c r="E123" s="144">
        <f>IF(D32=0,C123*2,C123+D123)</f>
        <v>0</v>
      </c>
      <c r="F123" s="599"/>
      <c r="G123" s="599"/>
      <c r="H123" s="63">
        <f>IF(H121&gt;0,436,0)</f>
        <v>0</v>
      </c>
      <c r="I123" s="101">
        <f>ROUND(H123*E123,2)</f>
        <v>0</v>
      </c>
      <c r="N123" s="616" t="s">
        <v>58</v>
      </c>
      <c r="O123" s="616"/>
      <c r="P123" s="608">
        <f>IF(H$133=1,C123,0)</f>
        <v>0</v>
      </c>
      <c r="Q123" s="608"/>
      <c r="R123" s="609"/>
      <c r="S123" s="609"/>
      <c r="T123" s="64">
        <f>H123</f>
        <v>0</v>
      </c>
      <c r="U123" s="103">
        <f>ROUND(T123*P123,0)</f>
        <v>0</v>
      </c>
    </row>
    <row r="124" spans="1:21" ht="16.5" hidden="1" thickBot="1" x14ac:dyDescent="0.3">
      <c r="A124" s="563" t="s">
        <v>8</v>
      </c>
      <c r="B124" s="563"/>
      <c r="C124" s="65"/>
      <c r="D124" s="65"/>
      <c r="E124" s="65"/>
      <c r="F124" s="65"/>
      <c r="G124" s="65"/>
      <c r="H124" s="65"/>
      <c r="I124" s="97">
        <f>SUM(I121:I123)</f>
        <v>0</v>
      </c>
      <c r="N124" s="627" t="s">
        <v>8</v>
      </c>
      <c r="O124" s="627"/>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4" t="s">
        <v>432</v>
      </c>
      <c r="B126" s="578"/>
      <c r="C126" s="578"/>
      <c r="D126" s="69"/>
      <c r="E126" s="68" t="s">
        <v>34</v>
      </c>
      <c r="F126" s="597"/>
      <c r="G126" s="597"/>
      <c r="H126" s="597"/>
      <c r="I126" s="154">
        <v>0</v>
      </c>
      <c r="N126" s="600" t="s">
        <v>432</v>
      </c>
      <c r="O126" s="601"/>
      <c r="P126" s="601"/>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90" t="s">
        <v>8</v>
      </c>
      <c r="B128" s="590"/>
      <c r="C128" s="590"/>
      <c r="D128" s="590"/>
      <c r="E128" s="590"/>
      <c r="F128" s="590"/>
      <c r="G128" s="590"/>
      <c r="H128" s="590"/>
      <c r="I128" s="94">
        <f>SUM(I46,I66,I85,I88,I90,I92,I94,I96,I107,I113,I114,I124,I126)</f>
        <v>3246299.04</v>
      </c>
      <c r="N128" s="453"/>
      <c r="O128" s="452"/>
      <c r="P128" s="452"/>
      <c r="Q128" s="306"/>
      <c r="R128" s="306"/>
      <c r="S128" s="306"/>
      <c r="T128" s="306"/>
      <c r="U128" s="480">
        <f>SUM(U30,U85,U88,U90,U92,U94,U96,U107,U113,U114,U124,U126)</f>
        <v>712100.35999999987</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434</v>
      </c>
      <c r="B130" s="26"/>
      <c r="C130" s="26"/>
      <c r="D130" s="26"/>
      <c r="E130" s="26"/>
      <c r="F130" s="26"/>
      <c r="G130" s="26"/>
      <c r="H130" s="26"/>
      <c r="I130" s="101">
        <f>I128-I53</f>
        <v>3108140.74</v>
      </c>
      <c r="N130" s="601" t="s">
        <v>434</v>
      </c>
      <c r="O130" s="601"/>
      <c r="P130" s="601"/>
      <c r="Q130" s="601"/>
      <c r="R130" s="601"/>
      <c r="S130" s="601"/>
      <c r="T130" s="601"/>
      <c r="U130" s="132">
        <f>U128-U53</f>
        <v>682652.60999999987</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4" t="s">
        <v>502</v>
      </c>
      <c r="B132" s="578"/>
      <c r="C132" s="578"/>
      <c r="D132" s="578"/>
      <c r="E132" s="578"/>
      <c r="F132" s="578"/>
      <c r="G132" s="578"/>
      <c r="H132" s="81" t="s">
        <v>333</v>
      </c>
      <c r="I132" s="134"/>
      <c r="N132" s="600" t="s">
        <v>502</v>
      </c>
      <c r="O132" s="601"/>
      <c r="P132" s="601"/>
      <c r="Q132" s="601"/>
      <c r="R132" s="601"/>
      <c r="S132" s="601"/>
      <c r="T132" s="601"/>
      <c r="U132" s="138"/>
    </row>
    <row r="133" spans="1:21" x14ac:dyDescent="0.25">
      <c r="A133" s="578" t="s">
        <v>70</v>
      </c>
      <c r="B133" s="578"/>
      <c r="C133" s="578"/>
      <c r="D133" s="578"/>
      <c r="E133" s="578"/>
      <c r="F133" s="578"/>
      <c r="G133" s="578"/>
      <c r="H133" s="70">
        <f>IF(E30=0,"",IF((E15+E17+SUM(E19:E25))/E30&gt;0.75,1,""))</f>
        <v>1</v>
      </c>
      <c r="I133" s="116">
        <f>U130</f>
        <v>682652.60999999987</v>
      </c>
      <c r="N133" s="601" t="s">
        <v>70</v>
      </c>
      <c r="O133" s="601"/>
      <c r="P133" s="601"/>
      <c r="Q133" s="601"/>
      <c r="R133" s="601"/>
      <c r="S133" s="601"/>
      <c r="T133" s="601"/>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682652.60999999987</v>
      </c>
      <c r="I135" s="94">
        <f>ROUND(IF(E30=0,0,IF(E30&gt;250,-(((250/E30)*H135)*IF(G135="H",0.02,0.05)),IF(G135="H",-0.02*H135,-0.05*H135))),2)</f>
        <v>-34132.629999999997</v>
      </c>
      <c r="N135" s="626"/>
      <c r="O135" s="626"/>
      <c r="P135" s="626"/>
      <c r="Q135" s="626"/>
      <c r="R135" s="626"/>
      <c r="S135" s="626"/>
      <c r="T135" s="626"/>
      <c r="U135" s="626"/>
    </row>
    <row r="136" spans="1:21" x14ac:dyDescent="0.25">
      <c r="B136" s="69"/>
      <c r="C136" s="69"/>
      <c r="D136" s="69"/>
      <c r="E136" s="69"/>
      <c r="F136" s="69"/>
      <c r="G136" s="69"/>
      <c r="H136" s="65"/>
      <c r="I136" s="101"/>
      <c r="N136" s="624" t="s">
        <v>7</v>
      </c>
      <c r="O136" s="624"/>
      <c r="P136" s="624"/>
      <c r="Q136" s="624"/>
      <c r="R136" s="624"/>
      <c r="S136" s="624"/>
      <c r="T136" s="624"/>
      <c r="U136" s="624"/>
    </row>
    <row r="137" spans="1:21" x14ac:dyDescent="0.25">
      <c r="A137" s="309" t="s">
        <v>74</v>
      </c>
      <c r="B137" s="310"/>
      <c r="C137" s="310"/>
      <c r="D137" s="310"/>
      <c r="E137" s="310"/>
      <c r="F137" s="310"/>
      <c r="G137" s="310"/>
      <c r="H137" s="311"/>
      <c r="I137" s="312">
        <f>I128+I135</f>
        <v>3212166.41</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Payments'!Q110</f>
        <v>0</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3212166.41</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267680.53000000003</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372</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373</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374</v>
      </c>
      <c r="B155" s="252"/>
      <c r="C155" s="252"/>
      <c r="D155" s="252"/>
      <c r="E155" s="252"/>
      <c r="F155" s="252"/>
      <c r="G155" s="252"/>
      <c r="H155" s="252"/>
      <c r="I155" s="252"/>
      <c r="N155" s="625"/>
      <c r="O155" s="625"/>
      <c r="P155" s="625"/>
      <c r="Q155" s="625"/>
      <c r="R155" s="625"/>
      <c r="S155" s="625"/>
      <c r="T155" s="625"/>
      <c r="U155" s="625"/>
    </row>
    <row r="156" spans="1:21" s="76" customFormat="1" x14ac:dyDescent="0.2">
      <c r="A156" s="320" t="s">
        <v>375</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376</v>
      </c>
      <c r="B157" s="252"/>
      <c r="C157" s="252"/>
      <c r="D157" s="252"/>
      <c r="E157" s="252"/>
      <c r="F157" s="252"/>
      <c r="G157" s="252"/>
      <c r="H157" s="252"/>
      <c r="I157" s="252"/>
      <c r="N157" s="78"/>
      <c r="O157" s="79"/>
      <c r="P157" s="79"/>
      <c r="Q157" s="79"/>
      <c r="R157" s="79"/>
      <c r="S157" s="79"/>
      <c r="T157" s="79"/>
      <c r="U157" s="79"/>
    </row>
    <row r="158" spans="1:21" s="76" customFormat="1" x14ac:dyDescent="0.2">
      <c r="A158" s="320" t="s">
        <v>377</v>
      </c>
      <c r="B158" s="252"/>
      <c r="C158" s="252"/>
      <c r="D158" s="252"/>
      <c r="E158" s="252"/>
      <c r="F158" s="252"/>
      <c r="G158" s="252"/>
      <c r="H158" s="252"/>
      <c r="I158" s="252"/>
      <c r="N158" s="78"/>
    </row>
    <row r="159" spans="1:21" s="76" customFormat="1" x14ac:dyDescent="0.2">
      <c r="A159" s="320" t="s">
        <v>379</v>
      </c>
      <c r="B159" s="252"/>
      <c r="C159" s="252"/>
      <c r="D159" s="252"/>
      <c r="E159" s="252"/>
      <c r="F159" s="252"/>
      <c r="G159" s="252"/>
      <c r="H159" s="252"/>
      <c r="I159" s="252"/>
      <c r="N159" s="78"/>
    </row>
    <row r="160" spans="1:21" s="76" customFormat="1" x14ac:dyDescent="0.2">
      <c r="A160" s="385" t="s">
        <v>378</v>
      </c>
      <c r="B160" s="252"/>
      <c r="C160" s="252"/>
      <c r="D160" s="252"/>
      <c r="E160" s="252"/>
      <c r="F160" s="252"/>
      <c r="G160" s="252"/>
      <c r="H160" s="252"/>
      <c r="I160" s="252"/>
      <c r="N160" s="78"/>
    </row>
    <row r="161" spans="1:14" s="76" customFormat="1" x14ac:dyDescent="0.2">
      <c r="A161" s="320" t="s">
        <v>380</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383</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385</v>
      </c>
      <c r="B165" s="293"/>
      <c r="C165" s="293"/>
      <c r="D165" s="293"/>
      <c r="E165" s="293"/>
      <c r="F165" s="293"/>
      <c r="G165" s="293"/>
      <c r="H165" s="293"/>
      <c r="I165" s="293"/>
      <c r="N165" s="78"/>
    </row>
    <row r="166" spans="1:14" s="76" customFormat="1" ht="15.75" customHeight="1" x14ac:dyDescent="0.2">
      <c r="A166" s="351" t="s">
        <v>384</v>
      </c>
      <c r="B166" s="293"/>
      <c r="C166" s="293"/>
      <c r="D166" s="293"/>
      <c r="E166" s="293"/>
      <c r="F166" s="293"/>
      <c r="G166" s="293"/>
      <c r="H166" s="293"/>
      <c r="I166" s="293"/>
      <c r="N166" s="78"/>
    </row>
    <row r="167" spans="1:14" s="76" customFormat="1" ht="15.75" customHeight="1" x14ac:dyDescent="0.2">
      <c r="A167" s="320" t="s">
        <v>386</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388</v>
      </c>
      <c r="B169" s="343"/>
      <c r="C169" s="343"/>
      <c r="D169" s="343"/>
      <c r="E169" s="343"/>
      <c r="F169" s="343"/>
      <c r="G169" s="343"/>
      <c r="H169" s="343"/>
      <c r="I169" s="343"/>
      <c r="N169" s="78"/>
    </row>
    <row r="170" spans="1:14" s="76" customFormat="1" ht="15.75" customHeight="1" x14ac:dyDescent="0.2">
      <c r="A170" s="351" t="s">
        <v>387</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389</v>
      </c>
      <c r="B175" s="293"/>
      <c r="C175" s="293"/>
      <c r="D175" s="293"/>
      <c r="E175" s="293"/>
      <c r="F175" s="293"/>
      <c r="G175" s="293"/>
      <c r="H175" s="293"/>
      <c r="I175" s="293"/>
      <c r="J175" s="3"/>
      <c r="K175" s="3"/>
      <c r="L175" s="3"/>
      <c r="M175" s="3"/>
      <c r="N175" s="78"/>
    </row>
    <row r="176" spans="1:14" s="76" customFormat="1" ht="15.75" customHeight="1" x14ac:dyDescent="0.2">
      <c r="A176" s="361" t="s">
        <v>390</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7:U7"/>
    <mergeCell ref="N8:O8"/>
    <mergeCell ref="P8:Q8"/>
    <mergeCell ref="R8:S8"/>
    <mergeCell ref="T8:U8"/>
    <mergeCell ref="F11:G11"/>
    <mergeCell ref="R11:S11"/>
    <mergeCell ref="N94:P94"/>
    <mergeCell ref="B1:I1"/>
    <mergeCell ref="O1:U1"/>
    <mergeCell ref="N2:U2"/>
    <mergeCell ref="N3:U3"/>
    <mergeCell ref="A4:B4"/>
    <mergeCell ref="C4:E4"/>
    <mergeCell ref="N4:O4"/>
    <mergeCell ref="P4:Q4"/>
    <mergeCell ref="A7:I7"/>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34:H37"/>
    <mergeCell ref="N35:T35"/>
    <mergeCell ref="A37:B37"/>
    <mergeCell ref="N37:O37"/>
    <mergeCell ref="P37:T37"/>
    <mergeCell ref="A40:B40"/>
    <mergeCell ref="N40:O40"/>
    <mergeCell ref="P40:T40"/>
    <mergeCell ref="A41:B41"/>
    <mergeCell ref="N41:O41"/>
    <mergeCell ref="P41:T41"/>
    <mergeCell ref="A38:B38"/>
    <mergeCell ref="N38:O38"/>
    <mergeCell ref="P38:T38"/>
    <mergeCell ref="A39:B39"/>
    <mergeCell ref="N39:O39"/>
    <mergeCell ref="P39:T39"/>
    <mergeCell ref="A42:B42"/>
    <mergeCell ref="N42:O42"/>
    <mergeCell ref="P42:T42"/>
    <mergeCell ref="A43:B43"/>
    <mergeCell ref="N43:O43"/>
    <mergeCell ref="P43:T43"/>
    <mergeCell ref="P56:Q56"/>
    <mergeCell ref="P59:Q59"/>
    <mergeCell ref="P60:Q60"/>
    <mergeCell ref="A57:B65"/>
    <mergeCell ref="F66:H66"/>
    <mergeCell ref="N57:O65"/>
    <mergeCell ref="P57:Q57"/>
    <mergeCell ref="P58:Q58"/>
    <mergeCell ref="T69:U69"/>
    <mergeCell ref="N44:Q44"/>
    <mergeCell ref="S44:T44"/>
    <mergeCell ref="N46:Q46"/>
    <mergeCell ref="S46:T46"/>
    <mergeCell ref="P61:Q61"/>
    <mergeCell ref="P62:Q62"/>
    <mergeCell ref="P63:Q63"/>
    <mergeCell ref="P64:Q64"/>
    <mergeCell ref="P65:Q65"/>
    <mergeCell ref="P66:Q66"/>
    <mergeCell ref="R66:T66"/>
    <mergeCell ref="A96:C96"/>
    <mergeCell ref="N96:P96"/>
    <mergeCell ref="A94:C94"/>
    <mergeCell ref="A88:C88"/>
    <mergeCell ref="N73:S73"/>
    <mergeCell ref="T73:U73"/>
    <mergeCell ref="A87:C87"/>
    <mergeCell ref="N87:P87"/>
    <mergeCell ref="N79:S79"/>
    <mergeCell ref="T79:U79"/>
    <mergeCell ref="A81:B81"/>
    <mergeCell ref="D81:G81"/>
    <mergeCell ref="N81:O81"/>
    <mergeCell ref="Q81:S81"/>
    <mergeCell ref="T81:U81"/>
    <mergeCell ref="N82:S82"/>
    <mergeCell ref="T82:U82"/>
    <mergeCell ref="N88:P88"/>
    <mergeCell ref="C105:D105"/>
    <mergeCell ref="P105:Q105"/>
    <mergeCell ref="C106:D106"/>
    <mergeCell ref="P106:Q106"/>
    <mergeCell ref="C107:D107"/>
    <mergeCell ref="P107:T107"/>
    <mergeCell ref="C102:D102"/>
    <mergeCell ref="C103:D103"/>
    <mergeCell ref="N103:O103"/>
    <mergeCell ref="P103:Q103"/>
    <mergeCell ref="R103:U103"/>
    <mergeCell ref="C104:D104"/>
    <mergeCell ref="P104:Q104"/>
    <mergeCell ref="A114:B114"/>
    <mergeCell ref="N114:O114"/>
    <mergeCell ref="P114:R114"/>
    <mergeCell ref="A117:C117"/>
    <mergeCell ref="F117:I117"/>
    <mergeCell ref="N117:U117"/>
    <mergeCell ref="A108:I108"/>
    <mergeCell ref="N108:U108"/>
    <mergeCell ref="F110:I110"/>
    <mergeCell ref="N110:P110"/>
    <mergeCell ref="Q110:T110"/>
    <mergeCell ref="A113:B113"/>
    <mergeCell ref="N113:O113"/>
    <mergeCell ref="P113:R113"/>
    <mergeCell ref="R120:S120"/>
    <mergeCell ref="A121:B121"/>
    <mergeCell ref="F121:G121"/>
    <mergeCell ref="N121:O121"/>
    <mergeCell ref="P121:Q121"/>
    <mergeCell ref="R121:S121"/>
    <mergeCell ref="C118:E118"/>
    <mergeCell ref="F119:G119"/>
    <mergeCell ref="A120:B120"/>
    <mergeCell ref="F120:G120"/>
    <mergeCell ref="N120:O120"/>
    <mergeCell ref="P120:Q120"/>
    <mergeCell ref="A122:B122"/>
    <mergeCell ref="F122:G122"/>
    <mergeCell ref="N122:O122"/>
    <mergeCell ref="P122:Q122"/>
    <mergeCell ref="R122:S122"/>
    <mergeCell ref="A123:B123"/>
    <mergeCell ref="F123:G123"/>
    <mergeCell ref="N123:O123"/>
    <mergeCell ref="P123:Q123"/>
    <mergeCell ref="R123:S123"/>
    <mergeCell ref="N155:U155"/>
    <mergeCell ref="N130:T130"/>
    <mergeCell ref="A128:H128"/>
    <mergeCell ref="A132:G132"/>
    <mergeCell ref="N135:U135"/>
    <mergeCell ref="A133:G133"/>
    <mergeCell ref="N136:U136"/>
    <mergeCell ref="A124:B124"/>
    <mergeCell ref="N124:O124"/>
    <mergeCell ref="A126:C126"/>
    <mergeCell ref="F126:H126"/>
    <mergeCell ref="N126:P126"/>
    <mergeCell ref="N132:T132"/>
    <mergeCell ref="N133:T133"/>
    <mergeCell ref="T9:U9"/>
    <mergeCell ref="A75:B75"/>
    <mergeCell ref="D75:G75"/>
    <mergeCell ref="N75:O75"/>
    <mergeCell ref="Q75:S75"/>
    <mergeCell ref="T75:U75"/>
    <mergeCell ref="N76:S76"/>
    <mergeCell ref="T76:U76"/>
    <mergeCell ref="A78:B78"/>
    <mergeCell ref="D78:G78"/>
    <mergeCell ref="N78:O78"/>
    <mergeCell ref="Q78:S78"/>
    <mergeCell ref="T78:U78"/>
    <mergeCell ref="N70:S70"/>
    <mergeCell ref="T70:U70"/>
    <mergeCell ref="A72:B72"/>
    <mergeCell ref="D72:G72"/>
    <mergeCell ref="N72:O72"/>
    <mergeCell ref="Q72:S72"/>
    <mergeCell ref="T72:U72"/>
    <mergeCell ref="A69:B69"/>
    <mergeCell ref="D69:G69"/>
    <mergeCell ref="N69:O69"/>
    <mergeCell ref="Q69:S69"/>
  </mergeCells>
  <pageMargins left="0.1" right="0.1" top="0.5" bottom="0.5" header="0" footer="0.1"/>
  <pageSetup scale="70" fitToHeight="3" orientation="portrait" r:id="rId1"/>
  <headerFooter alignWithMargins="0">
    <oddFooter>&amp;L&amp;8&amp;Z&amp;F&amp;R&amp;P of &amp;N</oddFooter>
  </headerFooter>
  <rowBreaks count="1" manualBreakCount="1">
    <brk id="151" max="16383" man="1"/>
  </rowBreaks>
  <colBreaks count="1" manualBreakCount="1">
    <brk id="9"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6">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6" t="s">
        <v>15</v>
      </c>
      <c r="C1" s="567"/>
      <c r="D1" s="567"/>
      <c r="E1" s="567"/>
      <c r="F1" s="567"/>
      <c r="G1" s="567"/>
      <c r="H1" s="567"/>
      <c r="I1" s="567"/>
      <c r="J1" s="135"/>
      <c r="K1" s="135"/>
      <c r="L1" s="135"/>
      <c r="N1" s="82">
        <f>A1</f>
        <v>0</v>
      </c>
      <c r="O1" s="658" t="s">
        <v>15</v>
      </c>
      <c r="P1" s="659"/>
      <c r="Q1" s="659"/>
      <c r="R1" s="659"/>
      <c r="S1" s="659"/>
      <c r="T1" s="659"/>
      <c r="U1" s="659"/>
    </row>
    <row r="2" spans="1:21" ht="21" x14ac:dyDescent="0.35">
      <c r="A2" s="1" t="s">
        <v>284</v>
      </c>
      <c r="B2" s="2"/>
      <c r="C2" s="2"/>
      <c r="D2" s="2"/>
      <c r="E2" s="2"/>
      <c r="F2" s="2"/>
      <c r="G2" s="2"/>
      <c r="H2" s="2"/>
      <c r="I2" s="2"/>
      <c r="N2" s="660" t="s">
        <v>18</v>
      </c>
      <c r="O2" s="660"/>
      <c r="P2" s="660"/>
      <c r="Q2" s="660"/>
      <c r="R2" s="660"/>
      <c r="S2" s="660"/>
      <c r="T2" s="660"/>
      <c r="U2" s="660"/>
    </row>
    <row r="3" spans="1:21" x14ac:dyDescent="0.25">
      <c r="A3" s="81" t="str">
        <f>'1461'!A3</f>
        <v>Based on the FLDOE 2024-25 Conference Calculation</v>
      </c>
      <c r="N3" s="627" t="str">
        <f>A3</f>
        <v>Based on the FLDOE 2024-25 Conference Calculation</v>
      </c>
      <c r="O3" s="627"/>
      <c r="P3" s="627"/>
      <c r="Q3" s="627"/>
      <c r="R3" s="627"/>
      <c r="S3" s="627"/>
      <c r="T3" s="627"/>
      <c r="U3" s="627"/>
    </row>
    <row r="4" spans="1:21" x14ac:dyDescent="0.25">
      <c r="A4" s="568" t="s">
        <v>0</v>
      </c>
      <c r="B4" s="568"/>
      <c r="C4" s="569" t="s">
        <v>9</v>
      </c>
      <c r="D4" s="569"/>
      <c r="E4" s="569"/>
      <c r="F4" s="4" t="str">
        <f>'1461'!F4</f>
        <v>July 2024</v>
      </c>
      <c r="G4" s="4"/>
      <c r="H4" s="4"/>
      <c r="I4" s="4"/>
      <c r="N4" s="661" t="s">
        <v>0</v>
      </c>
      <c r="O4" s="661"/>
      <c r="P4" s="662" t="str">
        <f>C4</f>
        <v>Palm Beach</v>
      </c>
      <c r="Q4" s="662"/>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70" t="s">
        <v>433</v>
      </c>
      <c r="B7" s="664"/>
      <c r="C7" s="664"/>
      <c r="D7" s="664"/>
      <c r="E7" s="664"/>
      <c r="F7" s="664"/>
      <c r="G7" s="664"/>
      <c r="H7" s="664"/>
      <c r="I7" s="664"/>
      <c r="N7" s="661" t="str">
        <f>A7</f>
        <v>1A.   2023-24 FEFP State and Local Funding</v>
      </c>
      <c r="O7" s="661"/>
      <c r="P7" s="661"/>
      <c r="Q7" s="661"/>
      <c r="R7" s="661"/>
      <c r="S7" s="661"/>
      <c r="T7" s="661"/>
      <c r="U7" s="661"/>
    </row>
    <row r="8" spans="1:21" x14ac:dyDescent="0.25">
      <c r="A8" s="84"/>
      <c r="B8" s="85" t="s">
        <v>92</v>
      </c>
      <c r="C8" s="299">
        <f>'1461'!C8</f>
        <v>5330.98</v>
      </c>
      <c r="D8" s="86"/>
      <c r="E8" s="87"/>
      <c r="F8" s="84"/>
      <c r="G8" s="85" t="s">
        <v>393</v>
      </c>
      <c r="H8" s="287">
        <f>'1461'!H8</f>
        <v>1.0407999999999999</v>
      </c>
      <c r="I8" s="75"/>
      <c r="N8" s="665" t="s">
        <v>10</v>
      </c>
      <c r="O8" s="665"/>
      <c r="P8" s="666">
        <f>C8</f>
        <v>5330.98</v>
      </c>
      <c r="Q8" s="666"/>
      <c r="R8" s="648" t="s">
        <v>394</v>
      </c>
      <c r="S8" s="649"/>
      <c r="T8" s="650">
        <f>H8</f>
        <v>1.0407999999999999</v>
      </c>
      <c r="U8" s="650"/>
    </row>
    <row r="9" spans="1:21" x14ac:dyDescent="0.25">
      <c r="A9" s="84"/>
      <c r="B9" s="85"/>
      <c r="C9" s="222"/>
      <c r="D9" s="86"/>
      <c r="E9" s="87"/>
      <c r="F9" s="84"/>
      <c r="G9" s="85" t="s">
        <v>391</v>
      </c>
      <c r="H9" s="287">
        <f>'1461'!H9</f>
        <v>1</v>
      </c>
      <c r="I9" s="75"/>
      <c r="N9" s="12"/>
      <c r="O9" s="12"/>
      <c r="P9" s="13"/>
      <c r="Q9" s="13"/>
      <c r="R9" s="387" t="s">
        <v>392</v>
      </c>
      <c r="S9" s="384"/>
      <c r="T9" s="650">
        <f>H9</f>
        <v>1</v>
      </c>
      <c r="U9" s="650"/>
    </row>
    <row r="10" spans="1:21" x14ac:dyDescent="0.25">
      <c r="A10" s="7"/>
      <c r="B10" s="42" t="s">
        <v>310</v>
      </c>
      <c r="C10" s="334" t="str">
        <f>'1461'!C10</f>
        <v xml:space="preserve"> </v>
      </c>
      <c r="D10" s="334" t="str">
        <f>'1461'!D10</f>
        <v xml:space="preserve"> </v>
      </c>
      <c r="E10" s="8"/>
      <c r="F10" s="9"/>
      <c r="G10" s="9"/>
      <c r="H10" s="10"/>
      <c r="I10" s="305" t="str">
        <f>'1461'!I10</f>
        <v>2024-25</v>
      </c>
      <c r="N10" s="12"/>
      <c r="O10" s="12"/>
      <c r="P10" s="13"/>
      <c r="Q10" s="13"/>
      <c r="R10" s="14"/>
      <c r="S10" s="14"/>
      <c r="T10" s="15"/>
      <c r="U10" s="366" t="str">
        <f>I10</f>
        <v>2024-25</v>
      </c>
    </row>
    <row r="11" spans="1:21" x14ac:dyDescent="0.25">
      <c r="A11" s="7"/>
      <c r="B11" s="7"/>
      <c r="C11" s="333">
        <v>45200</v>
      </c>
      <c r="D11" s="333">
        <v>45200</v>
      </c>
      <c r="E11" s="89" t="s">
        <v>8</v>
      </c>
      <c r="F11" s="571" t="s">
        <v>1</v>
      </c>
      <c r="G11" s="571"/>
      <c r="H11" s="10" t="s">
        <v>60</v>
      </c>
      <c r="I11" s="11" t="s">
        <v>27</v>
      </c>
      <c r="N11" s="12"/>
      <c r="O11" s="12"/>
      <c r="P11" s="13"/>
      <c r="Q11" s="13"/>
      <c r="R11" s="651" t="s">
        <v>1</v>
      </c>
      <c r="S11" s="651"/>
      <c r="T11" s="15" t="s">
        <v>60</v>
      </c>
      <c r="U11" s="16" t="s">
        <v>27</v>
      </c>
    </row>
    <row r="12" spans="1:21" ht="15.75" customHeight="1" x14ac:dyDescent="0.25">
      <c r="A12" s="572" t="s">
        <v>1</v>
      </c>
      <c r="B12" s="572"/>
      <c r="C12" s="326" t="str">
        <f>'1461'!C12</f>
        <v>FTE</v>
      </c>
      <c r="D12" s="324" t="str">
        <f>'1461'!D12</f>
        <v>FTE</v>
      </c>
      <c r="E12" s="324" t="s">
        <v>2</v>
      </c>
      <c r="F12" s="573" t="s">
        <v>63</v>
      </c>
      <c r="G12" s="573"/>
      <c r="H12" s="17" t="s">
        <v>59</v>
      </c>
      <c r="I12" s="388" t="s">
        <v>395</v>
      </c>
      <c r="N12" s="639" t="s">
        <v>1</v>
      </c>
      <c r="O12" s="639"/>
      <c r="P12" s="652" t="s">
        <v>19</v>
      </c>
      <c r="Q12" s="652"/>
      <c r="R12" s="653" t="s">
        <v>63</v>
      </c>
      <c r="S12" s="653"/>
      <c r="T12" s="18" t="s">
        <v>59</v>
      </c>
      <c r="U12" s="19" t="str">
        <f>I12</f>
        <v>(WFTE x BSA x CWF x SDF)</v>
      </c>
    </row>
    <row r="13" spans="1:21" x14ac:dyDescent="0.25">
      <c r="A13" s="574" t="s">
        <v>36</v>
      </c>
      <c r="B13" s="574"/>
      <c r="C13" s="91"/>
      <c r="D13" s="91"/>
      <c r="E13" s="92" t="s">
        <v>37</v>
      </c>
      <c r="F13" s="575" t="s">
        <v>38</v>
      </c>
      <c r="G13" s="575"/>
      <c r="H13" s="20" t="s">
        <v>39</v>
      </c>
      <c r="I13" s="21" t="s">
        <v>40</v>
      </c>
      <c r="N13" s="654" t="s">
        <v>36</v>
      </c>
      <c r="O13" s="654"/>
      <c r="P13" s="655" t="s">
        <v>37</v>
      </c>
      <c r="Q13" s="655"/>
      <c r="R13" s="656" t="s">
        <v>38</v>
      </c>
      <c r="S13" s="656"/>
      <c r="T13" s="22" t="s">
        <v>39</v>
      </c>
      <c r="U13" s="23" t="s">
        <v>40</v>
      </c>
    </row>
    <row r="14" spans="1:21" x14ac:dyDescent="0.25">
      <c r="A14" s="576" t="s">
        <v>20</v>
      </c>
      <c r="B14" s="576"/>
      <c r="C14" s="143">
        <v>24.16</v>
      </c>
      <c r="D14" s="141">
        <v>19.55</v>
      </c>
      <c r="E14" s="187">
        <f>IF(D$30=0,C14*2,C14+D14)</f>
        <v>43.71</v>
      </c>
      <c r="F14" s="667">
        <f>'1461'!F14:G14</f>
        <v>1.1180000000000001</v>
      </c>
      <c r="G14" s="667"/>
      <c r="H14" s="145">
        <f>ROUND(E14*F14,4)</f>
        <v>48.867800000000003</v>
      </c>
      <c r="I14" s="111">
        <f>ROUND(ROUND(ROUND(H14*$C$8,4)*($H$8),2)*(MAX($H$9,1)),2)</f>
        <v>271142.21000000002</v>
      </c>
      <c r="N14" s="641" t="s">
        <v>20</v>
      </c>
      <c r="O14" s="641"/>
      <c r="P14" s="642">
        <f t="shared" ref="P14:P29" si="0">IF($H$133=1,E14,0)</f>
        <v>0</v>
      </c>
      <c r="Q14" s="642"/>
      <c r="R14" s="657">
        <v>1</v>
      </c>
      <c r="S14" s="657"/>
      <c r="T14" s="95">
        <f>ROUND(P14*R14,4)</f>
        <v>0</v>
      </c>
      <c r="U14" s="473">
        <f>ROUND(ROUND(ROUND(T14*$C$8,4)*($H$8),2)*(MAX($H$9,1)),2)</f>
        <v>0</v>
      </c>
    </row>
    <row r="15" spans="1:21" x14ac:dyDescent="0.25">
      <c r="A15" s="578" t="s">
        <v>21</v>
      </c>
      <c r="B15" s="578"/>
      <c r="C15" s="143">
        <v>2.5</v>
      </c>
      <c r="D15" s="143">
        <v>1.5</v>
      </c>
      <c r="E15" s="116">
        <f t="shared" ref="E15:E29" si="1">IF(D$30=0,C15*2,C15+D15)</f>
        <v>4</v>
      </c>
      <c r="F15" s="663">
        <f>'1461'!F15:G15</f>
        <v>1.1180000000000001</v>
      </c>
      <c r="G15" s="663"/>
      <c r="H15" s="80">
        <f t="shared" ref="H15:H29" si="2">ROUND(E15*F15,4)</f>
        <v>4.4720000000000004</v>
      </c>
      <c r="I15" s="101">
        <f t="shared" ref="I15:I29" si="3">ROUND(ROUND(ROUND(H15*$C$8,4)*($H$8),2)*(MAX($H$9,1)),2)</f>
        <v>24812.82</v>
      </c>
      <c r="J15" s="65" t="str">
        <f>IF(ROUND(E15,2)=ROUND(SUM(E57:E59),2)," ","CHECK PK-3 LINES BELOW")</f>
        <v xml:space="preserve"> </v>
      </c>
      <c r="N15" s="601" t="s">
        <v>21</v>
      </c>
      <c r="O15" s="601"/>
      <c r="P15" s="642">
        <f t="shared" si="0"/>
        <v>0</v>
      </c>
      <c r="Q15" s="642"/>
      <c r="R15" s="647">
        <v>1</v>
      </c>
      <c r="S15" s="647"/>
      <c r="T15" s="95">
        <f t="shared" ref="T15:T29" si="4">ROUND(P15*R15,4)</f>
        <v>0</v>
      </c>
      <c r="U15" s="473">
        <f t="shared" ref="U15:U29" si="5">ROUND(ROUND(ROUND(T15*$C$8,4)*($H$8),2)*(MAX($H$9,1)),2)</f>
        <v>0</v>
      </c>
    </row>
    <row r="16" spans="1:21" x14ac:dyDescent="0.25">
      <c r="A16" s="578" t="s">
        <v>22</v>
      </c>
      <c r="B16" s="578"/>
      <c r="C16" s="143">
        <v>29.83</v>
      </c>
      <c r="D16" s="143">
        <v>23.07</v>
      </c>
      <c r="E16" s="116">
        <f t="shared" si="1"/>
        <v>52.9</v>
      </c>
      <c r="F16" s="663">
        <f>'1461'!F16:G16</f>
        <v>1</v>
      </c>
      <c r="G16" s="663"/>
      <c r="H16" s="80">
        <f t="shared" si="2"/>
        <v>52.9</v>
      </c>
      <c r="I16" s="101">
        <f t="shared" si="3"/>
        <v>293514.8</v>
      </c>
      <c r="N16" s="601" t="s">
        <v>22</v>
      </c>
      <c r="O16" s="601"/>
      <c r="P16" s="642">
        <f t="shared" si="0"/>
        <v>0</v>
      </c>
      <c r="Q16" s="642"/>
      <c r="R16" s="647">
        <v>1</v>
      </c>
      <c r="S16" s="647"/>
      <c r="T16" s="95">
        <f t="shared" si="4"/>
        <v>0</v>
      </c>
      <c r="U16" s="473">
        <f t="shared" si="5"/>
        <v>0</v>
      </c>
    </row>
    <row r="17" spans="1:21" x14ac:dyDescent="0.25">
      <c r="A17" s="578" t="s">
        <v>23</v>
      </c>
      <c r="B17" s="578"/>
      <c r="C17" s="143">
        <v>5</v>
      </c>
      <c r="D17" s="143">
        <v>5</v>
      </c>
      <c r="E17" s="116">
        <f t="shared" si="1"/>
        <v>10</v>
      </c>
      <c r="F17" s="663">
        <f>'1461'!F17:G17</f>
        <v>1</v>
      </c>
      <c r="G17" s="663"/>
      <c r="H17" s="80">
        <f t="shared" si="2"/>
        <v>10</v>
      </c>
      <c r="I17" s="101">
        <f t="shared" si="3"/>
        <v>55484.84</v>
      </c>
      <c r="J17" s="65" t="str">
        <f>IF(ROUND(E17,2)=ROUND(SUM(E60:E62),2)," ","CHECK 4-8 LINES BELOW")</f>
        <v xml:space="preserve"> </v>
      </c>
      <c r="N17" s="601" t="s">
        <v>23</v>
      </c>
      <c r="O17" s="601"/>
      <c r="P17" s="642">
        <f t="shared" si="0"/>
        <v>0</v>
      </c>
      <c r="Q17" s="642"/>
      <c r="R17" s="647">
        <v>1</v>
      </c>
      <c r="S17" s="647"/>
      <c r="T17" s="95">
        <f t="shared" si="4"/>
        <v>0</v>
      </c>
      <c r="U17" s="473">
        <f t="shared" si="5"/>
        <v>0</v>
      </c>
    </row>
    <row r="18" spans="1:21" x14ac:dyDescent="0.25">
      <c r="A18" s="578" t="s">
        <v>24</v>
      </c>
      <c r="B18" s="578"/>
      <c r="C18" s="143">
        <v>0</v>
      </c>
      <c r="D18" s="143">
        <v>0</v>
      </c>
      <c r="E18" s="116">
        <f t="shared" si="1"/>
        <v>0</v>
      </c>
      <c r="F18" s="663">
        <f>'1461'!F18:G18</f>
        <v>0.97799999999999998</v>
      </c>
      <c r="G18" s="663"/>
      <c r="H18" s="80">
        <f t="shared" si="2"/>
        <v>0</v>
      </c>
      <c r="I18" s="101">
        <f t="shared" si="3"/>
        <v>0</v>
      </c>
      <c r="N18" s="601" t="s">
        <v>24</v>
      </c>
      <c r="O18" s="601"/>
      <c r="P18" s="642">
        <f t="shared" si="0"/>
        <v>0</v>
      </c>
      <c r="Q18" s="642"/>
      <c r="R18" s="647">
        <v>1</v>
      </c>
      <c r="S18" s="647"/>
      <c r="T18" s="95">
        <f t="shared" si="4"/>
        <v>0</v>
      </c>
      <c r="U18" s="473">
        <f t="shared" si="5"/>
        <v>0</v>
      </c>
    </row>
    <row r="19" spans="1:21" x14ac:dyDescent="0.25">
      <c r="A19" s="578" t="s">
        <v>25</v>
      </c>
      <c r="B19" s="578"/>
      <c r="C19" s="143">
        <v>0</v>
      </c>
      <c r="D19" s="143">
        <v>0</v>
      </c>
      <c r="E19" s="116">
        <f t="shared" si="1"/>
        <v>0</v>
      </c>
      <c r="F19" s="663">
        <f>'1461'!F19:G19</f>
        <v>0.97799999999999998</v>
      </c>
      <c r="G19" s="663"/>
      <c r="H19" s="80">
        <f t="shared" si="2"/>
        <v>0</v>
      </c>
      <c r="I19" s="101">
        <f t="shared" si="3"/>
        <v>0</v>
      </c>
      <c r="J19" s="65" t="str">
        <f>IF(ROUND(E19,2)=ROUND(SUM(E63:E65),2)," ","CHECK 4-8 LINES BELOW")</f>
        <v xml:space="preserve"> </v>
      </c>
      <c r="N19" s="601" t="s">
        <v>25</v>
      </c>
      <c r="O19" s="601"/>
      <c r="P19" s="642">
        <f t="shared" si="0"/>
        <v>0</v>
      </c>
      <c r="Q19" s="642"/>
      <c r="R19" s="647">
        <v>1</v>
      </c>
      <c r="S19" s="647"/>
      <c r="T19" s="95">
        <f t="shared" si="4"/>
        <v>0</v>
      </c>
      <c r="U19" s="472">
        <f t="shared" si="5"/>
        <v>0</v>
      </c>
    </row>
    <row r="20" spans="1:21" x14ac:dyDescent="0.25">
      <c r="A20" s="578" t="s">
        <v>79</v>
      </c>
      <c r="B20" s="578"/>
      <c r="C20" s="143">
        <v>0</v>
      </c>
      <c r="D20" s="143">
        <v>0</v>
      </c>
      <c r="E20" s="116">
        <f t="shared" si="1"/>
        <v>0</v>
      </c>
      <c r="F20" s="663">
        <f>'1461'!F20:G20</f>
        <v>3.6970000000000001</v>
      </c>
      <c r="G20" s="663"/>
      <c r="H20" s="80">
        <f t="shared" si="2"/>
        <v>0</v>
      </c>
      <c r="I20" s="101">
        <f t="shared" si="3"/>
        <v>0</v>
      </c>
      <c r="N20" s="601" t="s">
        <v>79</v>
      </c>
      <c r="O20" s="601"/>
      <c r="P20" s="642">
        <f t="shared" si="0"/>
        <v>0</v>
      </c>
      <c r="Q20" s="642"/>
      <c r="R20" s="647">
        <v>1</v>
      </c>
      <c r="S20" s="647"/>
      <c r="T20" s="95">
        <f t="shared" si="4"/>
        <v>0</v>
      </c>
      <c r="U20" s="473">
        <f t="shared" si="5"/>
        <v>0</v>
      </c>
    </row>
    <row r="21" spans="1:21" x14ac:dyDescent="0.25">
      <c r="A21" s="578" t="s">
        <v>80</v>
      </c>
      <c r="B21" s="578"/>
      <c r="C21" s="143">
        <v>0</v>
      </c>
      <c r="D21" s="143">
        <v>0</v>
      </c>
      <c r="E21" s="116">
        <f t="shared" si="1"/>
        <v>0</v>
      </c>
      <c r="F21" s="663">
        <f>'1461'!F21:G21</f>
        <v>3.6970000000000001</v>
      </c>
      <c r="G21" s="663"/>
      <c r="H21" s="80">
        <f t="shared" si="2"/>
        <v>0</v>
      </c>
      <c r="I21" s="101">
        <f t="shared" si="3"/>
        <v>0</v>
      </c>
      <c r="N21" s="601" t="s">
        <v>80</v>
      </c>
      <c r="O21" s="601"/>
      <c r="P21" s="642">
        <f t="shared" si="0"/>
        <v>0</v>
      </c>
      <c r="Q21" s="642"/>
      <c r="R21" s="647">
        <v>1</v>
      </c>
      <c r="S21" s="647"/>
      <c r="T21" s="95">
        <f t="shared" si="4"/>
        <v>0</v>
      </c>
      <c r="U21" s="473">
        <f t="shared" si="5"/>
        <v>0</v>
      </c>
    </row>
    <row r="22" spans="1:21" x14ac:dyDescent="0.25">
      <c r="A22" s="578" t="s">
        <v>81</v>
      </c>
      <c r="B22" s="578"/>
      <c r="C22" s="143">
        <v>0</v>
      </c>
      <c r="D22" s="143">
        <v>0</v>
      </c>
      <c r="E22" s="116">
        <f t="shared" si="1"/>
        <v>0</v>
      </c>
      <c r="F22" s="663">
        <f>'1461'!F22:G22</f>
        <v>3.6970000000000001</v>
      </c>
      <c r="G22" s="663"/>
      <c r="H22" s="80">
        <f t="shared" si="2"/>
        <v>0</v>
      </c>
      <c r="I22" s="101">
        <f t="shared" si="3"/>
        <v>0</v>
      </c>
      <c r="N22" s="601" t="s">
        <v>81</v>
      </c>
      <c r="O22" s="601"/>
      <c r="P22" s="642">
        <f t="shared" si="0"/>
        <v>0</v>
      </c>
      <c r="Q22" s="642"/>
      <c r="R22" s="647">
        <v>1</v>
      </c>
      <c r="S22" s="647"/>
      <c r="T22" s="95">
        <f t="shared" si="4"/>
        <v>0</v>
      </c>
      <c r="U22" s="473">
        <f t="shared" si="5"/>
        <v>0</v>
      </c>
    </row>
    <row r="23" spans="1:21" x14ac:dyDescent="0.25">
      <c r="A23" s="578" t="s">
        <v>82</v>
      </c>
      <c r="B23" s="578"/>
      <c r="C23" s="143">
        <v>0</v>
      </c>
      <c r="D23" s="143">
        <v>0</v>
      </c>
      <c r="E23" s="116">
        <f t="shared" si="1"/>
        <v>0</v>
      </c>
      <c r="F23" s="663">
        <f>'1461'!F23:G23</f>
        <v>5.992</v>
      </c>
      <c r="G23" s="663"/>
      <c r="H23" s="80">
        <f t="shared" si="2"/>
        <v>0</v>
      </c>
      <c r="I23" s="101">
        <f t="shared" si="3"/>
        <v>0</v>
      </c>
      <c r="N23" s="601" t="s">
        <v>82</v>
      </c>
      <c r="O23" s="601"/>
      <c r="P23" s="642">
        <f t="shared" si="0"/>
        <v>0</v>
      </c>
      <c r="Q23" s="642"/>
      <c r="R23" s="647">
        <v>1</v>
      </c>
      <c r="S23" s="647"/>
      <c r="T23" s="95">
        <f t="shared" si="4"/>
        <v>0</v>
      </c>
      <c r="U23" s="473">
        <f t="shared" si="5"/>
        <v>0</v>
      </c>
    </row>
    <row r="24" spans="1:21" x14ac:dyDescent="0.25">
      <c r="A24" s="578" t="s">
        <v>83</v>
      </c>
      <c r="B24" s="578"/>
      <c r="C24" s="143">
        <v>0</v>
      </c>
      <c r="D24" s="143">
        <v>0</v>
      </c>
      <c r="E24" s="116">
        <f t="shared" si="1"/>
        <v>0</v>
      </c>
      <c r="F24" s="663">
        <f>'1461'!F24:G24</f>
        <v>5.992</v>
      </c>
      <c r="G24" s="663"/>
      <c r="H24" s="80">
        <f t="shared" si="2"/>
        <v>0</v>
      </c>
      <c r="I24" s="101">
        <f t="shared" si="3"/>
        <v>0</v>
      </c>
      <c r="N24" s="601" t="s">
        <v>83</v>
      </c>
      <c r="O24" s="601"/>
      <c r="P24" s="642">
        <f t="shared" si="0"/>
        <v>0</v>
      </c>
      <c r="Q24" s="642"/>
      <c r="R24" s="647">
        <v>1</v>
      </c>
      <c r="S24" s="647"/>
      <c r="T24" s="95">
        <f t="shared" si="4"/>
        <v>0</v>
      </c>
      <c r="U24" s="473">
        <f t="shared" si="5"/>
        <v>0</v>
      </c>
    </row>
    <row r="25" spans="1:21" x14ac:dyDescent="0.25">
      <c r="A25" s="578" t="s">
        <v>84</v>
      </c>
      <c r="B25" s="578"/>
      <c r="C25" s="143">
        <v>0</v>
      </c>
      <c r="D25" s="143">
        <v>0</v>
      </c>
      <c r="E25" s="116">
        <f t="shared" si="1"/>
        <v>0</v>
      </c>
      <c r="F25" s="663">
        <f>'1461'!F25:G25</f>
        <v>5.992</v>
      </c>
      <c r="G25" s="663"/>
      <c r="H25" s="80">
        <f t="shared" si="2"/>
        <v>0</v>
      </c>
      <c r="I25" s="101">
        <f t="shared" si="3"/>
        <v>0</v>
      </c>
      <c r="N25" s="601" t="s">
        <v>84</v>
      </c>
      <c r="O25" s="601"/>
      <c r="P25" s="642">
        <f t="shared" si="0"/>
        <v>0</v>
      </c>
      <c r="Q25" s="642"/>
      <c r="R25" s="647">
        <v>1</v>
      </c>
      <c r="S25" s="647"/>
      <c r="T25" s="95">
        <f t="shared" si="4"/>
        <v>0</v>
      </c>
      <c r="U25" s="473">
        <f t="shared" si="5"/>
        <v>0</v>
      </c>
    </row>
    <row r="26" spans="1:21" x14ac:dyDescent="0.25">
      <c r="A26" s="578" t="s">
        <v>85</v>
      </c>
      <c r="B26" s="578"/>
      <c r="C26" s="143">
        <v>3.84</v>
      </c>
      <c r="D26" s="143">
        <v>3.45</v>
      </c>
      <c r="E26" s="116">
        <f t="shared" si="1"/>
        <v>7.29</v>
      </c>
      <c r="F26" s="663">
        <f>'1461'!F26:G26</f>
        <v>1.1919999999999999</v>
      </c>
      <c r="G26" s="663"/>
      <c r="H26" s="80">
        <f t="shared" si="2"/>
        <v>8.6897000000000002</v>
      </c>
      <c r="I26" s="101">
        <f t="shared" si="3"/>
        <v>48214.66</v>
      </c>
      <c r="N26" s="601" t="s">
        <v>85</v>
      </c>
      <c r="O26" s="601"/>
      <c r="P26" s="642">
        <f t="shared" si="0"/>
        <v>0</v>
      </c>
      <c r="Q26" s="642"/>
      <c r="R26" s="647">
        <v>1</v>
      </c>
      <c r="S26" s="647"/>
      <c r="T26" s="95">
        <f t="shared" si="4"/>
        <v>0</v>
      </c>
      <c r="U26" s="473">
        <f t="shared" si="5"/>
        <v>0</v>
      </c>
    </row>
    <row r="27" spans="1:21" x14ac:dyDescent="0.25">
      <c r="A27" s="578" t="s">
        <v>86</v>
      </c>
      <c r="B27" s="578"/>
      <c r="C27" s="143">
        <v>2.67</v>
      </c>
      <c r="D27" s="143">
        <v>1.91</v>
      </c>
      <c r="E27" s="116">
        <f t="shared" si="1"/>
        <v>4.58</v>
      </c>
      <c r="F27" s="663">
        <f>'1461'!F27:G27</f>
        <v>1.1919999999999999</v>
      </c>
      <c r="G27" s="663"/>
      <c r="H27" s="80">
        <f t="shared" si="2"/>
        <v>5.4593999999999996</v>
      </c>
      <c r="I27" s="101">
        <f t="shared" si="3"/>
        <v>30291.39</v>
      </c>
      <c r="N27" s="601" t="s">
        <v>86</v>
      </c>
      <c r="O27" s="601"/>
      <c r="P27" s="642">
        <f t="shared" si="0"/>
        <v>0</v>
      </c>
      <c r="Q27" s="642"/>
      <c r="R27" s="647">
        <v>1</v>
      </c>
      <c r="S27" s="647"/>
      <c r="T27" s="95">
        <f t="shared" si="4"/>
        <v>0</v>
      </c>
      <c r="U27" s="473">
        <f t="shared" si="5"/>
        <v>0</v>
      </c>
    </row>
    <row r="28" spans="1:21" x14ac:dyDescent="0.25">
      <c r="A28" s="578" t="s">
        <v>87</v>
      </c>
      <c r="B28" s="578"/>
      <c r="C28" s="143">
        <v>0</v>
      </c>
      <c r="D28" s="143">
        <v>0</v>
      </c>
      <c r="E28" s="116">
        <f t="shared" si="1"/>
        <v>0</v>
      </c>
      <c r="F28" s="663">
        <f>'1461'!F28:G28</f>
        <v>1.1919999999999999</v>
      </c>
      <c r="G28" s="663"/>
      <c r="H28" s="80">
        <f t="shared" si="2"/>
        <v>0</v>
      </c>
      <c r="I28" s="101">
        <f t="shared" si="3"/>
        <v>0</v>
      </c>
      <c r="N28" s="601" t="s">
        <v>87</v>
      </c>
      <c r="O28" s="601"/>
      <c r="P28" s="642">
        <f t="shared" si="0"/>
        <v>0</v>
      </c>
      <c r="Q28" s="642"/>
      <c r="R28" s="647">
        <v>1</v>
      </c>
      <c r="S28" s="647"/>
      <c r="T28" s="95">
        <f t="shared" si="4"/>
        <v>0</v>
      </c>
      <c r="U28" s="473">
        <f t="shared" si="5"/>
        <v>0</v>
      </c>
    </row>
    <row r="29" spans="1:21" x14ac:dyDescent="0.25">
      <c r="A29" s="578" t="s">
        <v>88</v>
      </c>
      <c r="B29" s="578"/>
      <c r="C29" s="110">
        <v>0</v>
      </c>
      <c r="D29" s="110">
        <v>0</v>
      </c>
      <c r="E29" s="154">
        <f t="shared" si="1"/>
        <v>0</v>
      </c>
      <c r="F29" s="663">
        <f>'1461'!F29:G29</f>
        <v>1.079</v>
      </c>
      <c r="G29" s="663"/>
      <c r="H29" s="93">
        <f t="shared" si="2"/>
        <v>0</v>
      </c>
      <c r="I29" s="94">
        <f t="shared" si="3"/>
        <v>0</v>
      </c>
      <c r="N29" s="616" t="s">
        <v>88</v>
      </c>
      <c r="O29" s="616"/>
      <c r="P29" s="642">
        <f t="shared" si="0"/>
        <v>0</v>
      </c>
      <c r="Q29" s="642"/>
      <c r="R29" s="643">
        <v>1</v>
      </c>
      <c r="S29" s="643"/>
      <c r="T29" s="95">
        <f t="shared" si="4"/>
        <v>0</v>
      </c>
      <c r="U29" s="473">
        <f t="shared" si="5"/>
        <v>0</v>
      </c>
    </row>
    <row r="30" spans="1:21" x14ac:dyDescent="0.25">
      <c r="A30" s="590" t="s">
        <v>5</v>
      </c>
      <c r="B30" s="590"/>
      <c r="C30" s="94">
        <f>SUM(C14:C29)</f>
        <v>68</v>
      </c>
      <c r="D30" s="94">
        <f>SUM(D14:D29)</f>
        <v>54.480000000000004</v>
      </c>
      <c r="E30" s="94">
        <f>SUM(E14:E29)</f>
        <v>122.48</v>
      </c>
      <c r="F30" s="582"/>
      <c r="G30" s="582"/>
      <c r="H30" s="99">
        <f>SUM(H14:H29)</f>
        <v>130.38890000000001</v>
      </c>
      <c r="I30" s="94">
        <f>SUM(I14:I29)</f>
        <v>723460.72000000009</v>
      </c>
      <c r="N30" s="644" t="s">
        <v>5</v>
      </c>
      <c r="O30" s="644"/>
      <c r="P30" s="645">
        <f>SUM(P14:P29)</f>
        <v>0</v>
      </c>
      <c r="Q30" s="645"/>
      <c r="R30" s="617"/>
      <c r="S30" s="617"/>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0" t="s">
        <v>233</v>
      </c>
      <c r="G34" s="670"/>
      <c r="H34" s="670"/>
      <c r="I34" s="101"/>
      <c r="N34" s="28"/>
      <c r="O34" s="28"/>
      <c r="P34" s="29"/>
      <c r="Q34" s="29"/>
      <c r="R34" s="30"/>
      <c r="S34" s="30"/>
      <c r="T34" s="102"/>
      <c r="U34" s="103"/>
    </row>
    <row r="35" spans="1:21" hidden="1" x14ac:dyDescent="0.25">
      <c r="A35" s="3"/>
      <c r="B35" s="69"/>
      <c r="C35" s="69"/>
      <c r="D35" s="69"/>
      <c r="E35" s="69"/>
      <c r="F35" s="670"/>
      <c r="G35" s="670"/>
      <c r="H35" s="670"/>
      <c r="I35" s="24" t="s">
        <v>61</v>
      </c>
      <c r="N35" s="627" t="s">
        <v>26</v>
      </c>
      <c r="O35" s="627"/>
      <c r="P35" s="627"/>
      <c r="Q35" s="627"/>
      <c r="R35" s="627"/>
      <c r="S35" s="627"/>
      <c r="T35" s="627"/>
      <c r="U35" s="25" t="str">
        <f>I35</f>
        <v>2015-16</v>
      </c>
    </row>
    <row r="36" spans="1:21" hidden="1" x14ac:dyDescent="0.25">
      <c r="A36" s="26"/>
      <c r="B36" s="26"/>
      <c r="C36" s="88" t="s">
        <v>93</v>
      </c>
      <c r="D36" s="88" t="s">
        <v>94</v>
      </c>
      <c r="E36" s="89" t="s">
        <v>8</v>
      </c>
      <c r="F36" s="670"/>
      <c r="G36" s="670"/>
      <c r="H36" s="670"/>
      <c r="I36" s="24" t="s">
        <v>27</v>
      </c>
      <c r="N36" s="28"/>
      <c r="O36" s="28"/>
      <c r="P36" s="29"/>
      <c r="Q36" s="29"/>
      <c r="R36" s="30"/>
      <c r="S36" s="30"/>
      <c r="T36" s="102"/>
      <c r="U36" s="25" t="s">
        <v>27</v>
      </c>
    </row>
    <row r="37" spans="1:21" ht="26.25" hidden="1" x14ac:dyDescent="0.25">
      <c r="A37" s="572" t="s">
        <v>50</v>
      </c>
      <c r="B37" s="572"/>
      <c r="C37" s="90" t="s">
        <v>2</v>
      </c>
      <c r="D37" s="90" t="s">
        <v>2</v>
      </c>
      <c r="E37" s="90" t="s">
        <v>2</v>
      </c>
      <c r="F37" s="671"/>
      <c r="G37" s="671"/>
      <c r="H37" s="671"/>
      <c r="I37" s="31" t="s">
        <v>395</v>
      </c>
      <c r="N37" s="639" t="s">
        <v>50</v>
      </c>
      <c r="O37" s="639"/>
      <c r="P37" s="640" t="s">
        <v>19</v>
      </c>
      <c r="Q37" s="640"/>
      <c r="R37" s="640"/>
      <c r="S37" s="640"/>
      <c r="T37" s="640"/>
      <c r="U37" s="19" t="str">
        <f>I37</f>
        <v>(WFTE x BSA x CWF x SDF)</v>
      </c>
    </row>
    <row r="38" spans="1:21" hidden="1" x14ac:dyDescent="0.25">
      <c r="A38" s="576" t="s">
        <v>45</v>
      </c>
      <c r="B38" s="576"/>
      <c r="C38" s="147">
        <v>0</v>
      </c>
      <c r="D38" s="147">
        <v>0</v>
      </c>
      <c r="E38" s="142">
        <f t="shared" ref="E38:E43" si="6">IF(D$44=0,C38*2,C38+D38)</f>
        <v>0</v>
      </c>
      <c r="F38" s="148"/>
      <c r="G38" s="148"/>
      <c r="H38" s="148"/>
      <c r="I38" s="111">
        <f>ROUND(ROUND(ROUND(E38*$C$8,4)*($H$8),2)*(MAX($H$9,1)),2)</f>
        <v>0</v>
      </c>
      <c r="N38" s="641" t="s">
        <v>45</v>
      </c>
      <c r="O38" s="641"/>
      <c r="P38" s="608">
        <f t="shared" ref="P38:P43" si="7">IF($H$133=1,E38,0)</f>
        <v>0</v>
      </c>
      <c r="Q38" s="608"/>
      <c r="R38" s="608"/>
      <c r="S38" s="608"/>
      <c r="T38" s="608"/>
      <c r="U38" s="98">
        <f>ROUND(ROUND(ROUND(P38*$C$8,4)*($H$8),2)*(MAX($H$9,1)),2)</f>
        <v>0</v>
      </c>
    </row>
    <row r="39" spans="1:21" hidden="1" x14ac:dyDescent="0.25">
      <c r="A39" s="578" t="s">
        <v>46</v>
      </c>
      <c r="B39" s="578"/>
      <c r="C39" s="150">
        <v>0</v>
      </c>
      <c r="D39" s="150">
        <v>0</v>
      </c>
      <c r="E39" s="144">
        <f t="shared" si="6"/>
        <v>0</v>
      </c>
      <c r="F39" s="151"/>
      <c r="G39" s="151"/>
      <c r="H39" s="151"/>
      <c r="I39" s="101">
        <f t="shared" ref="I39:I43" si="8">ROUND(ROUND(ROUND(E39*$C$8,4)*($H$8),2)*(MAX($H$9,1)),2)</f>
        <v>0</v>
      </c>
      <c r="N39" s="601" t="s">
        <v>46</v>
      </c>
      <c r="O39" s="601"/>
      <c r="P39" s="608">
        <f t="shared" si="7"/>
        <v>0</v>
      </c>
      <c r="Q39" s="608"/>
      <c r="R39" s="608"/>
      <c r="S39" s="608"/>
      <c r="T39" s="608"/>
      <c r="U39" s="98">
        <f t="shared" ref="U39:U43" si="9">ROUND(ROUND(ROUND(P39*$C$8,4)*($H$8),2)*(MAX($H$9,1)),2)</f>
        <v>0</v>
      </c>
    </row>
    <row r="40" spans="1:21" hidden="1" x14ac:dyDescent="0.25">
      <c r="A40" s="583" t="s">
        <v>47</v>
      </c>
      <c r="B40" s="583"/>
      <c r="C40" s="150">
        <v>0</v>
      </c>
      <c r="D40" s="150">
        <v>0</v>
      </c>
      <c r="E40" s="144">
        <f t="shared" si="6"/>
        <v>0</v>
      </c>
      <c r="F40" s="151"/>
      <c r="G40" s="151"/>
      <c r="H40" s="151"/>
      <c r="I40" s="101">
        <f t="shared" si="8"/>
        <v>0</v>
      </c>
      <c r="N40" s="646" t="s">
        <v>47</v>
      </c>
      <c r="O40" s="646"/>
      <c r="P40" s="608">
        <f t="shared" si="7"/>
        <v>0</v>
      </c>
      <c r="Q40" s="608"/>
      <c r="R40" s="608"/>
      <c r="S40" s="608"/>
      <c r="T40" s="608"/>
      <c r="U40" s="98">
        <f t="shared" si="9"/>
        <v>0</v>
      </c>
    </row>
    <row r="41" spans="1:21" hidden="1" x14ac:dyDescent="0.25">
      <c r="A41" s="578" t="s">
        <v>48</v>
      </c>
      <c r="B41" s="578"/>
      <c r="C41" s="150">
        <v>0</v>
      </c>
      <c r="D41" s="150">
        <v>0</v>
      </c>
      <c r="E41" s="144">
        <f t="shared" si="6"/>
        <v>0</v>
      </c>
      <c r="F41" s="151"/>
      <c r="G41" s="151"/>
      <c r="H41" s="151"/>
      <c r="I41" s="101">
        <f t="shared" si="8"/>
        <v>0</v>
      </c>
      <c r="N41" s="601" t="s">
        <v>48</v>
      </c>
      <c r="O41" s="601"/>
      <c r="P41" s="608">
        <f t="shared" si="7"/>
        <v>0</v>
      </c>
      <c r="Q41" s="608"/>
      <c r="R41" s="608"/>
      <c r="S41" s="608"/>
      <c r="T41" s="608"/>
      <c r="U41" s="98">
        <f t="shared" si="9"/>
        <v>0</v>
      </c>
    </row>
    <row r="42" spans="1:21" hidden="1" x14ac:dyDescent="0.25">
      <c r="A42" s="578" t="s">
        <v>49</v>
      </c>
      <c r="B42" s="578"/>
      <c r="C42" s="150">
        <v>0</v>
      </c>
      <c r="D42" s="150">
        <v>0</v>
      </c>
      <c r="E42" s="144">
        <f t="shared" si="6"/>
        <v>0</v>
      </c>
      <c r="F42" s="151"/>
      <c r="G42" s="151"/>
      <c r="H42" s="151"/>
      <c r="I42" s="101">
        <f t="shared" si="8"/>
        <v>0</v>
      </c>
      <c r="N42" s="601" t="s">
        <v>49</v>
      </c>
      <c r="O42" s="601"/>
      <c r="P42" s="608">
        <f t="shared" si="7"/>
        <v>0</v>
      </c>
      <c r="Q42" s="608"/>
      <c r="R42" s="608"/>
      <c r="S42" s="608"/>
      <c r="T42" s="608"/>
      <c r="U42" s="98">
        <f t="shared" si="9"/>
        <v>0</v>
      </c>
    </row>
    <row r="43" spans="1:21" hidden="1" x14ac:dyDescent="0.25">
      <c r="A43" s="578" t="s">
        <v>41</v>
      </c>
      <c r="B43" s="578"/>
      <c r="C43" s="149">
        <v>0</v>
      </c>
      <c r="D43" s="149">
        <v>0</v>
      </c>
      <c r="E43" s="136">
        <f t="shared" si="6"/>
        <v>0</v>
      </c>
      <c r="F43" s="151"/>
      <c r="G43" s="151"/>
      <c r="H43" s="151"/>
      <c r="I43" s="94">
        <f t="shared" si="8"/>
        <v>0</v>
      </c>
      <c r="N43" s="616" t="s">
        <v>41</v>
      </c>
      <c r="O43" s="616"/>
      <c r="P43" s="608">
        <f t="shared" si="7"/>
        <v>0</v>
      </c>
      <c r="Q43" s="608"/>
      <c r="R43" s="608"/>
      <c r="S43" s="608"/>
      <c r="T43" s="60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3" t="s">
        <v>43</v>
      </c>
      <c r="O44" s="603"/>
      <c r="P44" s="603"/>
      <c r="Q44" s="603"/>
      <c r="R44" s="33">
        <f>SUM(P38:R43)</f>
        <v>0</v>
      </c>
      <c r="S44" s="617" t="s">
        <v>51</v>
      </c>
      <c r="T44" s="617"/>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130.38890000000001</v>
      </c>
      <c r="F46" s="34"/>
      <c r="G46" s="106"/>
      <c r="H46" s="107" t="s">
        <v>98</v>
      </c>
      <c r="I46" s="94">
        <f>SUM(I44,I30)</f>
        <v>723460.72000000009</v>
      </c>
      <c r="N46" s="603" t="s">
        <v>44</v>
      </c>
      <c r="O46" s="603"/>
      <c r="P46" s="603"/>
      <c r="Q46" s="603"/>
      <c r="R46" s="35">
        <f>R44+T30</f>
        <v>0</v>
      </c>
      <c r="S46" s="617" t="s">
        <v>42</v>
      </c>
      <c r="T46" s="617"/>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396</v>
      </c>
      <c r="B48" s="26"/>
      <c r="C48" s="26"/>
      <c r="D48" s="26"/>
      <c r="E48" s="26"/>
      <c r="F48" s="34"/>
      <c r="G48" s="27"/>
      <c r="H48" s="27"/>
      <c r="I48" s="101"/>
      <c r="N48" s="383" t="s">
        <v>396</v>
      </c>
      <c r="O48" s="28"/>
      <c r="P48" s="28"/>
      <c r="Q48" s="28"/>
      <c r="R48" s="35"/>
      <c r="S48" s="30"/>
      <c r="T48" s="30"/>
      <c r="U48" s="402"/>
    </row>
    <row r="49" spans="1:22" s="391" customFormat="1" ht="9" customHeight="1" x14ac:dyDescent="0.2">
      <c r="A49" s="481" t="s">
        <v>397</v>
      </c>
      <c r="F49" s="392"/>
      <c r="G49" s="393"/>
      <c r="H49" s="393"/>
      <c r="I49" s="394"/>
      <c r="N49" s="403" t="s">
        <v>397</v>
      </c>
      <c r="O49" s="395"/>
      <c r="P49" s="395"/>
      <c r="Q49" s="395"/>
      <c r="R49" s="396"/>
      <c r="S49" s="397"/>
      <c r="T49" s="397"/>
      <c r="U49" s="404"/>
    </row>
    <row r="50" spans="1:22" s="391" customFormat="1" ht="11.25" customHeight="1" x14ac:dyDescent="0.2">
      <c r="A50" s="483" t="s">
        <v>398</v>
      </c>
      <c r="F50" s="392"/>
      <c r="G50" s="393"/>
      <c r="H50" s="393"/>
      <c r="I50" s="394"/>
      <c r="N50" s="405" t="s">
        <v>398</v>
      </c>
      <c r="O50" s="395"/>
      <c r="P50" s="395"/>
      <c r="Q50" s="395"/>
      <c r="R50" s="396"/>
      <c r="S50" s="397"/>
      <c r="T50" s="397"/>
      <c r="U50" s="404"/>
    </row>
    <row r="51" spans="1:22" x14ac:dyDescent="0.25">
      <c r="A51" s="389"/>
      <c r="B51" s="399" t="s">
        <v>399</v>
      </c>
      <c r="C51" s="26"/>
      <c r="D51" s="26"/>
      <c r="E51" s="43" t="s">
        <v>400</v>
      </c>
      <c r="F51" s="400">
        <f>I46</f>
        <v>723460.72000000009</v>
      </c>
      <c r="G51" s="109" t="s">
        <v>6</v>
      </c>
      <c r="H51" s="401">
        <v>4.5199999999999997E-2</v>
      </c>
      <c r="I51" s="101">
        <f>ROUND(F51*H51,2)</f>
        <v>32700.42</v>
      </c>
      <c r="N51" s="406"/>
      <c r="O51" s="407" t="s">
        <v>399</v>
      </c>
      <c r="P51" s="28"/>
      <c r="Q51" s="44" t="s">
        <v>400</v>
      </c>
      <c r="R51" s="408">
        <f>U30</f>
        <v>0</v>
      </c>
      <c r="S51" s="409" t="s">
        <v>6</v>
      </c>
      <c r="T51" s="410">
        <v>4.5199999999999997E-2</v>
      </c>
      <c r="U51" s="402">
        <f>ROUND(R51*T51,2)</f>
        <v>0</v>
      </c>
    </row>
    <row r="52" spans="1:22" x14ac:dyDescent="0.25">
      <c r="A52" s="26"/>
      <c r="B52" s="81" t="s">
        <v>401</v>
      </c>
      <c r="C52" s="26"/>
      <c r="D52" s="26"/>
      <c r="E52" s="43" t="s">
        <v>400</v>
      </c>
      <c r="F52" s="400">
        <f>I46</f>
        <v>723460.72000000009</v>
      </c>
      <c r="G52" s="109" t="s">
        <v>6</v>
      </c>
      <c r="H52" s="401">
        <v>1.41E-2</v>
      </c>
      <c r="I52" s="101">
        <f>ROUND(F52*H52,2)</f>
        <v>10200.799999999999</v>
      </c>
      <c r="N52" s="28"/>
      <c r="O52" s="383" t="s">
        <v>401</v>
      </c>
      <c r="P52" s="28"/>
      <c r="Q52" s="44" t="s">
        <v>400</v>
      </c>
      <c r="R52" s="408">
        <f>U30</f>
        <v>0</v>
      </c>
      <c r="S52" s="409" t="s">
        <v>6</v>
      </c>
      <c r="T52" s="410">
        <v>1.41E-2</v>
      </c>
      <c r="U52" s="411">
        <f>ROUND(R52*T52,2)</f>
        <v>0</v>
      </c>
    </row>
    <row r="53" spans="1:22" x14ac:dyDescent="0.25">
      <c r="A53" s="26"/>
      <c r="B53" s="81" t="s">
        <v>402</v>
      </c>
      <c r="C53" s="26"/>
      <c r="D53" s="26"/>
      <c r="E53" s="43"/>
      <c r="F53" s="400"/>
      <c r="G53" s="109"/>
      <c r="H53" s="401"/>
      <c r="I53" s="97">
        <f>SUM(I51:I52)</f>
        <v>42901.22</v>
      </c>
      <c r="N53" s="28"/>
      <c r="O53" s="383" t="s">
        <v>402</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440</v>
      </c>
      <c r="G55" s="109" t="s">
        <v>441</v>
      </c>
      <c r="H55" s="454" t="s">
        <v>442</v>
      </c>
      <c r="I55" s="101"/>
      <c r="N55" s="448"/>
      <c r="O55" s="448"/>
      <c r="P55" s="464"/>
      <c r="Q55" s="465"/>
      <c r="R55" s="466"/>
      <c r="S55" s="468" t="s">
        <v>441</v>
      </c>
      <c r="T55" s="469" t="s">
        <v>442</v>
      </c>
      <c r="U55" s="467"/>
      <c r="V55" s="424"/>
    </row>
    <row r="56" spans="1:22" x14ac:dyDescent="0.25">
      <c r="A56" s="36" t="s">
        <v>443</v>
      </c>
      <c r="B56" s="36"/>
      <c r="C56" s="324" t="str">
        <f>'1461'!C56</f>
        <v>FTE</v>
      </c>
      <c r="D56" s="324" t="str">
        <f>'1461'!D56</f>
        <v>FTE</v>
      </c>
      <c r="E56" s="90" t="s">
        <v>2</v>
      </c>
      <c r="F56" s="439" t="s">
        <v>444</v>
      </c>
      <c r="G56" s="441" t="s">
        <v>444</v>
      </c>
      <c r="H56" s="455" t="s">
        <v>445</v>
      </c>
      <c r="I56" s="36"/>
      <c r="N56" s="459" t="s">
        <v>443</v>
      </c>
      <c r="O56" s="459"/>
      <c r="P56" s="620" t="s">
        <v>2</v>
      </c>
      <c r="Q56" s="620"/>
      <c r="R56" s="459" t="s">
        <v>449</v>
      </c>
      <c r="S56" s="450" t="s">
        <v>444</v>
      </c>
      <c r="T56" s="470" t="s">
        <v>445</v>
      </c>
      <c r="U56" s="459"/>
      <c r="V56" s="458"/>
    </row>
    <row r="57" spans="1:22" x14ac:dyDescent="0.25">
      <c r="A57" s="588" t="s">
        <v>447</v>
      </c>
      <c r="B57" s="588"/>
      <c r="C57" s="143">
        <v>2</v>
      </c>
      <c r="D57" s="143">
        <v>1</v>
      </c>
      <c r="E57" s="116">
        <f t="shared" ref="E57:E65" si="10">IF(D$66=0,C57*2,C57+D57)</f>
        <v>3</v>
      </c>
      <c r="F57" s="443" t="s">
        <v>439</v>
      </c>
      <c r="G57" s="443">
        <v>251</v>
      </c>
      <c r="H57" s="457">
        <f>'1461'!H57</f>
        <v>1047</v>
      </c>
      <c r="I57" s="101">
        <f>ROUND(E57*H57,2)</f>
        <v>3141</v>
      </c>
      <c r="N57" s="618" t="s">
        <v>447</v>
      </c>
      <c r="O57" s="618"/>
      <c r="P57" s="621"/>
      <c r="Q57" s="621"/>
      <c r="R57" s="449" t="s">
        <v>439</v>
      </c>
      <c r="S57" s="449">
        <v>251</v>
      </c>
      <c r="T57" s="460">
        <f>H57</f>
        <v>1047</v>
      </c>
      <c r="U57" s="474">
        <f>ROUND(P57*T57,2)</f>
        <v>0</v>
      </c>
      <c r="V57" s="424"/>
    </row>
    <row r="58" spans="1:22" x14ac:dyDescent="0.25">
      <c r="A58" s="589"/>
      <c r="B58" s="589"/>
      <c r="C58" s="143">
        <v>0.5</v>
      </c>
      <c r="D58" s="143">
        <v>0.5</v>
      </c>
      <c r="E58" s="116">
        <f t="shared" si="10"/>
        <v>1</v>
      </c>
      <c r="F58" s="443" t="s">
        <v>439</v>
      </c>
      <c r="G58" s="443">
        <v>252</v>
      </c>
      <c r="H58" s="457">
        <f>'1461'!H58</f>
        <v>3380</v>
      </c>
      <c r="I58" s="101">
        <f t="shared" ref="I58:I65" si="11">ROUND(E58*H58,2)</f>
        <v>3380</v>
      </c>
      <c r="N58" s="619"/>
      <c r="O58" s="619"/>
      <c r="P58" s="622"/>
      <c r="Q58" s="622"/>
      <c r="R58" s="449" t="s">
        <v>439</v>
      </c>
      <c r="S58" s="449">
        <v>252</v>
      </c>
      <c r="T58" s="460">
        <f t="shared" ref="T58:T65" si="12">H58</f>
        <v>3380</v>
      </c>
      <c r="U58" s="474">
        <f t="shared" ref="U58:U65" si="13">ROUND(P58*T58,2)</f>
        <v>0</v>
      </c>
      <c r="V58" s="424"/>
    </row>
    <row r="59" spans="1:22" x14ac:dyDescent="0.25">
      <c r="A59" s="589"/>
      <c r="B59" s="589"/>
      <c r="C59" s="143">
        <v>0</v>
      </c>
      <c r="D59" s="143">
        <v>0</v>
      </c>
      <c r="E59" s="116">
        <f t="shared" si="10"/>
        <v>0</v>
      </c>
      <c r="F59" s="443" t="s">
        <v>439</v>
      </c>
      <c r="G59" s="443">
        <v>253</v>
      </c>
      <c r="H59" s="457">
        <f>'1461'!H59</f>
        <v>6896</v>
      </c>
      <c r="I59" s="101">
        <f t="shared" si="11"/>
        <v>0</v>
      </c>
      <c r="N59" s="619"/>
      <c r="O59" s="619"/>
      <c r="P59" s="622"/>
      <c r="Q59" s="622"/>
      <c r="R59" s="449" t="s">
        <v>439</v>
      </c>
      <c r="S59" s="449">
        <v>253</v>
      </c>
      <c r="T59" s="460">
        <f t="shared" si="12"/>
        <v>6896</v>
      </c>
      <c r="U59" s="474">
        <f t="shared" si="13"/>
        <v>0</v>
      </c>
      <c r="V59" s="424"/>
    </row>
    <row r="60" spans="1:22" x14ac:dyDescent="0.25">
      <c r="A60" s="589"/>
      <c r="B60" s="589"/>
      <c r="C60" s="143">
        <v>3.5</v>
      </c>
      <c r="D60" s="143">
        <v>3.98</v>
      </c>
      <c r="E60" s="116">
        <f t="shared" si="10"/>
        <v>7.48</v>
      </c>
      <c r="F60" s="444" t="s">
        <v>13</v>
      </c>
      <c r="G60" s="443">
        <v>251</v>
      </c>
      <c r="H60" s="457">
        <f>'1461'!H60</f>
        <v>1173</v>
      </c>
      <c r="I60" s="101">
        <f t="shared" si="11"/>
        <v>8774.0400000000009</v>
      </c>
      <c r="N60" s="619"/>
      <c r="O60" s="619"/>
      <c r="P60" s="622"/>
      <c r="Q60" s="622"/>
      <c r="R60" s="40" t="s">
        <v>13</v>
      </c>
      <c r="S60" s="449">
        <v>251</v>
      </c>
      <c r="T60" s="460">
        <f t="shared" si="12"/>
        <v>1173</v>
      </c>
      <c r="U60" s="474">
        <f t="shared" si="13"/>
        <v>0</v>
      </c>
      <c r="V60" s="424"/>
    </row>
    <row r="61" spans="1:22" x14ac:dyDescent="0.25">
      <c r="A61" s="589"/>
      <c r="B61" s="589"/>
      <c r="C61" s="143">
        <v>1.5</v>
      </c>
      <c r="D61" s="143">
        <v>1.02</v>
      </c>
      <c r="E61" s="116">
        <f t="shared" si="10"/>
        <v>2.52</v>
      </c>
      <c r="F61" s="444" t="s">
        <v>13</v>
      </c>
      <c r="G61" s="443">
        <v>252</v>
      </c>
      <c r="H61" s="457">
        <f>'1461'!H61</f>
        <v>3506</v>
      </c>
      <c r="I61" s="101">
        <f t="shared" si="11"/>
        <v>8835.1200000000008</v>
      </c>
      <c r="N61" s="619"/>
      <c r="O61" s="619"/>
      <c r="P61" s="622"/>
      <c r="Q61" s="622"/>
      <c r="R61" s="40" t="s">
        <v>13</v>
      </c>
      <c r="S61" s="449">
        <v>252</v>
      </c>
      <c r="T61" s="460">
        <f t="shared" si="12"/>
        <v>3506</v>
      </c>
      <c r="U61" s="474">
        <f t="shared" si="13"/>
        <v>0</v>
      </c>
      <c r="V61" s="424"/>
    </row>
    <row r="62" spans="1:22" x14ac:dyDescent="0.25">
      <c r="A62" s="589"/>
      <c r="B62" s="589"/>
      <c r="C62" s="143">
        <v>0</v>
      </c>
      <c r="D62" s="143">
        <v>0</v>
      </c>
      <c r="E62" s="116">
        <f t="shared" si="10"/>
        <v>0</v>
      </c>
      <c r="F62" s="444" t="s">
        <v>13</v>
      </c>
      <c r="G62" s="443">
        <v>253</v>
      </c>
      <c r="H62" s="457">
        <f>'1461'!H62</f>
        <v>7023</v>
      </c>
      <c r="I62" s="101">
        <f t="shared" si="11"/>
        <v>0</v>
      </c>
      <c r="N62" s="619"/>
      <c r="O62" s="619"/>
      <c r="P62" s="622"/>
      <c r="Q62" s="622"/>
      <c r="R62" s="40" t="s">
        <v>13</v>
      </c>
      <c r="S62" s="449">
        <v>253</v>
      </c>
      <c r="T62" s="460">
        <f t="shared" si="12"/>
        <v>7023</v>
      </c>
      <c r="U62" s="474">
        <f t="shared" si="13"/>
        <v>0</v>
      </c>
      <c r="V62" s="424"/>
    </row>
    <row r="63" spans="1:22" x14ac:dyDescent="0.25">
      <c r="A63" s="589"/>
      <c r="B63" s="589"/>
      <c r="C63" s="143">
        <v>0</v>
      </c>
      <c r="D63" s="143">
        <v>0</v>
      </c>
      <c r="E63" s="116">
        <f t="shared" si="10"/>
        <v>0</v>
      </c>
      <c r="F63" s="444" t="s">
        <v>14</v>
      </c>
      <c r="G63" s="443">
        <v>251</v>
      </c>
      <c r="H63" s="457">
        <f>'1461'!H63</f>
        <v>835</v>
      </c>
      <c r="I63" s="101">
        <f t="shared" si="11"/>
        <v>0</v>
      </c>
      <c r="N63" s="619"/>
      <c r="O63" s="619"/>
      <c r="P63" s="622"/>
      <c r="Q63" s="622"/>
      <c r="R63" s="40" t="s">
        <v>14</v>
      </c>
      <c r="S63" s="449">
        <v>251</v>
      </c>
      <c r="T63" s="460">
        <f t="shared" si="12"/>
        <v>835</v>
      </c>
      <c r="U63" s="474">
        <f t="shared" si="13"/>
        <v>0</v>
      </c>
      <c r="V63" s="424"/>
    </row>
    <row r="64" spans="1:22" x14ac:dyDescent="0.25">
      <c r="A64" s="589"/>
      <c r="B64" s="589"/>
      <c r="C64" s="143">
        <v>0</v>
      </c>
      <c r="D64" s="143">
        <v>0</v>
      </c>
      <c r="E64" s="116">
        <f t="shared" si="10"/>
        <v>0</v>
      </c>
      <c r="F64" s="444" t="s">
        <v>14</v>
      </c>
      <c r="G64" s="443">
        <v>252</v>
      </c>
      <c r="H64" s="457">
        <f>'1461'!H64</f>
        <v>3168</v>
      </c>
      <c r="I64" s="101">
        <f t="shared" si="11"/>
        <v>0</v>
      </c>
      <c r="N64" s="619"/>
      <c r="O64" s="619"/>
      <c r="P64" s="622"/>
      <c r="Q64" s="622"/>
      <c r="R64" s="40" t="s">
        <v>14</v>
      </c>
      <c r="S64" s="449">
        <v>252</v>
      </c>
      <c r="T64" s="460">
        <f t="shared" si="12"/>
        <v>3168</v>
      </c>
      <c r="U64" s="474">
        <f t="shared" si="13"/>
        <v>0</v>
      </c>
      <c r="V64" s="424"/>
    </row>
    <row r="65" spans="1:22" ht="16.5" thickBot="1" x14ac:dyDescent="0.3">
      <c r="A65" s="589"/>
      <c r="B65" s="589"/>
      <c r="C65" s="143">
        <v>0</v>
      </c>
      <c r="D65" s="143">
        <v>0</v>
      </c>
      <c r="E65" s="116">
        <f t="shared" si="10"/>
        <v>0</v>
      </c>
      <c r="F65" s="444" t="s">
        <v>14</v>
      </c>
      <c r="G65" s="443">
        <v>253</v>
      </c>
      <c r="H65" s="457">
        <f>'1461'!H65</f>
        <v>6685</v>
      </c>
      <c r="I65" s="101">
        <f t="shared" si="11"/>
        <v>0</v>
      </c>
      <c r="N65" s="619"/>
      <c r="O65" s="619"/>
      <c r="P65" s="623"/>
      <c r="Q65" s="623"/>
      <c r="R65" s="40" t="s">
        <v>14</v>
      </c>
      <c r="S65" s="449">
        <v>253</v>
      </c>
      <c r="T65" s="460">
        <f t="shared" si="12"/>
        <v>6685</v>
      </c>
      <c r="U65" s="475">
        <f t="shared" si="13"/>
        <v>0</v>
      </c>
      <c r="V65" s="424"/>
    </row>
    <row r="66" spans="1:22" ht="16.5" thickBot="1" x14ac:dyDescent="0.3">
      <c r="A66" s="440"/>
      <c r="C66" s="97">
        <f>SUM(C57:C65)</f>
        <v>7.5</v>
      </c>
      <c r="D66" s="97">
        <f>SUM(D57:D65)</f>
        <v>6.5</v>
      </c>
      <c r="E66" s="97">
        <f>SUM(E57:E65)</f>
        <v>14</v>
      </c>
      <c r="F66" s="590" t="s">
        <v>448</v>
      </c>
      <c r="G66" s="590"/>
      <c r="H66" s="590"/>
      <c r="I66" s="97">
        <f>SUM(I57:I65)</f>
        <v>24130.160000000003</v>
      </c>
      <c r="N66" s="446"/>
      <c r="O66" s="51"/>
      <c r="P66" s="602">
        <f>SUM(P57:P65)</f>
        <v>0</v>
      </c>
      <c r="Q66" s="602"/>
      <c r="R66" s="603" t="s">
        <v>448</v>
      </c>
      <c r="S66" s="603"/>
      <c r="T66" s="603"/>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450</v>
      </c>
      <c r="N68" s="453" t="s">
        <v>458</v>
      </c>
      <c r="O68" s="51"/>
      <c r="P68" s="51"/>
      <c r="Q68" s="51"/>
      <c r="R68" s="51"/>
      <c r="S68" s="51"/>
      <c r="T68" s="51"/>
      <c r="U68" s="51"/>
    </row>
    <row r="69" spans="1:22" x14ac:dyDescent="0.25">
      <c r="A69" s="584" t="s">
        <v>403</v>
      </c>
      <c r="B69" s="578"/>
      <c r="C69" s="112">
        <f>E30</f>
        <v>122.48</v>
      </c>
      <c r="D69" s="565" t="s">
        <v>414</v>
      </c>
      <c r="E69" s="565"/>
      <c r="F69" s="565"/>
      <c r="G69" s="565"/>
      <c r="H69" s="300">
        <f>'1461'!H69</f>
        <v>210228.91</v>
      </c>
      <c r="I69" s="113"/>
      <c r="N69" s="600" t="s">
        <v>407</v>
      </c>
      <c r="O69" s="601"/>
      <c r="P69" s="41">
        <f>P30</f>
        <v>0</v>
      </c>
      <c r="Q69" s="606" t="s">
        <v>409</v>
      </c>
      <c r="R69" s="607"/>
      <c r="S69" s="607"/>
      <c r="T69" s="604">
        <f>H69</f>
        <v>210228.91</v>
      </c>
      <c r="U69" s="604"/>
    </row>
    <row r="70" spans="1:22" x14ac:dyDescent="0.25">
      <c r="B70" s="69"/>
      <c r="G70" s="42" t="s">
        <v>12</v>
      </c>
      <c r="H70" s="114">
        <f>ROUND(C69/H69,6)</f>
        <v>5.8299999999999997E-4</v>
      </c>
      <c r="I70" s="115"/>
      <c r="N70" s="601"/>
      <c r="O70" s="601"/>
      <c r="P70" s="601"/>
      <c r="Q70" s="601"/>
      <c r="R70" s="601"/>
      <c r="S70" s="601"/>
      <c r="T70" s="605">
        <f>ROUND(P69/T69,6)</f>
        <v>0</v>
      </c>
      <c r="U70" s="605"/>
    </row>
    <row r="71" spans="1:22" x14ac:dyDescent="0.25">
      <c r="A71" s="442" t="s">
        <v>451</v>
      </c>
      <c r="N71" s="453" t="s">
        <v>459</v>
      </c>
      <c r="O71" s="51"/>
      <c r="P71" s="51"/>
      <c r="Q71" s="51"/>
      <c r="R71" s="51"/>
      <c r="S71" s="51"/>
      <c r="T71" s="51"/>
      <c r="U71" s="51"/>
    </row>
    <row r="72" spans="1:22" x14ac:dyDescent="0.25">
      <c r="A72" s="584" t="s">
        <v>404</v>
      </c>
      <c r="B72" s="578"/>
      <c r="C72" s="112">
        <f>H30</f>
        <v>130.38890000000001</v>
      </c>
      <c r="D72" s="565" t="s">
        <v>415</v>
      </c>
      <c r="E72" s="565"/>
      <c r="F72" s="565"/>
      <c r="G72" s="565"/>
      <c r="H72" s="301">
        <f>'1461'!H72</f>
        <v>234891.44</v>
      </c>
      <c r="I72" s="116"/>
      <c r="N72" s="600" t="s">
        <v>408</v>
      </c>
      <c r="O72" s="601"/>
      <c r="P72" s="41">
        <f>T30</f>
        <v>0</v>
      </c>
      <c r="Q72" s="606" t="s">
        <v>410</v>
      </c>
      <c r="R72" s="607"/>
      <c r="S72" s="607"/>
      <c r="T72" s="604">
        <f>H72</f>
        <v>234891.44</v>
      </c>
      <c r="U72" s="604"/>
    </row>
    <row r="73" spans="1:22" x14ac:dyDescent="0.25">
      <c r="G73" s="42" t="s">
        <v>12</v>
      </c>
      <c r="H73" s="114">
        <f>ROUND(C72/H72,6)</f>
        <v>5.5500000000000005E-4</v>
      </c>
      <c r="I73" s="114"/>
      <c r="N73" s="601"/>
      <c r="O73" s="601"/>
      <c r="P73" s="601"/>
      <c r="Q73" s="601"/>
      <c r="R73" s="601"/>
      <c r="S73" s="601"/>
      <c r="T73" s="605">
        <f>ROUND(P72/T72,6)</f>
        <v>0</v>
      </c>
      <c r="U73" s="605"/>
    </row>
    <row r="74" spans="1:22" x14ac:dyDescent="0.25">
      <c r="A74" s="417" t="s">
        <v>452</v>
      </c>
      <c r="B74" s="414"/>
      <c r="C74" s="414"/>
      <c r="D74" s="414"/>
      <c r="E74" s="414"/>
      <c r="F74" s="414"/>
      <c r="G74" s="414"/>
      <c r="H74" s="414"/>
      <c r="I74" s="414"/>
      <c r="N74" s="416" t="s">
        <v>460</v>
      </c>
      <c r="O74" s="415"/>
      <c r="P74" s="415"/>
      <c r="Q74" s="415"/>
      <c r="R74" s="415"/>
      <c r="S74" s="415"/>
      <c r="T74" s="415"/>
      <c r="U74" s="415"/>
      <c r="V74" s="414"/>
    </row>
    <row r="75" spans="1:22" x14ac:dyDescent="0.25">
      <c r="A75" s="584" t="s">
        <v>405</v>
      </c>
      <c r="B75" s="578"/>
      <c r="C75" s="112">
        <f>E30</f>
        <v>122.48</v>
      </c>
      <c r="D75" s="557" t="s">
        <v>416</v>
      </c>
      <c r="E75" s="557"/>
      <c r="F75" s="557"/>
      <c r="G75" s="557"/>
      <c r="H75" s="300">
        <f>'1461'!H75</f>
        <v>187665.41</v>
      </c>
      <c r="I75" s="113"/>
      <c r="N75" s="600" t="s">
        <v>406</v>
      </c>
      <c r="O75" s="601"/>
      <c r="P75" s="41">
        <f>P30</f>
        <v>0</v>
      </c>
      <c r="Q75" s="636" t="s">
        <v>411</v>
      </c>
      <c r="R75" s="637"/>
      <c r="S75" s="637"/>
      <c r="T75" s="604">
        <f>H75</f>
        <v>187665.41</v>
      </c>
      <c r="U75" s="604"/>
    </row>
    <row r="76" spans="1:22" x14ac:dyDescent="0.25">
      <c r="B76" s="69"/>
      <c r="G76" s="42" t="s">
        <v>12</v>
      </c>
      <c r="H76" s="114">
        <f>ROUND(C75/H75,6)</f>
        <v>6.5300000000000004E-4</v>
      </c>
      <c r="I76" s="115"/>
      <c r="N76" s="601"/>
      <c r="O76" s="601"/>
      <c r="P76" s="601"/>
      <c r="Q76" s="601"/>
      <c r="R76" s="601"/>
      <c r="S76" s="601"/>
      <c r="T76" s="605">
        <f>ROUND(P75/T75,6)</f>
        <v>0</v>
      </c>
      <c r="U76" s="605"/>
    </row>
    <row r="77" spans="1:22" x14ac:dyDescent="0.25">
      <c r="A77" s="417" t="s">
        <v>453</v>
      </c>
      <c r="B77" s="414"/>
      <c r="C77" s="414"/>
      <c r="D77" s="414"/>
      <c r="E77" s="414"/>
      <c r="F77" s="414"/>
      <c r="G77" s="414"/>
      <c r="H77" s="414"/>
      <c r="I77" s="414"/>
      <c r="N77" s="416" t="s">
        <v>461</v>
      </c>
      <c r="O77" s="415"/>
      <c r="P77" s="415"/>
      <c r="Q77" s="415"/>
      <c r="R77" s="415"/>
      <c r="S77" s="415"/>
      <c r="T77" s="415"/>
      <c r="U77" s="415"/>
      <c r="V77" s="414"/>
    </row>
    <row r="78" spans="1:22" x14ac:dyDescent="0.25">
      <c r="A78" s="584" t="s">
        <v>405</v>
      </c>
      <c r="B78" s="578"/>
      <c r="C78" s="112">
        <f>E30</f>
        <v>122.48</v>
      </c>
      <c r="D78" s="585" t="s">
        <v>417</v>
      </c>
      <c r="E78" s="585"/>
      <c r="F78" s="585"/>
      <c r="G78" s="585"/>
      <c r="H78" s="300">
        <f>'1461'!H78</f>
        <v>209892.26</v>
      </c>
      <c r="I78" s="113"/>
      <c r="N78" s="600" t="s">
        <v>406</v>
      </c>
      <c r="O78" s="601"/>
      <c r="P78" s="41">
        <f>P30</f>
        <v>0</v>
      </c>
      <c r="Q78" s="634" t="s">
        <v>412</v>
      </c>
      <c r="R78" s="635"/>
      <c r="S78" s="635"/>
      <c r="T78" s="604">
        <f>H78</f>
        <v>209892.26</v>
      </c>
      <c r="U78" s="604"/>
    </row>
    <row r="79" spans="1:22" x14ac:dyDescent="0.25">
      <c r="B79" s="69"/>
      <c r="G79" s="42" t="s">
        <v>12</v>
      </c>
      <c r="H79" s="114">
        <f>ROUND(C78/H78,6)</f>
        <v>5.8399999999999999E-4</v>
      </c>
      <c r="I79" s="115"/>
      <c r="N79" s="601"/>
      <c r="O79" s="601"/>
      <c r="P79" s="601"/>
      <c r="Q79" s="601"/>
      <c r="R79" s="601"/>
      <c r="S79" s="601"/>
      <c r="T79" s="605">
        <f>ROUND(P78/T78,6)</f>
        <v>0</v>
      </c>
      <c r="U79" s="605"/>
    </row>
    <row r="80" spans="1:22" x14ac:dyDescent="0.25">
      <c r="A80" s="417" t="s">
        <v>454</v>
      </c>
      <c r="B80" s="414"/>
      <c r="C80" s="414"/>
      <c r="D80" s="414"/>
      <c r="E80" s="414"/>
      <c r="F80" s="414"/>
      <c r="G80" s="414"/>
      <c r="H80" s="414"/>
      <c r="I80" s="414"/>
      <c r="N80" s="416" t="s">
        <v>462</v>
      </c>
      <c r="O80" s="415"/>
      <c r="P80" s="415"/>
      <c r="Q80" s="415"/>
      <c r="R80" s="415"/>
      <c r="S80" s="415"/>
      <c r="T80" s="415"/>
      <c r="U80" s="415"/>
      <c r="V80" s="414"/>
    </row>
    <row r="81" spans="1:21" x14ac:dyDescent="0.25">
      <c r="A81" s="584" t="s">
        <v>413</v>
      </c>
      <c r="B81" s="578"/>
      <c r="C81" s="112">
        <f>E30</f>
        <v>122.48</v>
      </c>
      <c r="D81" s="557" t="s">
        <v>418</v>
      </c>
      <c r="E81" s="557"/>
      <c r="F81" s="557"/>
      <c r="G81" s="557"/>
      <c r="H81" s="300">
        <f>'1461'!H81</f>
        <v>187328.76</v>
      </c>
      <c r="I81" s="113"/>
      <c r="N81" s="600" t="s">
        <v>419</v>
      </c>
      <c r="O81" s="601"/>
      <c r="P81" s="41">
        <f>P30</f>
        <v>0</v>
      </c>
      <c r="Q81" s="636" t="s">
        <v>420</v>
      </c>
      <c r="R81" s="637"/>
      <c r="S81" s="637"/>
      <c r="T81" s="604">
        <f>H81</f>
        <v>187328.76</v>
      </c>
      <c r="U81" s="604"/>
    </row>
    <row r="82" spans="1:21" x14ac:dyDescent="0.25">
      <c r="B82" s="69"/>
      <c r="G82" s="42" t="s">
        <v>12</v>
      </c>
      <c r="H82" s="114">
        <f>ROUND(C81/H81,6)</f>
        <v>6.5399999999999996E-4</v>
      </c>
      <c r="I82" s="115"/>
      <c r="N82" s="601"/>
      <c r="O82" s="601"/>
      <c r="P82" s="601"/>
      <c r="Q82" s="601"/>
      <c r="R82" s="601"/>
      <c r="S82" s="601"/>
      <c r="T82" s="605">
        <f>ROUND(P81/T81,6)</f>
        <v>0</v>
      </c>
      <c r="U82" s="605"/>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455</v>
      </c>
      <c r="D85" s="69"/>
      <c r="E85" s="43" t="s">
        <v>299</v>
      </c>
      <c r="F85" s="302">
        <f>'1461'!F85</f>
        <v>46163704</v>
      </c>
      <c r="G85" s="37" t="s">
        <v>6</v>
      </c>
      <c r="H85" s="422">
        <f>H79</f>
        <v>5.8399999999999999E-4</v>
      </c>
      <c r="I85" s="101">
        <f>ROUND(F85*H85,2)</f>
        <v>26959.599999999999</v>
      </c>
      <c r="N85" s="453" t="s">
        <v>455</v>
      </c>
      <c r="O85" s="51"/>
      <c r="P85" s="51"/>
      <c r="Q85" s="44"/>
      <c r="R85" s="419">
        <f>F85</f>
        <v>46163704</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87" t="s">
        <v>71</v>
      </c>
      <c r="B87" s="578"/>
      <c r="C87" s="578"/>
      <c r="D87" s="69"/>
      <c r="E87" s="43"/>
      <c r="F87" s="153"/>
      <c r="G87" s="37"/>
      <c r="H87" s="422"/>
      <c r="I87" s="101"/>
      <c r="N87" s="600" t="s">
        <v>463</v>
      </c>
      <c r="O87" s="601"/>
      <c r="P87" s="601"/>
      <c r="Q87" s="51"/>
      <c r="R87" s="420"/>
      <c r="S87" s="51"/>
      <c r="T87" s="38"/>
      <c r="U87" s="478"/>
    </row>
    <row r="88" spans="1:21" x14ac:dyDescent="0.25">
      <c r="A88" s="587" t="s">
        <v>99</v>
      </c>
      <c r="B88" s="578"/>
      <c r="C88" s="578"/>
      <c r="D88" s="69"/>
      <c r="E88" s="43" t="s">
        <v>3</v>
      </c>
      <c r="F88" s="302">
        <f>'1461'!F88</f>
        <v>0</v>
      </c>
      <c r="G88" s="37" t="s">
        <v>6</v>
      </c>
      <c r="H88" s="422">
        <f>H70</f>
        <v>5.8299999999999997E-4</v>
      </c>
      <c r="I88" s="101">
        <f>ROUND(F88*H88,2)</f>
        <v>0</v>
      </c>
      <c r="N88" s="638" t="s">
        <v>99</v>
      </c>
      <c r="O88" s="601"/>
      <c r="P88" s="601"/>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456</v>
      </c>
      <c r="D90" s="69"/>
      <c r="E90" s="43" t="s">
        <v>421</v>
      </c>
      <c r="F90" s="302">
        <f>'1461'!F90</f>
        <v>19042026</v>
      </c>
      <c r="G90" s="37" t="s">
        <v>6</v>
      </c>
      <c r="H90" s="422">
        <f>H82</f>
        <v>6.5399999999999996E-4</v>
      </c>
      <c r="I90" s="101">
        <f>ROUND(F90*H90,2)</f>
        <v>12453.49</v>
      </c>
      <c r="N90" s="453" t="s">
        <v>456</v>
      </c>
      <c r="O90" s="51"/>
      <c r="P90" s="51"/>
      <c r="Q90" s="44"/>
      <c r="R90" s="419">
        <f>F90</f>
        <v>19042026</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457</v>
      </c>
      <c r="D92" s="69"/>
      <c r="E92" s="43" t="s">
        <v>3</v>
      </c>
      <c r="F92" s="302">
        <f>'1461'!F92</f>
        <v>11441151</v>
      </c>
      <c r="G92" s="37" t="s">
        <v>6</v>
      </c>
      <c r="H92" s="422">
        <f>H76</f>
        <v>6.5300000000000004E-4</v>
      </c>
      <c r="I92" s="101">
        <f t="shared" ref="I92:I96" si="14">ROUND(F92*H92,2)</f>
        <v>7471.07</v>
      </c>
      <c r="N92" s="453" t="s">
        <v>457</v>
      </c>
      <c r="O92" s="51"/>
      <c r="P92" s="51"/>
      <c r="Q92" s="44"/>
      <c r="R92" s="419">
        <f t="shared" ref="R92:R96" si="15">F92</f>
        <v>11441151</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84" t="s">
        <v>422</v>
      </c>
      <c r="B94" s="578"/>
      <c r="C94" s="578"/>
      <c r="D94" s="69"/>
      <c r="E94" s="43" t="s">
        <v>4</v>
      </c>
      <c r="F94" s="302">
        <f>'1461'!F94</f>
        <v>247265670</v>
      </c>
      <c r="G94" s="37" t="s">
        <v>6</v>
      </c>
      <c r="H94" s="422">
        <f>H73</f>
        <v>5.5500000000000005E-4</v>
      </c>
      <c r="I94" s="101">
        <f t="shared" si="14"/>
        <v>137232.45000000001</v>
      </c>
      <c r="N94" s="601" t="s">
        <v>422</v>
      </c>
      <c r="O94" s="601"/>
      <c r="P94" s="601"/>
      <c r="Q94" s="44"/>
      <c r="R94" s="419">
        <f t="shared" si="15"/>
        <v>247265670</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4" t="s">
        <v>423</v>
      </c>
      <c r="B96" s="578"/>
      <c r="C96" s="578"/>
      <c r="D96" s="69"/>
      <c r="E96" s="43" t="s">
        <v>4</v>
      </c>
      <c r="F96" s="302">
        <f>'1461'!F96</f>
        <v>0</v>
      </c>
      <c r="G96" s="37" t="s">
        <v>6</v>
      </c>
      <c r="H96" s="422">
        <f>H73</f>
        <v>5.5500000000000005E-4</v>
      </c>
      <c r="I96" s="101">
        <f t="shared" si="14"/>
        <v>0</v>
      </c>
      <c r="N96" s="600" t="s">
        <v>423</v>
      </c>
      <c r="O96" s="601"/>
      <c r="P96" s="601"/>
      <c r="Q96" s="44"/>
      <c r="R96" s="419">
        <f t="shared" si="15"/>
        <v>0</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530" t="s">
        <v>497</v>
      </c>
      <c r="B98" s="529"/>
      <c r="C98" s="529"/>
      <c r="D98" s="529"/>
      <c r="E98" s="527" t="s">
        <v>3</v>
      </c>
      <c r="F98" s="290">
        <v>0</v>
      </c>
      <c r="G98" s="528" t="s">
        <v>6</v>
      </c>
      <c r="H98" s="422">
        <f>H70</f>
        <v>5.8299999999999997E-4</v>
      </c>
      <c r="I98" s="101">
        <f t="shared" ref="I98" si="16">ROUND(F98*H98,2)</f>
        <v>0</v>
      </c>
      <c r="N98" s="533" t="s">
        <v>497</v>
      </c>
      <c r="O98" s="533"/>
      <c r="P98" s="533"/>
      <c r="Q98" s="44"/>
      <c r="R98" s="536">
        <f>F98</f>
        <v>0</v>
      </c>
      <c r="S98" s="534" t="s">
        <v>6</v>
      </c>
      <c r="T98" s="421">
        <f>T70</f>
        <v>0</v>
      </c>
      <c r="U98" s="473">
        <f>ROUND(R98*T98,2)</f>
        <v>0</v>
      </c>
    </row>
    <row r="99" spans="1:21" x14ac:dyDescent="0.25">
      <c r="A99" s="530"/>
      <c r="B99" s="529"/>
      <c r="C99" s="529"/>
      <c r="D99" s="529"/>
      <c r="E99" s="527"/>
      <c r="F99" s="276"/>
      <c r="G99" s="528"/>
      <c r="H99" s="422"/>
      <c r="I99" s="101"/>
      <c r="N99" s="533"/>
      <c r="O99" s="533"/>
      <c r="P99" s="533"/>
      <c r="Q99" s="44"/>
      <c r="R99" s="535"/>
      <c r="S99" s="534"/>
      <c r="T99" s="421"/>
      <c r="U99" s="477"/>
    </row>
    <row r="100" spans="1:21" x14ac:dyDescent="0.25">
      <c r="A100" s="530"/>
      <c r="B100" s="529"/>
      <c r="C100" s="529"/>
      <c r="D100" s="529"/>
      <c r="E100" s="527"/>
      <c r="F100" s="276"/>
      <c r="G100" s="528"/>
      <c r="H100" s="422"/>
      <c r="I100" s="101"/>
      <c r="N100" s="533"/>
      <c r="O100" s="533"/>
      <c r="P100" s="533"/>
      <c r="Q100" s="44"/>
      <c r="R100" s="420"/>
      <c r="S100" s="534"/>
      <c r="T100" s="421"/>
      <c r="U100" s="103"/>
    </row>
    <row r="101" spans="1:21" x14ac:dyDescent="0.25">
      <c r="A101" s="399" t="s">
        <v>498</v>
      </c>
      <c r="N101" s="407" t="s">
        <v>498</v>
      </c>
      <c r="O101" s="51"/>
      <c r="P101" s="51"/>
      <c r="Q101" s="51"/>
      <c r="R101" s="51"/>
      <c r="S101" s="51"/>
      <c r="T101" s="51"/>
      <c r="U101" s="51"/>
    </row>
    <row r="102" spans="1:21" x14ac:dyDescent="0.25">
      <c r="B102" s="69"/>
      <c r="C102" s="563" t="s">
        <v>60</v>
      </c>
      <c r="D102" s="563"/>
      <c r="E102" s="69"/>
      <c r="F102" s="39" t="s">
        <v>28</v>
      </c>
      <c r="G102" s="69"/>
      <c r="H102" s="69"/>
      <c r="I102" s="69"/>
      <c r="N102" s="45"/>
      <c r="O102" s="45"/>
      <c r="P102" s="45"/>
      <c r="Q102" s="45"/>
      <c r="R102" s="45"/>
      <c r="S102" s="45"/>
      <c r="T102" s="45"/>
      <c r="U102" s="45"/>
    </row>
    <row r="103" spans="1:21" x14ac:dyDescent="0.25">
      <c r="A103" s="3"/>
      <c r="B103" s="118"/>
      <c r="C103" s="564" t="s">
        <v>101</v>
      </c>
      <c r="D103" s="564"/>
      <c r="E103" s="423" t="s">
        <v>426</v>
      </c>
      <c r="F103" s="120" t="s">
        <v>106</v>
      </c>
      <c r="G103" s="121"/>
      <c r="H103" s="121"/>
      <c r="I103" s="121"/>
      <c r="N103" s="631" t="s">
        <v>35</v>
      </c>
      <c r="O103" s="631"/>
      <c r="P103" s="672" t="s">
        <v>428</v>
      </c>
      <c r="Q103" s="633"/>
      <c r="R103" s="604" t="s">
        <v>31</v>
      </c>
      <c r="S103" s="604"/>
      <c r="T103" s="604"/>
      <c r="U103" s="604"/>
    </row>
    <row r="104" spans="1:21" x14ac:dyDescent="0.25">
      <c r="A104" s="26"/>
      <c r="B104" s="52" t="s">
        <v>105</v>
      </c>
      <c r="C104" s="596">
        <f>H14+H15+H20+H23+H26</f>
        <v>62.029500000000006</v>
      </c>
      <c r="D104" s="596"/>
      <c r="E104" s="46">
        <f>H8</f>
        <v>1.0407999999999999</v>
      </c>
      <c r="F104" s="303">
        <f>'1461'!F104</f>
        <v>950.92</v>
      </c>
      <c r="G104" s="39" t="s">
        <v>12</v>
      </c>
      <c r="H104" s="101">
        <f>ROUND(C104*E104*F104,2)</f>
        <v>61391.68</v>
      </c>
      <c r="I104" s="104"/>
      <c r="N104" s="28" t="s">
        <v>17</v>
      </c>
      <c r="O104" s="47">
        <f>T14+T15+T20+T23+T26</f>
        <v>0</v>
      </c>
      <c r="P104" s="611">
        <f>T8</f>
        <v>1.0407999999999999</v>
      </c>
      <c r="Q104" s="611"/>
      <c r="R104" s="48">
        <f>F104</f>
        <v>950.92</v>
      </c>
      <c r="S104" s="40" t="s">
        <v>12</v>
      </c>
      <c r="T104" s="479">
        <f>ROUND(O104*P104*R104,2)</f>
        <v>0</v>
      </c>
      <c r="U104" s="102"/>
    </row>
    <row r="105" spans="1:21" x14ac:dyDescent="0.25">
      <c r="A105" s="49"/>
      <c r="B105" s="49" t="s">
        <v>104</v>
      </c>
      <c r="C105" s="596">
        <f>H16+H17+H21+H24+H27</f>
        <v>68.359399999999994</v>
      </c>
      <c r="D105" s="596"/>
      <c r="E105" s="46">
        <f>H8</f>
        <v>1.0407999999999999</v>
      </c>
      <c r="F105" s="303">
        <f>'1461'!F105</f>
        <v>907.92</v>
      </c>
      <c r="G105" s="39" t="s">
        <v>12</v>
      </c>
      <c r="H105" s="101">
        <f>ROUND(C105*E105*F105,2)</f>
        <v>64597.11</v>
      </c>
      <c r="N105" s="50" t="s">
        <v>13</v>
      </c>
      <c r="O105" s="47">
        <f>T16+T17+T21+T24+T27</f>
        <v>0</v>
      </c>
      <c r="P105" s="611">
        <f>T8</f>
        <v>1.0407999999999999</v>
      </c>
      <c r="Q105" s="611"/>
      <c r="R105" s="48">
        <f>F105</f>
        <v>907.92</v>
      </c>
      <c r="S105" s="40" t="s">
        <v>12</v>
      </c>
      <c r="T105" s="479">
        <f>ROUND(O105*P105*R105,2)</f>
        <v>0</v>
      </c>
      <c r="U105" s="51"/>
    </row>
    <row r="106" spans="1:21" ht="16.5" thickBot="1" x14ac:dyDescent="0.3">
      <c r="A106" s="52"/>
      <c r="B106" s="52" t="s">
        <v>103</v>
      </c>
      <c r="C106" s="596">
        <f>H18+H19+H22+H25+H28+H29</f>
        <v>0</v>
      </c>
      <c r="D106" s="596"/>
      <c r="E106" s="46">
        <f>H8</f>
        <v>1.0407999999999999</v>
      </c>
      <c r="F106" s="303">
        <f>'1461'!F106</f>
        <v>910.12</v>
      </c>
      <c r="G106" s="39" t="s">
        <v>12</v>
      </c>
      <c r="H106" s="94">
        <f>ROUND(C106*E106*F106,2)</f>
        <v>0</v>
      </c>
      <c r="N106" s="53" t="s">
        <v>14</v>
      </c>
      <c r="O106" s="54">
        <f>T18+T19+T22+T25+T28+T29</f>
        <v>0</v>
      </c>
      <c r="P106" s="611">
        <f>T8</f>
        <v>1.0407999999999999</v>
      </c>
      <c r="Q106" s="611"/>
      <c r="R106" s="48">
        <f>F106</f>
        <v>910.12</v>
      </c>
      <c r="S106" s="40" t="s">
        <v>12</v>
      </c>
      <c r="T106" s="479">
        <f>ROUND(O106*P106*R106,2)</f>
        <v>0</v>
      </c>
      <c r="U106" s="51"/>
    </row>
    <row r="107" spans="1:21" ht="16.5" thickBot="1" x14ac:dyDescent="0.3">
      <c r="A107" s="55"/>
      <c r="B107" s="122" t="s">
        <v>102</v>
      </c>
      <c r="C107" s="586">
        <f>SUM(C104:C106)</f>
        <v>130.38890000000001</v>
      </c>
      <c r="D107" s="586"/>
      <c r="E107" s="123"/>
      <c r="F107" s="123"/>
      <c r="G107" s="123"/>
      <c r="H107" s="124" t="s">
        <v>100</v>
      </c>
      <c r="I107" s="101">
        <f>IF(A1=75,0,H106+H105+H104)</f>
        <v>125988.79000000001</v>
      </c>
      <c r="N107" s="56" t="s">
        <v>89</v>
      </c>
      <c r="O107" s="57">
        <f>SUM(O104:O106)</f>
        <v>0</v>
      </c>
      <c r="P107" s="612" t="s">
        <v>16</v>
      </c>
      <c r="Q107" s="613"/>
      <c r="R107" s="613"/>
      <c r="S107" s="613"/>
      <c r="T107" s="613"/>
      <c r="U107" s="473">
        <f>IF(N1=75,0,T106+T105+T104)</f>
        <v>0</v>
      </c>
    </row>
    <row r="108" spans="1:21" ht="16.5" thickTop="1" x14ac:dyDescent="0.25">
      <c r="A108" s="555" t="s">
        <v>65</v>
      </c>
      <c r="B108" s="555"/>
      <c r="C108" s="555"/>
      <c r="D108" s="555"/>
      <c r="E108" s="555"/>
      <c r="F108" s="555"/>
      <c r="G108" s="555"/>
      <c r="H108" s="555"/>
      <c r="I108" s="555"/>
      <c r="N108" s="614" t="s">
        <v>65</v>
      </c>
      <c r="O108" s="614"/>
      <c r="P108" s="614"/>
      <c r="Q108" s="614"/>
      <c r="R108" s="614"/>
      <c r="S108" s="614"/>
      <c r="T108" s="614"/>
      <c r="U108" s="614"/>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0" t="s">
        <v>499</v>
      </c>
      <c r="C110" s="43"/>
      <c r="D110" s="69"/>
      <c r="E110" s="43" t="s">
        <v>32</v>
      </c>
      <c r="F110" s="556"/>
      <c r="G110" s="556"/>
      <c r="H110" s="556"/>
      <c r="I110" s="556"/>
      <c r="N110" s="600" t="s">
        <v>499</v>
      </c>
      <c r="O110" s="601"/>
      <c r="P110" s="601"/>
      <c r="Q110" s="615"/>
      <c r="R110" s="615"/>
      <c r="S110" s="615"/>
      <c r="T110" s="615"/>
      <c r="U110" s="103"/>
    </row>
    <row r="111" spans="1:21" x14ac:dyDescent="0.25">
      <c r="B111" s="69"/>
      <c r="C111" s="88" t="s">
        <v>494</v>
      </c>
      <c r="D111" s="333" t="s">
        <v>495</v>
      </c>
      <c r="E111" s="89" t="s">
        <v>107</v>
      </c>
      <c r="F111" s="43"/>
      <c r="G111" s="43"/>
      <c r="H111" s="43"/>
      <c r="I111" s="43"/>
      <c r="N111" s="45"/>
      <c r="O111" s="45"/>
      <c r="P111" s="45"/>
      <c r="Q111" s="125"/>
      <c r="R111" s="125"/>
      <c r="S111" s="125"/>
      <c r="T111" s="125"/>
      <c r="U111" s="103"/>
    </row>
    <row r="112" spans="1:21" x14ac:dyDescent="0.25">
      <c r="B112" s="69"/>
      <c r="C112" s="326" t="s">
        <v>2</v>
      </c>
      <c r="D112" s="324" t="s">
        <v>2</v>
      </c>
      <c r="E112" s="324" t="s">
        <v>2</v>
      </c>
      <c r="F112" s="43"/>
      <c r="G112" s="43"/>
      <c r="H112" s="43"/>
      <c r="I112" s="43"/>
      <c r="N112" s="45"/>
      <c r="O112" s="45"/>
      <c r="P112" s="45"/>
      <c r="Q112" s="125"/>
      <c r="R112" s="125"/>
      <c r="S112" s="125"/>
      <c r="T112" s="125"/>
      <c r="U112" s="103"/>
    </row>
    <row r="113" spans="1:21" x14ac:dyDescent="0.25">
      <c r="A113" s="557" t="s">
        <v>381</v>
      </c>
      <c r="B113" s="558"/>
      <c r="C113" s="143">
        <v>0</v>
      </c>
      <c r="D113" s="143">
        <v>0</v>
      </c>
      <c r="E113" s="144">
        <f>(C113+D113)/2</f>
        <v>0</v>
      </c>
      <c r="F113" s="126" t="s">
        <v>30</v>
      </c>
      <c r="G113" s="304">
        <f>'1461'!G113</f>
        <v>576</v>
      </c>
      <c r="I113" s="101">
        <f>ROUND(G113*E113,2)</f>
        <v>0</v>
      </c>
      <c r="N113" s="630" t="s">
        <v>52</v>
      </c>
      <c r="O113" s="630"/>
      <c r="P113" s="610">
        <f>IF(H133=1,E113,0)</f>
        <v>0</v>
      </c>
      <c r="Q113" s="610"/>
      <c r="R113" s="610"/>
      <c r="S113" s="83" t="s">
        <v>30</v>
      </c>
      <c r="T113" s="58">
        <f>G113</f>
        <v>576</v>
      </c>
      <c r="U113" s="473">
        <f>ROUND(T113*P113,2)</f>
        <v>0</v>
      </c>
    </row>
    <row r="114" spans="1:21" x14ac:dyDescent="0.25">
      <c r="A114" s="557" t="s">
        <v>382</v>
      </c>
      <c r="B114" s="558"/>
      <c r="C114" s="143">
        <v>0</v>
      </c>
      <c r="D114" s="143">
        <v>0</v>
      </c>
      <c r="E114" s="144">
        <f>(C114+D114)/2</f>
        <v>0</v>
      </c>
      <c r="F114" s="126" t="s">
        <v>30</v>
      </c>
      <c r="G114" s="304">
        <f>'1461'!G114</f>
        <v>1823</v>
      </c>
      <c r="I114" s="101">
        <f>ROUND(G114*E114,2)</f>
        <v>0</v>
      </c>
      <c r="N114" s="630" t="s">
        <v>64</v>
      </c>
      <c r="O114" s="630"/>
      <c r="P114" s="608"/>
      <c r="Q114" s="608"/>
      <c r="R114" s="608"/>
      <c r="S114" s="83" t="s">
        <v>30</v>
      </c>
      <c r="T114" s="58">
        <f>G114</f>
        <v>1823</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4" t="s">
        <v>430</v>
      </c>
      <c r="B117" s="578"/>
      <c r="C117" s="578"/>
      <c r="D117" s="69"/>
      <c r="E117" s="39" t="s">
        <v>300</v>
      </c>
      <c r="F117" s="563"/>
      <c r="G117" s="563"/>
      <c r="H117" s="563"/>
      <c r="I117" s="563"/>
      <c r="N117" s="600" t="s">
        <v>431</v>
      </c>
      <c r="O117" s="601"/>
      <c r="P117" s="601"/>
      <c r="Q117" s="601"/>
      <c r="R117" s="601"/>
      <c r="S117" s="601"/>
      <c r="T117" s="601"/>
      <c r="U117" s="601"/>
    </row>
    <row r="118" spans="1:21" hidden="1" x14ac:dyDescent="0.25">
      <c r="B118" s="69"/>
      <c r="C118" s="564" t="s">
        <v>66</v>
      </c>
      <c r="D118" s="564"/>
      <c r="E118" s="564"/>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5" t="s">
        <v>109</v>
      </c>
      <c r="G119" s="563"/>
      <c r="H119" s="37" t="s">
        <v>29</v>
      </c>
      <c r="I119" s="37"/>
      <c r="N119" s="45"/>
      <c r="O119" s="45"/>
      <c r="P119" s="45"/>
      <c r="Q119" s="45"/>
      <c r="R119" s="45"/>
      <c r="S119" s="45"/>
      <c r="T119" s="45"/>
      <c r="U119" s="45"/>
    </row>
    <row r="120" spans="1:21" hidden="1" x14ac:dyDescent="0.25">
      <c r="A120" s="564" t="s">
        <v>69</v>
      </c>
      <c r="B120" s="564"/>
      <c r="C120" s="90" t="s">
        <v>2</v>
      </c>
      <c r="D120" s="90" t="s">
        <v>2</v>
      </c>
      <c r="E120" s="59" t="s">
        <v>2</v>
      </c>
      <c r="F120" s="564" t="s">
        <v>28</v>
      </c>
      <c r="G120" s="564"/>
      <c r="H120" s="59" t="s">
        <v>28</v>
      </c>
      <c r="I120" s="59" t="s">
        <v>8</v>
      </c>
      <c r="N120" s="609" t="s">
        <v>53</v>
      </c>
      <c r="O120" s="609"/>
      <c r="P120" s="610" t="s">
        <v>66</v>
      </c>
      <c r="Q120" s="610"/>
      <c r="R120" s="609" t="s">
        <v>54</v>
      </c>
      <c r="S120" s="609"/>
      <c r="T120" s="60" t="s">
        <v>55</v>
      </c>
      <c r="U120" s="60" t="s">
        <v>8</v>
      </c>
    </row>
    <row r="121" spans="1:21" hidden="1" x14ac:dyDescent="0.25">
      <c r="A121" s="561" t="s">
        <v>56</v>
      </c>
      <c r="B121" s="561"/>
      <c r="C121" s="141">
        <v>0</v>
      </c>
      <c r="D121" s="141">
        <v>0</v>
      </c>
      <c r="E121" s="142">
        <f>IF(D30=0,C121*2,C121+D121)</f>
        <v>0</v>
      </c>
      <c r="F121" s="675">
        <v>0</v>
      </c>
      <c r="G121" s="675"/>
      <c r="H121" s="61">
        <f>IF(C121=0,0,125)</f>
        <v>0</v>
      </c>
      <c r="I121" s="101">
        <f>ROUND((H121+F121)*E121,2)</f>
        <v>0</v>
      </c>
      <c r="N121" s="601" t="s">
        <v>56</v>
      </c>
      <c r="O121" s="601"/>
      <c r="P121" s="608">
        <f>IF(H$133=1,C121,0)</f>
        <v>0</v>
      </c>
      <c r="Q121" s="608"/>
      <c r="R121" s="628">
        <f>F121</f>
        <v>0</v>
      </c>
      <c r="S121" s="628"/>
      <c r="T121" s="62">
        <f>H121</f>
        <v>0</v>
      </c>
      <c r="U121" s="96">
        <f>ROUND((T121+R121)*P121,0)</f>
        <v>0</v>
      </c>
    </row>
    <row r="122" spans="1:21" hidden="1" x14ac:dyDescent="0.25">
      <c r="A122" s="581" t="s">
        <v>57</v>
      </c>
      <c r="B122" s="581"/>
      <c r="C122" s="143">
        <v>0</v>
      </c>
      <c r="D122" s="143">
        <v>0</v>
      </c>
      <c r="E122" s="144">
        <f>IF(D31=0,C122*2,C122+D122)</f>
        <v>0</v>
      </c>
      <c r="F122" s="598">
        <f>ROUND(F121/2,2)</f>
        <v>0</v>
      </c>
      <c r="G122" s="598"/>
      <c r="H122" s="61">
        <f>IF(C122=0,0,62.5)</f>
        <v>0</v>
      </c>
      <c r="I122" s="101">
        <f>ROUND((H122+F122)*E122,2)</f>
        <v>0</v>
      </c>
      <c r="N122" s="601" t="s">
        <v>57</v>
      </c>
      <c r="O122" s="601"/>
      <c r="P122" s="608">
        <f>IF(H$133=1,C122,0)</f>
        <v>0</v>
      </c>
      <c r="Q122" s="608"/>
      <c r="R122" s="629">
        <f>ROUND(R121/2,2)</f>
        <v>0</v>
      </c>
      <c r="S122" s="629"/>
      <c r="T122" s="62">
        <f>H122</f>
        <v>0</v>
      </c>
      <c r="U122" s="96">
        <f>ROUND((T122+R122)*P122,0)</f>
        <v>0</v>
      </c>
    </row>
    <row r="123" spans="1:21" ht="16.5" hidden="1" thickBot="1" x14ac:dyDescent="0.3">
      <c r="A123" s="581" t="s">
        <v>58</v>
      </c>
      <c r="B123" s="581"/>
      <c r="C123" s="143">
        <v>0</v>
      </c>
      <c r="D123" s="143">
        <v>0</v>
      </c>
      <c r="E123" s="144">
        <f>IF(D32=0,C123*2,C123+D123)</f>
        <v>0</v>
      </c>
      <c r="F123" s="599"/>
      <c r="G123" s="599"/>
      <c r="H123" s="63">
        <f>IF(H121&gt;0,436,0)</f>
        <v>0</v>
      </c>
      <c r="I123" s="101">
        <f>ROUND(H123*E123,2)</f>
        <v>0</v>
      </c>
      <c r="N123" s="616" t="s">
        <v>58</v>
      </c>
      <c r="O123" s="616"/>
      <c r="P123" s="608">
        <f>IF(H$133=1,C123,0)</f>
        <v>0</v>
      </c>
      <c r="Q123" s="608"/>
      <c r="R123" s="609"/>
      <c r="S123" s="609"/>
      <c r="T123" s="64">
        <f>H123</f>
        <v>0</v>
      </c>
      <c r="U123" s="103">
        <f>ROUND(T123*P123,0)</f>
        <v>0</v>
      </c>
    </row>
    <row r="124" spans="1:21" ht="16.5" hidden="1" thickBot="1" x14ac:dyDescent="0.3">
      <c r="A124" s="563" t="s">
        <v>8</v>
      </c>
      <c r="B124" s="563"/>
      <c r="C124" s="65"/>
      <c r="D124" s="65"/>
      <c r="E124" s="65"/>
      <c r="F124" s="65"/>
      <c r="G124" s="65"/>
      <c r="H124" s="65"/>
      <c r="I124" s="97">
        <f>SUM(I121:I123)</f>
        <v>0</v>
      </c>
      <c r="N124" s="627" t="s">
        <v>8</v>
      </c>
      <c r="O124" s="627"/>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4" t="s">
        <v>432</v>
      </c>
      <c r="B126" s="578"/>
      <c r="C126" s="578"/>
      <c r="D126" s="69"/>
      <c r="E126" s="68" t="s">
        <v>34</v>
      </c>
      <c r="F126" s="597"/>
      <c r="G126" s="597"/>
      <c r="H126" s="597"/>
      <c r="I126" s="154">
        <v>0</v>
      </c>
      <c r="N126" s="600" t="s">
        <v>432</v>
      </c>
      <c r="O126" s="601"/>
      <c r="P126" s="601"/>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90" t="s">
        <v>8</v>
      </c>
      <c r="B128" s="590"/>
      <c r="C128" s="590"/>
      <c r="D128" s="590"/>
      <c r="E128" s="590"/>
      <c r="F128" s="590"/>
      <c r="G128" s="590"/>
      <c r="H128" s="590"/>
      <c r="I128" s="94">
        <f>SUM(I46,I66,I85,I88,I90,I92,I94,I96,I107,I113,I114,I124,I126)</f>
        <v>1057696.28</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434</v>
      </c>
      <c r="B130" s="26"/>
      <c r="C130" s="26"/>
      <c r="D130" s="26"/>
      <c r="E130" s="26"/>
      <c r="F130" s="26"/>
      <c r="G130" s="26"/>
      <c r="H130" s="26"/>
      <c r="I130" s="101">
        <f>I128-I53</f>
        <v>1014795.06</v>
      </c>
      <c r="N130" s="601" t="s">
        <v>434</v>
      </c>
      <c r="O130" s="601"/>
      <c r="P130" s="601"/>
      <c r="Q130" s="601"/>
      <c r="R130" s="601"/>
      <c r="S130" s="601"/>
      <c r="T130" s="601"/>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4" t="s">
        <v>502</v>
      </c>
      <c r="B132" s="578"/>
      <c r="C132" s="578"/>
      <c r="D132" s="578"/>
      <c r="E132" s="578"/>
      <c r="F132" s="578"/>
      <c r="G132" s="578"/>
      <c r="H132" s="81" t="s">
        <v>333</v>
      </c>
      <c r="I132" s="134"/>
      <c r="N132" s="600" t="s">
        <v>502</v>
      </c>
      <c r="O132" s="601"/>
      <c r="P132" s="601"/>
      <c r="Q132" s="601"/>
      <c r="R132" s="601"/>
      <c r="S132" s="601"/>
      <c r="T132" s="601"/>
      <c r="U132" s="138"/>
    </row>
    <row r="133" spans="1:21" x14ac:dyDescent="0.25">
      <c r="A133" s="578" t="s">
        <v>70</v>
      </c>
      <c r="B133" s="578"/>
      <c r="C133" s="578"/>
      <c r="D133" s="578"/>
      <c r="E133" s="578"/>
      <c r="F133" s="578"/>
      <c r="G133" s="578"/>
      <c r="H133" s="70" t="str">
        <f>IF(E30=0,"",IF((E15+E17+SUM(E19:E25))/E30&gt;0.75,1,""))</f>
        <v/>
      </c>
      <c r="I133" s="116">
        <f>U130</f>
        <v>0</v>
      </c>
      <c r="N133" s="601" t="s">
        <v>70</v>
      </c>
      <c r="O133" s="601"/>
      <c r="P133" s="601"/>
      <c r="Q133" s="601"/>
      <c r="R133" s="601"/>
      <c r="S133" s="601"/>
      <c r="T133" s="601"/>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1014795.06</v>
      </c>
      <c r="I135" s="94">
        <f>ROUND(IF(E30=0,0,IF(E30&gt;250,-(((250/E30)*H135)*IF(G135="H",0.02,0.05)),IF(G135="H",-0.02*H135,-0.05*H135))),2)</f>
        <v>-50739.75</v>
      </c>
      <c r="N135" s="626"/>
      <c r="O135" s="626"/>
      <c r="P135" s="626"/>
      <c r="Q135" s="626"/>
      <c r="R135" s="626"/>
      <c r="S135" s="626"/>
      <c r="T135" s="626"/>
      <c r="U135" s="626"/>
    </row>
    <row r="136" spans="1:21" x14ac:dyDescent="0.25">
      <c r="B136" s="69"/>
      <c r="C136" s="69"/>
      <c r="D136" s="69"/>
      <c r="E136" s="69"/>
      <c r="F136" s="69"/>
      <c r="G136" s="69"/>
      <c r="H136" s="65"/>
      <c r="I136" s="101"/>
      <c r="N136" s="624" t="s">
        <v>7</v>
      </c>
      <c r="O136" s="624"/>
      <c r="P136" s="624"/>
      <c r="Q136" s="624"/>
      <c r="R136" s="624"/>
      <c r="S136" s="624"/>
      <c r="T136" s="624"/>
      <c r="U136" s="624"/>
    </row>
    <row r="137" spans="1:21" x14ac:dyDescent="0.25">
      <c r="A137" s="309" t="s">
        <v>74</v>
      </c>
      <c r="B137" s="310"/>
      <c r="C137" s="310"/>
      <c r="D137" s="310"/>
      <c r="E137" s="310"/>
      <c r="F137" s="310"/>
      <c r="G137" s="310"/>
      <c r="H137" s="311"/>
      <c r="I137" s="312">
        <f>I128+I135</f>
        <v>1006956.53</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Payments'!Q111</f>
        <v>0</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1006956.53</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v>0</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372</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373</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374</v>
      </c>
      <c r="B155" s="252"/>
      <c r="C155" s="252"/>
      <c r="D155" s="252"/>
      <c r="E155" s="252"/>
      <c r="F155" s="252"/>
      <c r="G155" s="252"/>
      <c r="H155" s="252"/>
      <c r="I155" s="252"/>
      <c r="N155" s="625"/>
      <c r="O155" s="625"/>
      <c r="P155" s="625"/>
      <c r="Q155" s="625"/>
      <c r="R155" s="625"/>
      <c r="S155" s="625"/>
      <c r="T155" s="625"/>
      <c r="U155" s="625"/>
    </row>
    <row r="156" spans="1:21" s="76" customFormat="1" x14ac:dyDescent="0.2">
      <c r="A156" s="320" t="s">
        <v>375</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376</v>
      </c>
      <c r="B157" s="252"/>
      <c r="C157" s="252"/>
      <c r="D157" s="252"/>
      <c r="E157" s="252"/>
      <c r="F157" s="252"/>
      <c r="G157" s="252"/>
      <c r="H157" s="252"/>
      <c r="I157" s="252"/>
      <c r="N157" s="78"/>
      <c r="O157" s="79"/>
      <c r="P157" s="79"/>
      <c r="Q157" s="79"/>
      <c r="R157" s="79"/>
      <c r="S157" s="79"/>
      <c r="T157" s="79"/>
      <c r="U157" s="79"/>
    </row>
    <row r="158" spans="1:21" s="76" customFormat="1" x14ac:dyDescent="0.2">
      <c r="A158" s="320" t="s">
        <v>377</v>
      </c>
      <c r="B158" s="252"/>
      <c r="C158" s="252"/>
      <c r="D158" s="252"/>
      <c r="E158" s="252"/>
      <c r="F158" s="252"/>
      <c r="G158" s="252"/>
      <c r="H158" s="252"/>
      <c r="I158" s="252"/>
      <c r="N158" s="78"/>
    </row>
    <row r="159" spans="1:21" s="76" customFormat="1" x14ac:dyDescent="0.2">
      <c r="A159" s="320" t="s">
        <v>379</v>
      </c>
      <c r="B159" s="252"/>
      <c r="C159" s="252"/>
      <c r="D159" s="252"/>
      <c r="E159" s="252"/>
      <c r="F159" s="252"/>
      <c r="G159" s="252"/>
      <c r="H159" s="252"/>
      <c r="I159" s="252"/>
      <c r="N159" s="78"/>
    </row>
    <row r="160" spans="1:21" s="76" customFormat="1" x14ac:dyDescent="0.2">
      <c r="A160" s="385" t="s">
        <v>378</v>
      </c>
      <c r="B160" s="252"/>
      <c r="C160" s="252"/>
      <c r="D160" s="252"/>
      <c r="E160" s="252"/>
      <c r="F160" s="252"/>
      <c r="G160" s="252"/>
      <c r="H160" s="252"/>
      <c r="I160" s="252"/>
      <c r="N160" s="78"/>
    </row>
    <row r="161" spans="1:14" s="76" customFormat="1" x14ac:dyDescent="0.2">
      <c r="A161" s="320" t="s">
        <v>380</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383</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385</v>
      </c>
      <c r="B165" s="293"/>
      <c r="C165" s="293"/>
      <c r="D165" s="293"/>
      <c r="E165" s="293"/>
      <c r="F165" s="293"/>
      <c r="G165" s="293"/>
      <c r="H165" s="293"/>
      <c r="I165" s="293"/>
      <c r="N165" s="78"/>
    </row>
    <row r="166" spans="1:14" s="76" customFormat="1" ht="15.75" customHeight="1" x14ac:dyDescent="0.2">
      <c r="A166" s="351" t="s">
        <v>384</v>
      </c>
      <c r="B166" s="293"/>
      <c r="C166" s="293"/>
      <c r="D166" s="293"/>
      <c r="E166" s="293"/>
      <c r="F166" s="293"/>
      <c r="G166" s="293"/>
      <c r="H166" s="293"/>
      <c r="I166" s="293"/>
      <c r="N166" s="78"/>
    </row>
    <row r="167" spans="1:14" s="76" customFormat="1" ht="15.75" customHeight="1" x14ac:dyDescent="0.2">
      <c r="A167" s="320" t="s">
        <v>386</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388</v>
      </c>
      <c r="B169" s="343"/>
      <c r="C169" s="343"/>
      <c r="D169" s="343"/>
      <c r="E169" s="343"/>
      <c r="F169" s="343"/>
      <c r="G169" s="343"/>
      <c r="H169" s="343"/>
      <c r="I169" s="343"/>
      <c r="N169" s="78"/>
    </row>
    <row r="170" spans="1:14" s="76" customFormat="1" ht="15.75" customHeight="1" x14ac:dyDescent="0.2">
      <c r="A170" s="351" t="s">
        <v>387</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389</v>
      </c>
      <c r="B175" s="293"/>
      <c r="C175" s="293"/>
      <c r="D175" s="293"/>
      <c r="E175" s="293"/>
      <c r="F175" s="293"/>
      <c r="G175" s="293"/>
      <c r="H175" s="293"/>
      <c r="I175" s="293"/>
      <c r="J175" s="3"/>
      <c r="K175" s="3"/>
      <c r="L175" s="3"/>
      <c r="M175" s="3"/>
      <c r="N175" s="78"/>
    </row>
    <row r="176" spans="1:14" s="76" customFormat="1" ht="15.75" customHeight="1" x14ac:dyDescent="0.2">
      <c r="A176" s="361" t="s">
        <v>390</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7:U7"/>
    <mergeCell ref="N8:O8"/>
    <mergeCell ref="P8:Q8"/>
    <mergeCell ref="R8:S8"/>
    <mergeCell ref="T8:U8"/>
    <mergeCell ref="F11:G11"/>
    <mergeCell ref="R11:S11"/>
    <mergeCell ref="N94:P94"/>
    <mergeCell ref="B1:I1"/>
    <mergeCell ref="O1:U1"/>
    <mergeCell ref="N2:U2"/>
    <mergeCell ref="N3:U3"/>
    <mergeCell ref="A4:B4"/>
    <mergeCell ref="C4:E4"/>
    <mergeCell ref="N4:O4"/>
    <mergeCell ref="P4:Q4"/>
    <mergeCell ref="A7:I7"/>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34:H37"/>
    <mergeCell ref="N35:T35"/>
    <mergeCell ref="A37:B37"/>
    <mergeCell ref="N37:O37"/>
    <mergeCell ref="P37:T37"/>
    <mergeCell ref="A40:B40"/>
    <mergeCell ref="N40:O40"/>
    <mergeCell ref="P40:T40"/>
    <mergeCell ref="A41:B41"/>
    <mergeCell ref="N41:O41"/>
    <mergeCell ref="P41:T41"/>
    <mergeCell ref="A38:B38"/>
    <mergeCell ref="N38:O38"/>
    <mergeCell ref="P38:T38"/>
    <mergeCell ref="A39:B39"/>
    <mergeCell ref="N39:O39"/>
    <mergeCell ref="P39:T39"/>
    <mergeCell ref="A42:B42"/>
    <mergeCell ref="N42:O42"/>
    <mergeCell ref="P42:T42"/>
    <mergeCell ref="A43:B43"/>
    <mergeCell ref="N43:O43"/>
    <mergeCell ref="P43:T43"/>
    <mergeCell ref="P56:Q56"/>
    <mergeCell ref="P59:Q59"/>
    <mergeCell ref="P60:Q60"/>
    <mergeCell ref="A57:B65"/>
    <mergeCell ref="F66:H66"/>
    <mergeCell ref="N57:O65"/>
    <mergeCell ref="P57:Q57"/>
    <mergeCell ref="P58:Q58"/>
    <mergeCell ref="T69:U69"/>
    <mergeCell ref="N44:Q44"/>
    <mergeCell ref="S44:T44"/>
    <mergeCell ref="N46:Q46"/>
    <mergeCell ref="S46:T46"/>
    <mergeCell ref="P61:Q61"/>
    <mergeCell ref="P62:Q62"/>
    <mergeCell ref="P63:Q63"/>
    <mergeCell ref="P64:Q64"/>
    <mergeCell ref="P65:Q65"/>
    <mergeCell ref="P66:Q66"/>
    <mergeCell ref="R66:T66"/>
    <mergeCell ref="A96:C96"/>
    <mergeCell ref="N96:P96"/>
    <mergeCell ref="A94:C94"/>
    <mergeCell ref="A88:C88"/>
    <mergeCell ref="N73:S73"/>
    <mergeCell ref="T73:U73"/>
    <mergeCell ref="A87:C87"/>
    <mergeCell ref="N87:P87"/>
    <mergeCell ref="N79:S79"/>
    <mergeCell ref="T79:U79"/>
    <mergeCell ref="A81:B81"/>
    <mergeCell ref="D81:G81"/>
    <mergeCell ref="N81:O81"/>
    <mergeCell ref="Q81:S81"/>
    <mergeCell ref="T81:U81"/>
    <mergeCell ref="N82:S82"/>
    <mergeCell ref="T82:U82"/>
    <mergeCell ref="N88:P88"/>
    <mergeCell ref="C105:D105"/>
    <mergeCell ref="P105:Q105"/>
    <mergeCell ref="C106:D106"/>
    <mergeCell ref="P106:Q106"/>
    <mergeCell ref="C107:D107"/>
    <mergeCell ref="P107:T107"/>
    <mergeCell ref="C102:D102"/>
    <mergeCell ref="C103:D103"/>
    <mergeCell ref="N103:O103"/>
    <mergeCell ref="P103:Q103"/>
    <mergeCell ref="R103:U103"/>
    <mergeCell ref="C104:D104"/>
    <mergeCell ref="P104:Q104"/>
    <mergeCell ref="A114:B114"/>
    <mergeCell ref="N114:O114"/>
    <mergeCell ref="P114:R114"/>
    <mergeCell ref="A117:C117"/>
    <mergeCell ref="F117:I117"/>
    <mergeCell ref="N117:U117"/>
    <mergeCell ref="A108:I108"/>
    <mergeCell ref="N108:U108"/>
    <mergeCell ref="F110:I110"/>
    <mergeCell ref="N110:P110"/>
    <mergeCell ref="Q110:T110"/>
    <mergeCell ref="A113:B113"/>
    <mergeCell ref="N113:O113"/>
    <mergeCell ref="P113:R113"/>
    <mergeCell ref="R120:S120"/>
    <mergeCell ref="A121:B121"/>
    <mergeCell ref="F121:G121"/>
    <mergeCell ref="N121:O121"/>
    <mergeCell ref="P121:Q121"/>
    <mergeCell ref="R121:S121"/>
    <mergeCell ref="C118:E118"/>
    <mergeCell ref="F119:G119"/>
    <mergeCell ref="A120:B120"/>
    <mergeCell ref="F120:G120"/>
    <mergeCell ref="N120:O120"/>
    <mergeCell ref="P120:Q120"/>
    <mergeCell ref="A122:B122"/>
    <mergeCell ref="F122:G122"/>
    <mergeCell ref="N122:O122"/>
    <mergeCell ref="P122:Q122"/>
    <mergeCell ref="R122:S122"/>
    <mergeCell ref="A123:B123"/>
    <mergeCell ref="F123:G123"/>
    <mergeCell ref="N123:O123"/>
    <mergeCell ref="P123:Q123"/>
    <mergeCell ref="R123:S123"/>
    <mergeCell ref="N155:U155"/>
    <mergeCell ref="N130:T130"/>
    <mergeCell ref="A128:H128"/>
    <mergeCell ref="A132:G132"/>
    <mergeCell ref="N135:U135"/>
    <mergeCell ref="A133:G133"/>
    <mergeCell ref="N136:U136"/>
    <mergeCell ref="A124:B124"/>
    <mergeCell ref="N124:O124"/>
    <mergeCell ref="A126:C126"/>
    <mergeCell ref="F126:H126"/>
    <mergeCell ref="N126:P126"/>
    <mergeCell ref="N132:T132"/>
    <mergeCell ref="N133:T133"/>
    <mergeCell ref="T9:U9"/>
    <mergeCell ref="A75:B75"/>
    <mergeCell ref="D75:G75"/>
    <mergeCell ref="N75:O75"/>
    <mergeCell ref="Q75:S75"/>
    <mergeCell ref="T75:U75"/>
    <mergeCell ref="N76:S76"/>
    <mergeCell ref="T76:U76"/>
    <mergeCell ref="A78:B78"/>
    <mergeCell ref="D78:G78"/>
    <mergeCell ref="N78:O78"/>
    <mergeCell ref="Q78:S78"/>
    <mergeCell ref="T78:U78"/>
    <mergeCell ref="N70:S70"/>
    <mergeCell ref="T70:U70"/>
    <mergeCell ref="A72:B72"/>
    <mergeCell ref="D72:G72"/>
    <mergeCell ref="N72:O72"/>
    <mergeCell ref="Q72:S72"/>
    <mergeCell ref="T72:U72"/>
    <mergeCell ref="A69:B69"/>
    <mergeCell ref="D69:G69"/>
    <mergeCell ref="N69:O69"/>
    <mergeCell ref="Q69:S6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61">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6" t="s">
        <v>15</v>
      </c>
      <c r="C1" s="567"/>
      <c r="D1" s="567"/>
      <c r="E1" s="567"/>
      <c r="F1" s="567"/>
      <c r="G1" s="567"/>
      <c r="H1" s="567"/>
      <c r="I1" s="567"/>
      <c r="J1" s="135"/>
      <c r="K1" s="135"/>
      <c r="L1" s="135"/>
      <c r="N1" s="82">
        <f>A1</f>
        <v>0</v>
      </c>
      <c r="O1" s="658" t="s">
        <v>15</v>
      </c>
      <c r="P1" s="659"/>
      <c r="Q1" s="659"/>
      <c r="R1" s="659"/>
      <c r="S1" s="659"/>
      <c r="T1" s="659"/>
      <c r="U1" s="659"/>
    </row>
    <row r="2" spans="1:21" ht="21" x14ac:dyDescent="0.35">
      <c r="A2" s="1" t="s">
        <v>305</v>
      </c>
      <c r="B2" s="2"/>
      <c r="C2" s="2"/>
      <c r="D2" s="2"/>
      <c r="E2" s="2"/>
      <c r="F2" s="2"/>
      <c r="G2" s="2"/>
      <c r="H2" s="2"/>
      <c r="I2" s="2"/>
      <c r="N2" s="660" t="s">
        <v>18</v>
      </c>
      <c r="O2" s="660"/>
      <c r="P2" s="660"/>
      <c r="Q2" s="660"/>
      <c r="R2" s="660"/>
      <c r="S2" s="660"/>
      <c r="T2" s="660"/>
      <c r="U2" s="660"/>
    </row>
    <row r="3" spans="1:21" x14ac:dyDescent="0.25">
      <c r="A3" s="81" t="str">
        <f>'1461'!A3</f>
        <v>Based on the FLDOE 2024-25 Conference Calculation</v>
      </c>
      <c r="N3" s="627" t="str">
        <f>A3</f>
        <v>Based on the FLDOE 2024-25 Conference Calculation</v>
      </c>
      <c r="O3" s="627"/>
      <c r="P3" s="627"/>
      <c r="Q3" s="627"/>
      <c r="R3" s="627"/>
      <c r="S3" s="627"/>
      <c r="T3" s="627"/>
      <c r="U3" s="627"/>
    </row>
    <row r="4" spans="1:21" x14ac:dyDescent="0.25">
      <c r="A4" s="568" t="s">
        <v>0</v>
      </c>
      <c r="B4" s="568"/>
      <c r="C4" s="569" t="s">
        <v>9</v>
      </c>
      <c r="D4" s="569"/>
      <c r="E4" s="569"/>
      <c r="F4" s="4" t="str">
        <f>'1461'!F4</f>
        <v>July 2024</v>
      </c>
      <c r="G4" s="4"/>
      <c r="H4" s="4"/>
      <c r="I4" s="4"/>
      <c r="N4" s="661" t="s">
        <v>0</v>
      </c>
      <c r="O4" s="661"/>
      <c r="P4" s="662" t="str">
        <f>C4</f>
        <v>Palm Beach</v>
      </c>
      <c r="Q4" s="662"/>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70" t="s">
        <v>433</v>
      </c>
      <c r="B7" s="664"/>
      <c r="C7" s="664"/>
      <c r="D7" s="664"/>
      <c r="E7" s="664"/>
      <c r="F7" s="664"/>
      <c r="G7" s="664"/>
      <c r="H7" s="664"/>
      <c r="I7" s="664"/>
      <c r="N7" s="661" t="str">
        <f>A7</f>
        <v>1A.   2023-24 FEFP State and Local Funding</v>
      </c>
      <c r="O7" s="661"/>
      <c r="P7" s="661"/>
      <c r="Q7" s="661"/>
      <c r="R7" s="661"/>
      <c r="S7" s="661"/>
      <c r="T7" s="661"/>
      <c r="U7" s="661"/>
    </row>
    <row r="8" spans="1:21" x14ac:dyDescent="0.25">
      <c r="A8" s="84"/>
      <c r="B8" s="85" t="s">
        <v>92</v>
      </c>
      <c r="C8" s="299">
        <f>'1461'!C8</f>
        <v>5330.98</v>
      </c>
      <c r="D8" s="86"/>
      <c r="E8" s="87"/>
      <c r="F8" s="84"/>
      <c r="G8" s="85" t="s">
        <v>393</v>
      </c>
      <c r="H8" s="287">
        <f>'1461'!H8</f>
        <v>1.0407999999999999</v>
      </c>
      <c r="I8" s="75"/>
      <c r="N8" s="665" t="s">
        <v>10</v>
      </c>
      <c r="O8" s="665"/>
      <c r="P8" s="666">
        <f>C8</f>
        <v>5330.98</v>
      </c>
      <c r="Q8" s="666"/>
      <c r="R8" s="648" t="s">
        <v>394</v>
      </c>
      <c r="S8" s="649"/>
      <c r="T8" s="650">
        <f>H8</f>
        <v>1.0407999999999999</v>
      </c>
      <c r="U8" s="650"/>
    </row>
    <row r="9" spans="1:21" x14ac:dyDescent="0.25">
      <c r="A9" s="84"/>
      <c r="B9" s="85"/>
      <c r="C9" s="222"/>
      <c r="D9" s="86"/>
      <c r="E9" s="87"/>
      <c r="F9" s="84"/>
      <c r="G9" s="85" t="s">
        <v>391</v>
      </c>
      <c r="H9" s="287">
        <f>'1461'!H9</f>
        <v>1</v>
      </c>
      <c r="I9" s="75"/>
      <c r="N9" s="12"/>
      <c r="O9" s="12"/>
      <c r="P9" s="13"/>
      <c r="Q9" s="13"/>
      <c r="R9" s="387" t="s">
        <v>392</v>
      </c>
      <c r="S9" s="384"/>
      <c r="T9" s="650">
        <f>H9</f>
        <v>1</v>
      </c>
      <c r="U9" s="650"/>
    </row>
    <row r="10" spans="1:21" x14ac:dyDescent="0.25">
      <c r="A10" s="7"/>
      <c r="B10" s="42" t="s">
        <v>310</v>
      </c>
      <c r="C10" s="334" t="str">
        <f>'1461'!C10</f>
        <v xml:space="preserve"> </v>
      </c>
      <c r="D10" s="334" t="str">
        <f>'1461'!D10</f>
        <v xml:space="preserve"> </v>
      </c>
      <c r="E10" s="8"/>
      <c r="F10" s="9"/>
      <c r="G10" s="9"/>
      <c r="H10" s="10"/>
      <c r="I10" s="305" t="str">
        <f>'1461'!I10</f>
        <v>2024-25</v>
      </c>
      <c r="N10" s="12"/>
      <c r="O10" s="12"/>
      <c r="P10" s="13"/>
      <c r="Q10" s="13"/>
      <c r="R10" s="14"/>
      <c r="S10" s="14"/>
      <c r="T10" s="15"/>
      <c r="U10" s="366" t="str">
        <f>I10</f>
        <v>2024-25</v>
      </c>
    </row>
    <row r="11" spans="1:21" x14ac:dyDescent="0.25">
      <c r="A11" s="7"/>
      <c r="B11" s="7"/>
      <c r="C11" s="88" t="str">
        <f>'1461'!C11</f>
        <v>Oct 2023</v>
      </c>
      <c r="D11" s="333" t="str">
        <f>'1461'!D11</f>
        <v>Feb 2024</v>
      </c>
      <c r="E11" s="89" t="s">
        <v>8</v>
      </c>
      <c r="F11" s="571" t="s">
        <v>1</v>
      </c>
      <c r="G11" s="571"/>
      <c r="H11" s="10" t="s">
        <v>60</v>
      </c>
      <c r="I11" s="11" t="s">
        <v>27</v>
      </c>
      <c r="N11" s="12"/>
      <c r="O11" s="12"/>
      <c r="P11" s="13"/>
      <c r="Q11" s="13"/>
      <c r="R11" s="651" t="s">
        <v>1</v>
      </c>
      <c r="S11" s="651"/>
      <c r="T11" s="15" t="s">
        <v>60</v>
      </c>
      <c r="U11" s="16" t="s">
        <v>27</v>
      </c>
    </row>
    <row r="12" spans="1:21" ht="15.75" customHeight="1" x14ac:dyDescent="0.25">
      <c r="A12" s="572" t="s">
        <v>1</v>
      </c>
      <c r="B12" s="572"/>
      <c r="C12" s="326" t="str">
        <f>'1461'!C12</f>
        <v>FTE</v>
      </c>
      <c r="D12" s="324" t="str">
        <f>'1461'!D12</f>
        <v>FTE</v>
      </c>
      <c r="E12" s="324" t="s">
        <v>2</v>
      </c>
      <c r="F12" s="573" t="s">
        <v>63</v>
      </c>
      <c r="G12" s="573"/>
      <c r="H12" s="17" t="s">
        <v>59</v>
      </c>
      <c r="I12" s="388" t="s">
        <v>395</v>
      </c>
      <c r="N12" s="639" t="s">
        <v>1</v>
      </c>
      <c r="O12" s="639"/>
      <c r="P12" s="652" t="s">
        <v>19</v>
      </c>
      <c r="Q12" s="652"/>
      <c r="R12" s="653" t="s">
        <v>63</v>
      </c>
      <c r="S12" s="653"/>
      <c r="T12" s="18" t="s">
        <v>59</v>
      </c>
      <c r="U12" s="19" t="str">
        <f>I12</f>
        <v>(WFTE x BSA x CWF x SDF)</v>
      </c>
    </row>
    <row r="13" spans="1:21" x14ac:dyDescent="0.25">
      <c r="A13" s="574" t="s">
        <v>36</v>
      </c>
      <c r="B13" s="574"/>
      <c r="C13" s="91"/>
      <c r="D13" s="91"/>
      <c r="E13" s="92" t="s">
        <v>37</v>
      </c>
      <c r="F13" s="575" t="s">
        <v>38</v>
      </c>
      <c r="G13" s="575"/>
      <c r="H13" s="20" t="s">
        <v>39</v>
      </c>
      <c r="I13" s="21" t="s">
        <v>40</v>
      </c>
      <c r="N13" s="654" t="s">
        <v>36</v>
      </c>
      <c r="O13" s="654"/>
      <c r="P13" s="655" t="s">
        <v>37</v>
      </c>
      <c r="Q13" s="655"/>
      <c r="R13" s="656" t="s">
        <v>38</v>
      </c>
      <c r="S13" s="656"/>
      <c r="T13" s="22" t="s">
        <v>39</v>
      </c>
      <c r="U13" s="23" t="s">
        <v>40</v>
      </c>
    </row>
    <row r="14" spans="1:21" x14ac:dyDescent="0.25">
      <c r="A14" s="576" t="s">
        <v>20</v>
      </c>
      <c r="B14" s="576"/>
      <c r="C14" s="143">
        <v>0</v>
      </c>
      <c r="D14" s="141">
        <v>0</v>
      </c>
      <c r="E14" s="187">
        <f>IF(D$30=0,C14*2,C14+D14)</f>
        <v>0</v>
      </c>
      <c r="F14" s="667">
        <f>'1461'!F14:G14</f>
        <v>1.1180000000000001</v>
      </c>
      <c r="G14" s="667"/>
      <c r="H14" s="145">
        <f>ROUND(E14*F14,4)</f>
        <v>0</v>
      </c>
      <c r="I14" s="111">
        <f>ROUND(ROUND(ROUND(H14*$C$8,4)*($H$8),2)*(MAX($H$9,1)),2)</f>
        <v>0</v>
      </c>
      <c r="N14" s="641" t="s">
        <v>20</v>
      </c>
      <c r="O14" s="641"/>
      <c r="P14" s="642">
        <f t="shared" ref="P14:P29" si="0">IF($H$133=1,E14,0)</f>
        <v>0</v>
      </c>
      <c r="Q14" s="642"/>
      <c r="R14" s="657">
        <v>1</v>
      </c>
      <c r="S14" s="657"/>
      <c r="T14" s="95">
        <f>ROUND(P14*R14,4)</f>
        <v>0</v>
      </c>
      <c r="U14" s="473">
        <f>ROUND(ROUND(ROUND(T14*$C$8,4)*($H$8),2)*(MAX($H$9,1)),2)</f>
        <v>0</v>
      </c>
    </row>
    <row r="15" spans="1:21" x14ac:dyDescent="0.25">
      <c r="A15" s="578" t="s">
        <v>21</v>
      </c>
      <c r="B15" s="578"/>
      <c r="C15" s="143">
        <v>0</v>
      </c>
      <c r="D15" s="143">
        <v>0</v>
      </c>
      <c r="E15" s="116">
        <f t="shared" ref="E15:E29" si="1">IF(D$30=0,C15*2,C15+D15)</f>
        <v>0</v>
      </c>
      <c r="F15" s="663">
        <f>'1461'!F15:G15</f>
        <v>1.1180000000000001</v>
      </c>
      <c r="G15" s="663"/>
      <c r="H15" s="80">
        <f t="shared" ref="H15:H29" si="2">ROUND(E15*F15,4)</f>
        <v>0</v>
      </c>
      <c r="I15" s="101">
        <f t="shared" ref="I15:I29" si="3">ROUND(ROUND(ROUND(H15*$C$8,4)*($H$8),2)*(MAX($H$9,1)),2)</f>
        <v>0</v>
      </c>
      <c r="J15" s="65" t="str">
        <f>IF(ROUND(E15,2)=ROUND(SUM(E57:E59),2)," ","CHECK PK-3 LINES BELOW")</f>
        <v xml:space="preserve"> </v>
      </c>
      <c r="N15" s="601" t="s">
        <v>21</v>
      </c>
      <c r="O15" s="601"/>
      <c r="P15" s="642">
        <f t="shared" si="0"/>
        <v>0</v>
      </c>
      <c r="Q15" s="642"/>
      <c r="R15" s="647">
        <v>1</v>
      </c>
      <c r="S15" s="647"/>
      <c r="T15" s="95">
        <f t="shared" ref="T15:T29" si="4">ROUND(P15*R15,4)</f>
        <v>0</v>
      </c>
      <c r="U15" s="473">
        <f t="shared" ref="U15:U29" si="5">ROUND(ROUND(ROUND(T15*$C$8,4)*($H$8),2)*(MAX($H$9,1)),2)</f>
        <v>0</v>
      </c>
    </row>
    <row r="16" spans="1:21" x14ac:dyDescent="0.25">
      <c r="A16" s="578" t="s">
        <v>22</v>
      </c>
      <c r="B16" s="578"/>
      <c r="C16" s="143">
        <v>184.72</v>
      </c>
      <c r="D16" s="143">
        <v>180.11</v>
      </c>
      <c r="E16" s="116">
        <f t="shared" si="1"/>
        <v>364.83000000000004</v>
      </c>
      <c r="F16" s="663">
        <f>'1461'!F16:G16</f>
        <v>1</v>
      </c>
      <c r="G16" s="663"/>
      <c r="H16" s="80">
        <f t="shared" si="2"/>
        <v>364.83</v>
      </c>
      <c r="I16" s="101">
        <f t="shared" si="3"/>
        <v>2024253.41</v>
      </c>
      <c r="N16" s="601" t="s">
        <v>22</v>
      </c>
      <c r="O16" s="601"/>
      <c r="P16" s="642">
        <f t="shared" si="0"/>
        <v>0</v>
      </c>
      <c r="Q16" s="642"/>
      <c r="R16" s="647">
        <v>1</v>
      </c>
      <c r="S16" s="647"/>
      <c r="T16" s="95">
        <f t="shared" si="4"/>
        <v>0</v>
      </c>
      <c r="U16" s="473">
        <f t="shared" si="5"/>
        <v>0</v>
      </c>
    </row>
    <row r="17" spans="1:21" x14ac:dyDescent="0.25">
      <c r="A17" s="578" t="s">
        <v>23</v>
      </c>
      <c r="B17" s="578"/>
      <c r="C17" s="143">
        <v>27.5</v>
      </c>
      <c r="D17" s="143">
        <v>29.01</v>
      </c>
      <c r="E17" s="116">
        <f t="shared" si="1"/>
        <v>56.510000000000005</v>
      </c>
      <c r="F17" s="663">
        <f>'1461'!F17:G17</f>
        <v>1</v>
      </c>
      <c r="G17" s="663"/>
      <c r="H17" s="80">
        <f t="shared" si="2"/>
        <v>56.51</v>
      </c>
      <c r="I17" s="101">
        <f t="shared" si="3"/>
        <v>313544.83</v>
      </c>
      <c r="J17" s="65" t="str">
        <f>IF(ROUND(E17,2)=ROUND(SUM(E60:E62),2)," ","CHECK 4-8 LINES BELOW")</f>
        <v xml:space="preserve"> </v>
      </c>
      <c r="N17" s="601" t="s">
        <v>23</v>
      </c>
      <c r="O17" s="601"/>
      <c r="P17" s="642">
        <f t="shared" si="0"/>
        <v>0</v>
      </c>
      <c r="Q17" s="642"/>
      <c r="R17" s="647">
        <v>1</v>
      </c>
      <c r="S17" s="647"/>
      <c r="T17" s="95">
        <f t="shared" si="4"/>
        <v>0</v>
      </c>
      <c r="U17" s="473">
        <f t="shared" si="5"/>
        <v>0</v>
      </c>
    </row>
    <row r="18" spans="1:21" x14ac:dyDescent="0.25">
      <c r="A18" s="578" t="s">
        <v>24</v>
      </c>
      <c r="B18" s="578"/>
      <c r="C18" s="143">
        <v>171.42</v>
      </c>
      <c r="D18" s="143">
        <v>173.23</v>
      </c>
      <c r="E18" s="116">
        <f t="shared" si="1"/>
        <v>344.65</v>
      </c>
      <c r="F18" s="663">
        <f>'1461'!F18:G18</f>
        <v>0.97799999999999998</v>
      </c>
      <c r="G18" s="663"/>
      <c r="H18" s="80">
        <f t="shared" si="2"/>
        <v>337.0677</v>
      </c>
      <c r="I18" s="101">
        <f t="shared" si="3"/>
        <v>1870214.73</v>
      </c>
      <c r="N18" s="601" t="s">
        <v>24</v>
      </c>
      <c r="O18" s="601"/>
      <c r="P18" s="642">
        <f t="shared" si="0"/>
        <v>0</v>
      </c>
      <c r="Q18" s="642"/>
      <c r="R18" s="647">
        <v>1</v>
      </c>
      <c r="S18" s="647"/>
      <c r="T18" s="95">
        <f t="shared" si="4"/>
        <v>0</v>
      </c>
      <c r="U18" s="473">
        <f t="shared" si="5"/>
        <v>0</v>
      </c>
    </row>
    <row r="19" spans="1:21" x14ac:dyDescent="0.25">
      <c r="A19" s="578" t="s">
        <v>25</v>
      </c>
      <c r="B19" s="578"/>
      <c r="C19" s="143">
        <v>23</v>
      </c>
      <c r="D19" s="143">
        <v>24</v>
      </c>
      <c r="E19" s="116">
        <f t="shared" si="1"/>
        <v>47</v>
      </c>
      <c r="F19" s="663">
        <f>'1461'!F19:G19</f>
        <v>0.97799999999999998</v>
      </c>
      <c r="G19" s="663"/>
      <c r="H19" s="80">
        <f t="shared" si="2"/>
        <v>45.966000000000001</v>
      </c>
      <c r="I19" s="101">
        <f t="shared" si="3"/>
        <v>255041.61</v>
      </c>
      <c r="J19" s="65" t="str">
        <f>IF(ROUND(E19,2)=ROUND(SUM(E63:E65),2)," ","CHECK 4-8 LINES BELOW")</f>
        <v xml:space="preserve"> </v>
      </c>
      <c r="N19" s="601" t="s">
        <v>25</v>
      </c>
      <c r="O19" s="601"/>
      <c r="P19" s="642">
        <f t="shared" si="0"/>
        <v>0</v>
      </c>
      <c r="Q19" s="642"/>
      <c r="R19" s="647">
        <v>1</v>
      </c>
      <c r="S19" s="647"/>
      <c r="T19" s="95">
        <f t="shared" si="4"/>
        <v>0</v>
      </c>
      <c r="U19" s="472">
        <f t="shared" si="5"/>
        <v>0</v>
      </c>
    </row>
    <row r="20" spans="1:21" x14ac:dyDescent="0.25">
      <c r="A20" s="578" t="s">
        <v>79</v>
      </c>
      <c r="B20" s="578"/>
      <c r="C20" s="143">
        <v>0</v>
      </c>
      <c r="D20" s="143">
        <v>0</v>
      </c>
      <c r="E20" s="116">
        <f t="shared" si="1"/>
        <v>0</v>
      </c>
      <c r="F20" s="663">
        <f>'1461'!F20:G20</f>
        <v>3.6970000000000001</v>
      </c>
      <c r="G20" s="663"/>
      <c r="H20" s="80">
        <f t="shared" si="2"/>
        <v>0</v>
      </c>
      <c r="I20" s="101">
        <f t="shared" si="3"/>
        <v>0</v>
      </c>
      <c r="N20" s="601" t="s">
        <v>79</v>
      </c>
      <c r="O20" s="601"/>
      <c r="P20" s="642">
        <f t="shared" si="0"/>
        <v>0</v>
      </c>
      <c r="Q20" s="642"/>
      <c r="R20" s="647">
        <v>1</v>
      </c>
      <c r="S20" s="647"/>
      <c r="T20" s="95">
        <f t="shared" si="4"/>
        <v>0</v>
      </c>
      <c r="U20" s="473">
        <f t="shared" si="5"/>
        <v>0</v>
      </c>
    </row>
    <row r="21" spans="1:21" x14ac:dyDescent="0.25">
      <c r="A21" s="578" t="s">
        <v>80</v>
      </c>
      <c r="B21" s="578"/>
      <c r="C21" s="143">
        <v>0</v>
      </c>
      <c r="D21" s="143">
        <v>0</v>
      </c>
      <c r="E21" s="116">
        <f t="shared" si="1"/>
        <v>0</v>
      </c>
      <c r="F21" s="663">
        <f>'1461'!F21:G21</f>
        <v>3.6970000000000001</v>
      </c>
      <c r="G21" s="663"/>
      <c r="H21" s="80">
        <f t="shared" si="2"/>
        <v>0</v>
      </c>
      <c r="I21" s="101">
        <f t="shared" si="3"/>
        <v>0</v>
      </c>
      <c r="N21" s="601" t="s">
        <v>80</v>
      </c>
      <c r="O21" s="601"/>
      <c r="P21" s="642">
        <f t="shared" si="0"/>
        <v>0</v>
      </c>
      <c r="Q21" s="642"/>
      <c r="R21" s="647">
        <v>1</v>
      </c>
      <c r="S21" s="647"/>
      <c r="T21" s="95">
        <f t="shared" si="4"/>
        <v>0</v>
      </c>
      <c r="U21" s="473">
        <f t="shared" si="5"/>
        <v>0</v>
      </c>
    </row>
    <row r="22" spans="1:21" x14ac:dyDescent="0.25">
      <c r="A22" s="578" t="s">
        <v>81</v>
      </c>
      <c r="B22" s="578"/>
      <c r="C22" s="143">
        <v>0</v>
      </c>
      <c r="D22" s="143">
        <v>0</v>
      </c>
      <c r="E22" s="116">
        <f t="shared" si="1"/>
        <v>0</v>
      </c>
      <c r="F22" s="663">
        <f>'1461'!F22:G22</f>
        <v>3.6970000000000001</v>
      </c>
      <c r="G22" s="663"/>
      <c r="H22" s="80">
        <f t="shared" si="2"/>
        <v>0</v>
      </c>
      <c r="I22" s="101">
        <f t="shared" si="3"/>
        <v>0</v>
      </c>
      <c r="N22" s="601" t="s">
        <v>81</v>
      </c>
      <c r="O22" s="601"/>
      <c r="P22" s="642">
        <f t="shared" si="0"/>
        <v>0</v>
      </c>
      <c r="Q22" s="642"/>
      <c r="R22" s="647">
        <v>1</v>
      </c>
      <c r="S22" s="647"/>
      <c r="T22" s="95">
        <f t="shared" si="4"/>
        <v>0</v>
      </c>
      <c r="U22" s="473">
        <f t="shared" si="5"/>
        <v>0</v>
      </c>
    </row>
    <row r="23" spans="1:21" x14ac:dyDescent="0.25">
      <c r="A23" s="578" t="s">
        <v>82</v>
      </c>
      <c r="B23" s="578"/>
      <c r="C23" s="143">
        <v>0</v>
      </c>
      <c r="D23" s="143">
        <v>0</v>
      </c>
      <c r="E23" s="116">
        <f t="shared" si="1"/>
        <v>0</v>
      </c>
      <c r="F23" s="663">
        <f>'1461'!F23:G23</f>
        <v>5.992</v>
      </c>
      <c r="G23" s="663"/>
      <c r="H23" s="80">
        <f t="shared" si="2"/>
        <v>0</v>
      </c>
      <c r="I23" s="101">
        <f t="shared" si="3"/>
        <v>0</v>
      </c>
      <c r="N23" s="601" t="s">
        <v>82</v>
      </c>
      <c r="O23" s="601"/>
      <c r="P23" s="642">
        <f t="shared" si="0"/>
        <v>0</v>
      </c>
      <c r="Q23" s="642"/>
      <c r="R23" s="647">
        <v>1</v>
      </c>
      <c r="S23" s="647"/>
      <c r="T23" s="95">
        <f t="shared" si="4"/>
        <v>0</v>
      </c>
      <c r="U23" s="473">
        <f t="shared" si="5"/>
        <v>0</v>
      </c>
    </row>
    <row r="24" spans="1:21" x14ac:dyDescent="0.25">
      <c r="A24" s="578" t="s">
        <v>83</v>
      </c>
      <c r="B24" s="578"/>
      <c r="C24" s="143">
        <v>0</v>
      </c>
      <c r="D24" s="143">
        <v>0</v>
      </c>
      <c r="E24" s="116">
        <f t="shared" si="1"/>
        <v>0</v>
      </c>
      <c r="F24" s="663">
        <f>'1461'!F24:G24</f>
        <v>5.992</v>
      </c>
      <c r="G24" s="663"/>
      <c r="H24" s="80">
        <f t="shared" si="2"/>
        <v>0</v>
      </c>
      <c r="I24" s="101">
        <f t="shared" si="3"/>
        <v>0</v>
      </c>
      <c r="N24" s="601" t="s">
        <v>83</v>
      </c>
      <c r="O24" s="601"/>
      <c r="P24" s="642">
        <f t="shared" si="0"/>
        <v>0</v>
      </c>
      <c r="Q24" s="642"/>
      <c r="R24" s="647">
        <v>1</v>
      </c>
      <c r="S24" s="647"/>
      <c r="T24" s="95">
        <f t="shared" si="4"/>
        <v>0</v>
      </c>
      <c r="U24" s="473">
        <f t="shared" si="5"/>
        <v>0</v>
      </c>
    </row>
    <row r="25" spans="1:21" x14ac:dyDescent="0.25">
      <c r="A25" s="578" t="s">
        <v>84</v>
      </c>
      <c r="B25" s="578"/>
      <c r="C25" s="143">
        <v>0</v>
      </c>
      <c r="D25" s="143">
        <v>0</v>
      </c>
      <c r="E25" s="116">
        <f t="shared" si="1"/>
        <v>0</v>
      </c>
      <c r="F25" s="663">
        <f>'1461'!F25:G25</f>
        <v>5.992</v>
      </c>
      <c r="G25" s="663"/>
      <c r="H25" s="80">
        <f t="shared" si="2"/>
        <v>0</v>
      </c>
      <c r="I25" s="101">
        <f t="shared" si="3"/>
        <v>0</v>
      </c>
      <c r="N25" s="601" t="s">
        <v>84</v>
      </c>
      <c r="O25" s="601"/>
      <c r="P25" s="642">
        <f t="shared" si="0"/>
        <v>0</v>
      </c>
      <c r="Q25" s="642"/>
      <c r="R25" s="647">
        <v>1</v>
      </c>
      <c r="S25" s="647"/>
      <c r="T25" s="95">
        <f t="shared" si="4"/>
        <v>0</v>
      </c>
      <c r="U25" s="473">
        <f t="shared" si="5"/>
        <v>0</v>
      </c>
    </row>
    <row r="26" spans="1:21" x14ac:dyDescent="0.25">
      <c r="A26" s="578" t="s">
        <v>85</v>
      </c>
      <c r="B26" s="578"/>
      <c r="C26" s="143">
        <v>0</v>
      </c>
      <c r="D26" s="143">
        <v>0</v>
      </c>
      <c r="E26" s="116">
        <f t="shared" si="1"/>
        <v>0</v>
      </c>
      <c r="F26" s="663">
        <f>'1461'!F26:G26</f>
        <v>1.1919999999999999</v>
      </c>
      <c r="G26" s="663"/>
      <c r="H26" s="80">
        <f t="shared" si="2"/>
        <v>0</v>
      </c>
      <c r="I26" s="101">
        <f t="shared" si="3"/>
        <v>0</v>
      </c>
      <c r="N26" s="601" t="s">
        <v>85</v>
      </c>
      <c r="O26" s="601"/>
      <c r="P26" s="642">
        <f t="shared" si="0"/>
        <v>0</v>
      </c>
      <c r="Q26" s="642"/>
      <c r="R26" s="647">
        <v>1</v>
      </c>
      <c r="S26" s="647"/>
      <c r="T26" s="95">
        <f t="shared" si="4"/>
        <v>0</v>
      </c>
      <c r="U26" s="473">
        <f t="shared" si="5"/>
        <v>0</v>
      </c>
    </row>
    <row r="27" spans="1:21" x14ac:dyDescent="0.25">
      <c r="A27" s="578" t="s">
        <v>86</v>
      </c>
      <c r="B27" s="578"/>
      <c r="C27" s="143">
        <v>36.840000000000003</v>
      </c>
      <c r="D27" s="143">
        <v>39.72</v>
      </c>
      <c r="E27" s="116">
        <f t="shared" si="1"/>
        <v>76.56</v>
      </c>
      <c r="F27" s="663">
        <f>'1461'!F27:G27</f>
        <v>1.1919999999999999</v>
      </c>
      <c r="G27" s="663"/>
      <c r="H27" s="80">
        <f t="shared" si="2"/>
        <v>91.259500000000003</v>
      </c>
      <c r="I27" s="101">
        <f t="shared" si="3"/>
        <v>506351.87</v>
      </c>
      <c r="N27" s="601" t="s">
        <v>86</v>
      </c>
      <c r="O27" s="601"/>
      <c r="P27" s="642">
        <f t="shared" si="0"/>
        <v>0</v>
      </c>
      <c r="Q27" s="642"/>
      <c r="R27" s="647">
        <v>1</v>
      </c>
      <c r="S27" s="647"/>
      <c r="T27" s="95">
        <f t="shared" si="4"/>
        <v>0</v>
      </c>
      <c r="U27" s="473">
        <f t="shared" si="5"/>
        <v>0</v>
      </c>
    </row>
    <row r="28" spans="1:21" x14ac:dyDescent="0.25">
      <c r="A28" s="578" t="s">
        <v>87</v>
      </c>
      <c r="B28" s="578"/>
      <c r="C28" s="143">
        <v>43.42</v>
      </c>
      <c r="D28" s="143">
        <v>44.33</v>
      </c>
      <c r="E28" s="116">
        <f t="shared" si="1"/>
        <v>87.75</v>
      </c>
      <c r="F28" s="663">
        <f>'1461'!F28:G28</f>
        <v>1.1919999999999999</v>
      </c>
      <c r="G28" s="663"/>
      <c r="H28" s="80">
        <f t="shared" si="2"/>
        <v>104.598</v>
      </c>
      <c r="I28" s="101">
        <f t="shared" si="3"/>
        <v>580360.32999999996</v>
      </c>
      <c r="N28" s="601" t="s">
        <v>87</v>
      </c>
      <c r="O28" s="601"/>
      <c r="P28" s="642">
        <f t="shared" si="0"/>
        <v>0</v>
      </c>
      <c r="Q28" s="642"/>
      <c r="R28" s="647">
        <v>1</v>
      </c>
      <c r="S28" s="647"/>
      <c r="T28" s="95">
        <f t="shared" si="4"/>
        <v>0</v>
      </c>
      <c r="U28" s="473">
        <f t="shared" si="5"/>
        <v>0</v>
      </c>
    </row>
    <row r="29" spans="1:21" x14ac:dyDescent="0.25">
      <c r="A29" s="578" t="s">
        <v>88</v>
      </c>
      <c r="B29" s="578"/>
      <c r="C29" s="110">
        <v>26.53</v>
      </c>
      <c r="D29" s="110">
        <v>29.92</v>
      </c>
      <c r="E29" s="154">
        <f t="shared" si="1"/>
        <v>56.45</v>
      </c>
      <c r="F29" s="663">
        <f>'1461'!F29:G29</f>
        <v>1.079</v>
      </c>
      <c r="G29" s="663"/>
      <c r="H29" s="93">
        <f t="shared" si="2"/>
        <v>60.909599999999998</v>
      </c>
      <c r="I29" s="94">
        <f t="shared" si="3"/>
        <v>337955.94</v>
      </c>
      <c r="N29" s="616" t="s">
        <v>88</v>
      </c>
      <c r="O29" s="616"/>
      <c r="P29" s="642">
        <f t="shared" si="0"/>
        <v>0</v>
      </c>
      <c r="Q29" s="642"/>
      <c r="R29" s="643">
        <v>1</v>
      </c>
      <c r="S29" s="643"/>
      <c r="T29" s="95">
        <f t="shared" si="4"/>
        <v>0</v>
      </c>
      <c r="U29" s="473">
        <f t="shared" si="5"/>
        <v>0</v>
      </c>
    </row>
    <row r="30" spans="1:21" x14ac:dyDescent="0.25">
      <c r="A30" s="590" t="s">
        <v>5</v>
      </c>
      <c r="B30" s="590"/>
      <c r="C30" s="94">
        <f>SUM(C14:C29)</f>
        <v>513.43000000000006</v>
      </c>
      <c r="D30" s="94">
        <f>SUM(D14:D29)</f>
        <v>520.32000000000005</v>
      </c>
      <c r="E30" s="94">
        <f>SUM(E14:E29)</f>
        <v>1033.75</v>
      </c>
      <c r="F30" s="582"/>
      <c r="G30" s="582"/>
      <c r="H30" s="99">
        <f>SUM(H14:H29)</f>
        <v>1061.1407999999999</v>
      </c>
      <c r="I30" s="94">
        <f>SUM(I14:I29)</f>
        <v>5887722.7200000007</v>
      </c>
      <c r="N30" s="644" t="s">
        <v>5</v>
      </c>
      <c r="O30" s="644"/>
      <c r="P30" s="645">
        <f>SUM(P14:P29)</f>
        <v>0</v>
      </c>
      <c r="Q30" s="645"/>
      <c r="R30" s="617"/>
      <c r="S30" s="617"/>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0" t="s">
        <v>233</v>
      </c>
      <c r="G34" s="670"/>
      <c r="H34" s="670"/>
      <c r="I34" s="101"/>
      <c r="N34" s="28"/>
      <c r="O34" s="28"/>
      <c r="P34" s="29"/>
      <c r="Q34" s="29"/>
      <c r="R34" s="30"/>
      <c r="S34" s="30"/>
      <c r="T34" s="102"/>
      <c r="U34" s="103"/>
    </row>
    <row r="35" spans="1:21" hidden="1" x14ac:dyDescent="0.25">
      <c r="A35" s="3"/>
      <c r="B35" s="69"/>
      <c r="C35" s="69"/>
      <c r="D35" s="69"/>
      <c r="E35" s="69"/>
      <c r="F35" s="670"/>
      <c r="G35" s="670"/>
      <c r="H35" s="670"/>
      <c r="I35" s="24" t="s">
        <v>61</v>
      </c>
      <c r="N35" s="627" t="s">
        <v>26</v>
      </c>
      <c r="O35" s="627"/>
      <c r="P35" s="627"/>
      <c r="Q35" s="627"/>
      <c r="R35" s="627"/>
      <c r="S35" s="627"/>
      <c r="T35" s="627"/>
      <c r="U35" s="25" t="str">
        <f>I35</f>
        <v>2015-16</v>
      </c>
    </row>
    <row r="36" spans="1:21" hidden="1" x14ac:dyDescent="0.25">
      <c r="A36" s="26"/>
      <c r="B36" s="26"/>
      <c r="C36" s="88" t="s">
        <v>93</v>
      </c>
      <c r="D36" s="88" t="s">
        <v>94</v>
      </c>
      <c r="E36" s="89" t="s">
        <v>8</v>
      </c>
      <c r="F36" s="670"/>
      <c r="G36" s="670"/>
      <c r="H36" s="670"/>
      <c r="I36" s="24" t="s">
        <v>27</v>
      </c>
      <c r="N36" s="28"/>
      <c r="O36" s="28"/>
      <c r="P36" s="29"/>
      <c r="Q36" s="29"/>
      <c r="R36" s="30"/>
      <c r="S36" s="30"/>
      <c r="T36" s="102"/>
      <c r="U36" s="25" t="s">
        <v>27</v>
      </c>
    </row>
    <row r="37" spans="1:21" ht="26.25" hidden="1" x14ac:dyDescent="0.25">
      <c r="A37" s="572" t="s">
        <v>50</v>
      </c>
      <c r="B37" s="572"/>
      <c r="C37" s="90" t="s">
        <v>2</v>
      </c>
      <c r="D37" s="90" t="s">
        <v>2</v>
      </c>
      <c r="E37" s="90" t="s">
        <v>2</v>
      </c>
      <c r="F37" s="671"/>
      <c r="G37" s="671"/>
      <c r="H37" s="671"/>
      <c r="I37" s="31" t="s">
        <v>395</v>
      </c>
      <c r="N37" s="639" t="s">
        <v>50</v>
      </c>
      <c r="O37" s="639"/>
      <c r="P37" s="640" t="s">
        <v>19</v>
      </c>
      <c r="Q37" s="640"/>
      <c r="R37" s="640"/>
      <c r="S37" s="640"/>
      <c r="T37" s="640"/>
      <c r="U37" s="19" t="str">
        <f>I37</f>
        <v>(WFTE x BSA x CWF x SDF)</v>
      </c>
    </row>
    <row r="38" spans="1:21" hidden="1" x14ac:dyDescent="0.25">
      <c r="A38" s="576" t="s">
        <v>45</v>
      </c>
      <c r="B38" s="576"/>
      <c r="C38" s="147">
        <v>0</v>
      </c>
      <c r="D38" s="147">
        <v>0</v>
      </c>
      <c r="E38" s="142">
        <f t="shared" ref="E38:E43" si="6">IF(D$44=0,C38*2,C38+D38)</f>
        <v>0</v>
      </c>
      <c r="F38" s="148"/>
      <c r="G38" s="148"/>
      <c r="H38" s="148"/>
      <c r="I38" s="111">
        <f>ROUND(ROUND(ROUND(E38*$C$8,4)*($H$8),2)*(MAX($H$9,1)),2)</f>
        <v>0</v>
      </c>
      <c r="N38" s="641" t="s">
        <v>45</v>
      </c>
      <c r="O38" s="641"/>
      <c r="P38" s="608">
        <f t="shared" ref="P38:P43" si="7">IF($H$133=1,E38,0)</f>
        <v>0</v>
      </c>
      <c r="Q38" s="608"/>
      <c r="R38" s="608"/>
      <c r="S38" s="608"/>
      <c r="T38" s="608"/>
      <c r="U38" s="98">
        <f>ROUND(ROUND(ROUND(P38*$C$8,4)*($H$8),2)*(MAX($H$9,1)),2)</f>
        <v>0</v>
      </c>
    </row>
    <row r="39" spans="1:21" hidden="1" x14ac:dyDescent="0.25">
      <c r="A39" s="578" t="s">
        <v>46</v>
      </c>
      <c r="B39" s="578"/>
      <c r="C39" s="150">
        <v>0</v>
      </c>
      <c r="D39" s="150">
        <v>0</v>
      </c>
      <c r="E39" s="144">
        <f t="shared" si="6"/>
        <v>0</v>
      </c>
      <c r="F39" s="151"/>
      <c r="G39" s="151"/>
      <c r="H39" s="151"/>
      <c r="I39" s="101">
        <f t="shared" ref="I39:I43" si="8">ROUND(ROUND(ROUND(E39*$C$8,4)*($H$8),2)*(MAX($H$9,1)),2)</f>
        <v>0</v>
      </c>
      <c r="N39" s="601" t="s">
        <v>46</v>
      </c>
      <c r="O39" s="601"/>
      <c r="P39" s="608">
        <f t="shared" si="7"/>
        <v>0</v>
      </c>
      <c r="Q39" s="608"/>
      <c r="R39" s="608"/>
      <c r="S39" s="608"/>
      <c r="T39" s="608"/>
      <c r="U39" s="98">
        <f t="shared" ref="U39:U43" si="9">ROUND(ROUND(ROUND(P39*$C$8,4)*($H$8),2)*(MAX($H$9,1)),2)</f>
        <v>0</v>
      </c>
    </row>
    <row r="40" spans="1:21" hidden="1" x14ac:dyDescent="0.25">
      <c r="A40" s="583" t="s">
        <v>47</v>
      </c>
      <c r="B40" s="583"/>
      <c r="C40" s="150">
        <v>0</v>
      </c>
      <c r="D40" s="150">
        <v>0</v>
      </c>
      <c r="E40" s="144">
        <f t="shared" si="6"/>
        <v>0</v>
      </c>
      <c r="F40" s="151"/>
      <c r="G40" s="151"/>
      <c r="H40" s="151"/>
      <c r="I40" s="101">
        <f t="shared" si="8"/>
        <v>0</v>
      </c>
      <c r="N40" s="646" t="s">
        <v>47</v>
      </c>
      <c r="O40" s="646"/>
      <c r="P40" s="608">
        <f t="shared" si="7"/>
        <v>0</v>
      </c>
      <c r="Q40" s="608"/>
      <c r="R40" s="608"/>
      <c r="S40" s="608"/>
      <c r="T40" s="608"/>
      <c r="U40" s="98">
        <f t="shared" si="9"/>
        <v>0</v>
      </c>
    </row>
    <row r="41" spans="1:21" hidden="1" x14ac:dyDescent="0.25">
      <c r="A41" s="578" t="s">
        <v>48</v>
      </c>
      <c r="B41" s="578"/>
      <c r="C41" s="150">
        <v>0</v>
      </c>
      <c r="D41" s="150">
        <v>0</v>
      </c>
      <c r="E41" s="144">
        <f t="shared" si="6"/>
        <v>0</v>
      </c>
      <c r="F41" s="151"/>
      <c r="G41" s="151"/>
      <c r="H41" s="151"/>
      <c r="I41" s="101">
        <f t="shared" si="8"/>
        <v>0</v>
      </c>
      <c r="N41" s="601" t="s">
        <v>48</v>
      </c>
      <c r="O41" s="601"/>
      <c r="P41" s="608">
        <f t="shared" si="7"/>
        <v>0</v>
      </c>
      <c r="Q41" s="608"/>
      <c r="R41" s="608"/>
      <c r="S41" s="608"/>
      <c r="T41" s="608"/>
      <c r="U41" s="98">
        <f t="shared" si="9"/>
        <v>0</v>
      </c>
    </row>
    <row r="42" spans="1:21" hidden="1" x14ac:dyDescent="0.25">
      <c r="A42" s="578" t="s">
        <v>49</v>
      </c>
      <c r="B42" s="578"/>
      <c r="C42" s="150">
        <v>0</v>
      </c>
      <c r="D42" s="150">
        <v>0</v>
      </c>
      <c r="E42" s="144">
        <f t="shared" si="6"/>
        <v>0</v>
      </c>
      <c r="F42" s="151"/>
      <c r="G42" s="151"/>
      <c r="H42" s="151"/>
      <c r="I42" s="101">
        <f t="shared" si="8"/>
        <v>0</v>
      </c>
      <c r="N42" s="601" t="s">
        <v>49</v>
      </c>
      <c r="O42" s="601"/>
      <c r="P42" s="608">
        <f t="shared" si="7"/>
        <v>0</v>
      </c>
      <c r="Q42" s="608"/>
      <c r="R42" s="608"/>
      <c r="S42" s="608"/>
      <c r="T42" s="608"/>
      <c r="U42" s="98">
        <f t="shared" si="9"/>
        <v>0</v>
      </c>
    </row>
    <row r="43" spans="1:21" hidden="1" x14ac:dyDescent="0.25">
      <c r="A43" s="578" t="s">
        <v>41</v>
      </c>
      <c r="B43" s="578"/>
      <c r="C43" s="149">
        <v>0</v>
      </c>
      <c r="D43" s="149">
        <v>0</v>
      </c>
      <c r="E43" s="136">
        <f t="shared" si="6"/>
        <v>0</v>
      </c>
      <c r="F43" s="151"/>
      <c r="G43" s="151"/>
      <c r="H43" s="151"/>
      <c r="I43" s="94">
        <f t="shared" si="8"/>
        <v>0</v>
      </c>
      <c r="N43" s="616" t="s">
        <v>41</v>
      </c>
      <c r="O43" s="616"/>
      <c r="P43" s="608">
        <f t="shared" si="7"/>
        <v>0</v>
      </c>
      <c r="Q43" s="608"/>
      <c r="R43" s="608"/>
      <c r="S43" s="608"/>
      <c r="T43" s="60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3" t="s">
        <v>43</v>
      </c>
      <c r="O44" s="603"/>
      <c r="P44" s="603"/>
      <c r="Q44" s="603"/>
      <c r="R44" s="33">
        <f>SUM(P38:R43)</f>
        <v>0</v>
      </c>
      <c r="S44" s="617" t="s">
        <v>51</v>
      </c>
      <c r="T44" s="617"/>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1061.1407999999999</v>
      </c>
      <c r="F46" s="34"/>
      <c r="G46" s="106"/>
      <c r="H46" s="107" t="s">
        <v>98</v>
      </c>
      <c r="I46" s="94">
        <f>SUM(I44,I30)</f>
        <v>5887722.7200000007</v>
      </c>
      <c r="N46" s="603" t="s">
        <v>44</v>
      </c>
      <c r="O46" s="603"/>
      <c r="P46" s="603"/>
      <c r="Q46" s="603"/>
      <c r="R46" s="35">
        <f>R44+T30</f>
        <v>0</v>
      </c>
      <c r="S46" s="617" t="s">
        <v>42</v>
      </c>
      <c r="T46" s="617"/>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396</v>
      </c>
      <c r="B48" s="26"/>
      <c r="C48" s="26"/>
      <c r="D48" s="26"/>
      <c r="E48" s="26"/>
      <c r="F48" s="34"/>
      <c r="G48" s="27"/>
      <c r="H48" s="27"/>
      <c r="I48" s="101"/>
      <c r="N48" s="383" t="s">
        <v>396</v>
      </c>
      <c r="O48" s="28"/>
      <c r="P48" s="28"/>
      <c r="Q48" s="28"/>
      <c r="R48" s="35"/>
      <c r="S48" s="30"/>
      <c r="T48" s="30"/>
      <c r="U48" s="402"/>
    </row>
    <row r="49" spans="1:22" s="391" customFormat="1" ht="9" customHeight="1" x14ac:dyDescent="0.2">
      <c r="A49" s="481" t="s">
        <v>397</v>
      </c>
      <c r="F49" s="392"/>
      <c r="G49" s="393"/>
      <c r="H49" s="393"/>
      <c r="I49" s="394"/>
      <c r="N49" s="403" t="s">
        <v>397</v>
      </c>
      <c r="O49" s="395"/>
      <c r="P49" s="395"/>
      <c r="Q49" s="395"/>
      <c r="R49" s="396"/>
      <c r="S49" s="397"/>
      <c r="T49" s="397"/>
      <c r="U49" s="404"/>
    </row>
    <row r="50" spans="1:22" s="391" customFormat="1" ht="11.25" customHeight="1" x14ac:dyDescent="0.2">
      <c r="A50" s="483" t="s">
        <v>398</v>
      </c>
      <c r="F50" s="392"/>
      <c r="G50" s="393"/>
      <c r="H50" s="393"/>
      <c r="I50" s="394"/>
      <c r="N50" s="405" t="s">
        <v>398</v>
      </c>
      <c r="O50" s="395"/>
      <c r="P50" s="395"/>
      <c r="Q50" s="395"/>
      <c r="R50" s="396"/>
      <c r="S50" s="397"/>
      <c r="T50" s="397"/>
      <c r="U50" s="404"/>
    </row>
    <row r="51" spans="1:22" x14ac:dyDescent="0.25">
      <c r="A51" s="389"/>
      <c r="B51" s="399" t="s">
        <v>399</v>
      </c>
      <c r="C51" s="26"/>
      <c r="D51" s="26"/>
      <c r="E51" s="43" t="s">
        <v>400</v>
      </c>
      <c r="F51" s="400">
        <f>I46</f>
        <v>5887722.7200000007</v>
      </c>
      <c r="G51" s="109" t="s">
        <v>6</v>
      </c>
      <c r="H51" s="401">
        <v>4.5199999999999997E-2</v>
      </c>
      <c r="I51" s="101">
        <f>ROUND(F51*H51,2)</f>
        <v>266125.07</v>
      </c>
      <c r="N51" s="406"/>
      <c r="O51" s="407" t="s">
        <v>399</v>
      </c>
      <c r="P51" s="28"/>
      <c r="Q51" s="44" t="s">
        <v>400</v>
      </c>
      <c r="R51" s="408">
        <f>U30</f>
        <v>0</v>
      </c>
      <c r="S51" s="409" t="s">
        <v>6</v>
      </c>
      <c r="T51" s="410">
        <v>4.5199999999999997E-2</v>
      </c>
      <c r="U51" s="402">
        <f>ROUND(R51*T51,2)</f>
        <v>0</v>
      </c>
    </row>
    <row r="52" spans="1:22" x14ac:dyDescent="0.25">
      <c r="A52" s="26"/>
      <c r="B52" s="81" t="s">
        <v>401</v>
      </c>
      <c r="C52" s="26"/>
      <c r="D52" s="26"/>
      <c r="E52" s="43" t="s">
        <v>400</v>
      </c>
      <c r="F52" s="400">
        <f>I46</f>
        <v>5887722.7200000007</v>
      </c>
      <c r="G52" s="109" t="s">
        <v>6</v>
      </c>
      <c r="H52" s="401">
        <v>1.41E-2</v>
      </c>
      <c r="I52" s="101">
        <f>ROUND(F52*H52,2)</f>
        <v>83016.89</v>
      </c>
      <c r="N52" s="28"/>
      <c r="O52" s="383" t="s">
        <v>401</v>
      </c>
      <c r="P52" s="28"/>
      <c r="Q52" s="44" t="s">
        <v>400</v>
      </c>
      <c r="R52" s="408">
        <f>U30</f>
        <v>0</v>
      </c>
      <c r="S52" s="409" t="s">
        <v>6</v>
      </c>
      <c r="T52" s="410">
        <v>1.41E-2</v>
      </c>
      <c r="U52" s="411">
        <f>ROUND(R52*T52,2)</f>
        <v>0</v>
      </c>
    </row>
    <row r="53" spans="1:22" x14ac:dyDescent="0.25">
      <c r="A53" s="26"/>
      <c r="B53" s="81" t="s">
        <v>402</v>
      </c>
      <c r="C53" s="26"/>
      <c r="D53" s="26"/>
      <c r="E53" s="43"/>
      <c r="F53" s="400"/>
      <c r="G53" s="109"/>
      <c r="H53" s="401"/>
      <c r="I53" s="97">
        <f>SUM(I51:I52)</f>
        <v>349141.96</v>
      </c>
      <c r="N53" s="28"/>
      <c r="O53" s="383" t="s">
        <v>402</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440</v>
      </c>
      <c r="G55" s="109" t="s">
        <v>441</v>
      </c>
      <c r="H55" s="454" t="s">
        <v>442</v>
      </c>
      <c r="I55" s="101"/>
      <c r="N55" s="448"/>
      <c r="O55" s="448"/>
      <c r="P55" s="464"/>
      <c r="Q55" s="465"/>
      <c r="R55" s="466"/>
      <c r="S55" s="468" t="s">
        <v>441</v>
      </c>
      <c r="T55" s="469" t="s">
        <v>442</v>
      </c>
      <c r="U55" s="467"/>
      <c r="V55" s="424"/>
    </row>
    <row r="56" spans="1:22" x14ac:dyDescent="0.25">
      <c r="A56" s="36" t="s">
        <v>443</v>
      </c>
      <c r="B56" s="36"/>
      <c r="C56" s="324" t="str">
        <f>'1461'!C56</f>
        <v>FTE</v>
      </c>
      <c r="D56" s="324" t="str">
        <f>'1461'!D56</f>
        <v>FTE</v>
      </c>
      <c r="E56" s="90" t="s">
        <v>2</v>
      </c>
      <c r="F56" s="439" t="s">
        <v>444</v>
      </c>
      <c r="G56" s="441" t="s">
        <v>444</v>
      </c>
      <c r="H56" s="455" t="s">
        <v>445</v>
      </c>
      <c r="I56" s="36"/>
      <c r="N56" s="459" t="s">
        <v>443</v>
      </c>
      <c r="O56" s="459"/>
      <c r="P56" s="620" t="s">
        <v>2</v>
      </c>
      <c r="Q56" s="620"/>
      <c r="R56" s="459" t="s">
        <v>449</v>
      </c>
      <c r="S56" s="450" t="s">
        <v>444</v>
      </c>
      <c r="T56" s="470" t="s">
        <v>445</v>
      </c>
      <c r="U56" s="459"/>
      <c r="V56" s="458"/>
    </row>
    <row r="57" spans="1:22" x14ac:dyDescent="0.25">
      <c r="A57" s="588" t="s">
        <v>447</v>
      </c>
      <c r="B57" s="588"/>
      <c r="C57" s="143">
        <v>0</v>
      </c>
      <c r="D57" s="143">
        <v>0</v>
      </c>
      <c r="E57" s="116">
        <f t="shared" ref="E57:E65" si="10">IF(D$66=0,C57*2,C57+D57)</f>
        <v>0</v>
      </c>
      <c r="F57" s="443" t="s">
        <v>439</v>
      </c>
      <c r="G57" s="443">
        <v>251</v>
      </c>
      <c r="H57" s="457">
        <f>'1461'!H57</f>
        <v>1047</v>
      </c>
      <c r="I57" s="101">
        <f>ROUND(E57*H57,2)</f>
        <v>0</v>
      </c>
      <c r="N57" s="618" t="s">
        <v>447</v>
      </c>
      <c r="O57" s="618"/>
      <c r="P57" s="621"/>
      <c r="Q57" s="621"/>
      <c r="R57" s="449" t="s">
        <v>439</v>
      </c>
      <c r="S57" s="449">
        <v>251</v>
      </c>
      <c r="T57" s="460">
        <f>H57</f>
        <v>1047</v>
      </c>
      <c r="U57" s="474">
        <f>ROUND(P57*T57,2)</f>
        <v>0</v>
      </c>
      <c r="V57" s="424"/>
    </row>
    <row r="58" spans="1:22" x14ac:dyDescent="0.25">
      <c r="A58" s="589"/>
      <c r="B58" s="589"/>
      <c r="C58" s="143">
        <v>0</v>
      </c>
      <c r="D58" s="143">
        <v>0</v>
      </c>
      <c r="E58" s="116">
        <f t="shared" si="10"/>
        <v>0</v>
      </c>
      <c r="F58" s="443" t="s">
        <v>439</v>
      </c>
      <c r="G58" s="443">
        <v>252</v>
      </c>
      <c r="H58" s="457">
        <f>'1461'!H58</f>
        <v>3380</v>
      </c>
      <c r="I58" s="101">
        <f t="shared" ref="I58:I65" si="11">ROUND(E58*H58,2)</f>
        <v>0</v>
      </c>
      <c r="N58" s="619"/>
      <c r="O58" s="619"/>
      <c r="P58" s="622"/>
      <c r="Q58" s="622"/>
      <c r="R58" s="449" t="s">
        <v>439</v>
      </c>
      <c r="S58" s="449">
        <v>252</v>
      </c>
      <c r="T58" s="460">
        <f t="shared" ref="T58:T65" si="12">H58</f>
        <v>3380</v>
      </c>
      <c r="U58" s="474">
        <f t="shared" ref="U58:U65" si="13">ROUND(P58*T58,2)</f>
        <v>0</v>
      </c>
      <c r="V58" s="424"/>
    </row>
    <row r="59" spans="1:22" x14ac:dyDescent="0.25">
      <c r="A59" s="589"/>
      <c r="B59" s="589"/>
      <c r="C59" s="143">
        <v>0</v>
      </c>
      <c r="D59" s="143">
        <v>0</v>
      </c>
      <c r="E59" s="116">
        <f t="shared" si="10"/>
        <v>0</v>
      </c>
      <c r="F59" s="443" t="s">
        <v>439</v>
      </c>
      <c r="G59" s="443">
        <v>253</v>
      </c>
      <c r="H59" s="457">
        <f>'1461'!H59</f>
        <v>6896</v>
      </c>
      <c r="I59" s="101">
        <f t="shared" si="11"/>
        <v>0</v>
      </c>
      <c r="N59" s="619"/>
      <c r="O59" s="619"/>
      <c r="P59" s="622"/>
      <c r="Q59" s="622"/>
      <c r="R59" s="449" t="s">
        <v>439</v>
      </c>
      <c r="S59" s="449">
        <v>253</v>
      </c>
      <c r="T59" s="460">
        <f t="shared" si="12"/>
        <v>6896</v>
      </c>
      <c r="U59" s="474">
        <f t="shared" si="13"/>
        <v>0</v>
      </c>
      <c r="V59" s="424"/>
    </row>
    <row r="60" spans="1:22" x14ac:dyDescent="0.25">
      <c r="A60" s="589"/>
      <c r="B60" s="589"/>
      <c r="C60" s="143">
        <v>25</v>
      </c>
      <c r="D60" s="143">
        <v>26.01</v>
      </c>
      <c r="E60" s="116">
        <f t="shared" si="10"/>
        <v>51.010000000000005</v>
      </c>
      <c r="F60" s="444" t="s">
        <v>13</v>
      </c>
      <c r="G60" s="443">
        <v>251</v>
      </c>
      <c r="H60" s="457">
        <f>'1461'!H60</f>
        <v>1173</v>
      </c>
      <c r="I60" s="101">
        <f t="shared" si="11"/>
        <v>59834.73</v>
      </c>
      <c r="N60" s="619"/>
      <c r="O60" s="619"/>
      <c r="P60" s="622"/>
      <c r="Q60" s="622"/>
      <c r="R60" s="40" t="s">
        <v>13</v>
      </c>
      <c r="S60" s="449">
        <v>251</v>
      </c>
      <c r="T60" s="460">
        <f t="shared" si="12"/>
        <v>1173</v>
      </c>
      <c r="U60" s="474">
        <f t="shared" si="13"/>
        <v>0</v>
      </c>
      <c r="V60" s="424"/>
    </row>
    <row r="61" spans="1:22" x14ac:dyDescent="0.25">
      <c r="A61" s="589"/>
      <c r="B61" s="589"/>
      <c r="C61" s="143">
        <v>2.5</v>
      </c>
      <c r="D61" s="143">
        <v>3</v>
      </c>
      <c r="E61" s="116">
        <f t="shared" si="10"/>
        <v>5.5</v>
      </c>
      <c r="F61" s="444" t="s">
        <v>13</v>
      </c>
      <c r="G61" s="443">
        <v>252</v>
      </c>
      <c r="H61" s="457">
        <f>'1461'!H61</f>
        <v>3506</v>
      </c>
      <c r="I61" s="101">
        <f t="shared" si="11"/>
        <v>19283</v>
      </c>
      <c r="N61" s="619"/>
      <c r="O61" s="619"/>
      <c r="P61" s="622"/>
      <c r="Q61" s="622"/>
      <c r="R61" s="40" t="s">
        <v>13</v>
      </c>
      <c r="S61" s="449">
        <v>252</v>
      </c>
      <c r="T61" s="460">
        <f t="shared" si="12"/>
        <v>3506</v>
      </c>
      <c r="U61" s="474">
        <f t="shared" si="13"/>
        <v>0</v>
      </c>
      <c r="V61" s="424"/>
    </row>
    <row r="62" spans="1:22" x14ac:dyDescent="0.25">
      <c r="A62" s="589"/>
      <c r="B62" s="589"/>
      <c r="C62" s="143">
        <v>0</v>
      </c>
      <c r="D62" s="143">
        <v>0</v>
      </c>
      <c r="E62" s="116">
        <f t="shared" si="10"/>
        <v>0</v>
      </c>
      <c r="F62" s="444" t="s">
        <v>13</v>
      </c>
      <c r="G62" s="443">
        <v>253</v>
      </c>
      <c r="H62" s="457">
        <f>'1461'!H62</f>
        <v>7023</v>
      </c>
      <c r="I62" s="101">
        <f t="shared" si="11"/>
        <v>0</v>
      </c>
      <c r="N62" s="619"/>
      <c r="O62" s="619"/>
      <c r="P62" s="622"/>
      <c r="Q62" s="622"/>
      <c r="R62" s="40" t="s">
        <v>13</v>
      </c>
      <c r="S62" s="449">
        <v>253</v>
      </c>
      <c r="T62" s="460">
        <f t="shared" si="12"/>
        <v>7023</v>
      </c>
      <c r="U62" s="474">
        <f t="shared" si="13"/>
        <v>0</v>
      </c>
      <c r="V62" s="424"/>
    </row>
    <row r="63" spans="1:22" x14ac:dyDescent="0.25">
      <c r="A63" s="589"/>
      <c r="B63" s="589"/>
      <c r="C63" s="143">
        <v>19.5</v>
      </c>
      <c r="D63" s="143">
        <v>20.41</v>
      </c>
      <c r="E63" s="116">
        <f t="shared" si="10"/>
        <v>39.909999999999997</v>
      </c>
      <c r="F63" s="444" t="s">
        <v>14</v>
      </c>
      <c r="G63" s="443">
        <v>251</v>
      </c>
      <c r="H63" s="457">
        <f>'1461'!H63</f>
        <v>835</v>
      </c>
      <c r="I63" s="101">
        <f t="shared" si="11"/>
        <v>33324.85</v>
      </c>
      <c r="N63" s="619"/>
      <c r="O63" s="619"/>
      <c r="P63" s="622"/>
      <c r="Q63" s="622"/>
      <c r="R63" s="40" t="s">
        <v>14</v>
      </c>
      <c r="S63" s="449">
        <v>251</v>
      </c>
      <c r="T63" s="460">
        <f t="shared" si="12"/>
        <v>835</v>
      </c>
      <c r="U63" s="474">
        <f t="shared" si="13"/>
        <v>0</v>
      </c>
      <c r="V63" s="424"/>
    </row>
    <row r="64" spans="1:22" x14ac:dyDescent="0.25">
      <c r="A64" s="589"/>
      <c r="B64" s="589"/>
      <c r="C64" s="143">
        <v>3.5</v>
      </c>
      <c r="D64" s="143">
        <v>3.59</v>
      </c>
      <c r="E64" s="116">
        <f t="shared" si="10"/>
        <v>7.09</v>
      </c>
      <c r="F64" s="444" t="s">
        <v>14</v>
      </c>
      <c r="G64" s="443">
        <v>252</v>
      </c>
      <c r="H64" s="457">
        <f>'1461'!H64</f>
        <v>3168</v>
      </c>
      <c r="I64" s="101">
        <f t="shared" si="11"/>
        <v>22461.119999999999</v>
      </c>
      <c r="N64" s="619"/>
      <c r="O64" s="619"/>
      <c r="P64" s="622"/>
      <c r="Q64" s="622"/>
      <c r="R64" s="40" t="s">
        <v>14</v>
      </c>
      <c r="S64" s="449">
        <v>252</v>
      </c>
      <c r="T64" s="460">
        <f t="shared" si="12"/>
        <v>3168</v>
      </c>
      <c r="U64" s="474">
        <f t="shared" si="13"/>
        <v>0</v>
      </c>
      <c r="V64" s="424"/>
    </row>
    <row r="65" spans="1:22" ht="16.5" thickBot="1" x14ac:dyDescent="0.3">
      <c r="A65" s="589"/>
      <c r="B65" s="589"/>
      <c r="C65" s="143">
        <v>0</v>
      </c>
      <c r="D65" s="143">
        <v>0</v>
      </c>
      <c r="E65" s="116">
        <f t="shared" si="10"/>
        <v>0</v>
      </c>
      <c r="F65" s="444" t="s">
        <v>14</v>
      </c>
      <c r="G65" s="443">
        <v>253</v>
      </c>
      <c r="H65" s="457">
        <f>'1461'!H65</f>
        <v>6685</v>
      </c>
      <c r="I65" s="101">
        <f t="shared" si="11"/>
        <v>0</v>
      </c>
      <c r="N65" s="619"/>
      <c r="O65" s="619"/>
      <c r="P65" s="623"/>
      <c r="Q65" s="623"/>
      <c r="R65" s="40" t="s">
        <v>14</v>
      </c>
      <c r="S65" s="449">
        <v>253</v>
      </c>
      <c r="T65" s="460">
        <f t="shared" si="12"/>
        <v>6685</v>
      </c>
      <c r="U65" s="475">
        <f t="shared" si="13"/>
        <v>0</v>
      </c>
      <c r="V65" s="424"/>
    </row>
    <row r="66" spans="1:22" ht="16.5" thickBot="1" x14ac:dyDescent="0.3">
      <c r="A66" s="440"/>
      <c r="C66" s="97">
        <f>SUM(C57:C65)</f>
        <v>50.5</v>
      </c>
      <c r="D66" s="97">
        <f>SUM(D57:D65)</f>
        <v>53.010000000000005</v>
      </c>
      <c r="E66" s="97">
        <f>SUM(E57:E65)</f>
        <v>103.51</v>
      </c>
      <c r="F66" s="590" t="s">
        <v>448</v>
      </c>
      <c r="G66" s="590"/>
      <c r="H66" s="590"/>
      <c r="I66" s="97">
        <f>SUM(I57:I65)</f>
        <v>134903.70000000001</v>
      </c>
      <c r="N66" s="446"/>
      <c r="O66" s="51"/>
      <c r="P66" s="602">
        <f>SUM(P57:P65)</f>
        <v>0</v>
      </c>
      <c r="Q66" s="602"/>
      <c r="R66" s="603" t="s">
        <v>448</v>
      </c>
      <c r="S66" s="603"/>
      <c r="T66" s="603"/>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450</v>
      </c>
      <c r="N68" s="453" t="s">
        <v>458</v>
      </c>
      <c r="O68" s="51"/>
      <c r="P68" s="51"/>
      <c r="Q68" s="51"/>
      <c r="R68" s="51"/>
      <c r="S68" s="51"/>
      <c r="T68" s="51"/>
      <c r="U68" s="51"/>
    </row>
    <row r="69" spans="1:22" x14ac:dyDescent="0.25">
      <c r="A69" s="584" t="s">
        <v>403</v>
      </c>
      <c r="B69" s="578"/>
      <c r="C69" s="112">
        <f>E30</f>
        <v>1033.75</v>
      </c>
      <c r="D69" s="565" t="s">
        <v>414</v>
      </c>
      <c r="E69" s="565"/>
      <c r="F69" s="565"/>
      <c r="G69" s="565"/>
      <c r="H69" s="300">
        <f>'1461'!H69</f>
        <v>210228.91</v>
      </c>
      <c r="I69" s="113"/>
      <c r="N69" s="600" t="s">
        <v>407</v>
      </c>
      <c r="O69" s="601"/>
      <c r="P69" s="41">
        <f>P30</f>
        <v>0</v>
      </c>
      <c r="Q69" s="606" t="s">
        <v>409</v>
      </c>
      <c r="R69" s="607"/>
      <c r="S69" s="607"/>
      <c r="T69" s="604">
        <f>H69</f>
        <v>210228.91</v>
      </c>
      <c r="U69" s="604"/>
    </row>
    <row r="70" spans="1:22" x14ac:dyDescent="0.25">
      <c r="B70" s="69"/>
      <c r="G70" s="42" t="s">
        <v>12</v>
      </c>
      <c r="H70" s="114">
        <f>ROUND(C69/H69,6)</f>
        <v>4.9170000000000004E-3</v>
      </c>
      <c r="I70" s="115"/>
      <c r="N70" s="601"/>
      <c r="O70" s="601"/>
      <c r="P70" s="601"/>
      <c r="Q70" s="601"/>
      <c r="R70" s="601"/>
      <c r="S70" s="601"/>
      <c r="T70" s="605">
        <f>ROUND(P69/T69,6)</f>
        <v>0</v>
      </c>
      <c r="U70" s="605"/>
    </row>
    <row r="71" spans="1:22" x14ac:dyDescent="0.25">
      <c r="A71" s="442" t="s">
        <v>451</v>
      </c>
      <c r="N71" s="453" t="s">
        <v>459</v>
      </c>
      <c r="O71" s="51"/>
      <c r="P71" s="51"/>
      <c r="Q71" s="51"/>
      <c r="R71" s="51"/>
      <c r="S71" s="51"/>
      <c r="T71" s="51"/>
      <c r="U71" s="51"/>
    </row>
    <row r="72" spans="1:22" x14ac:dyDescent="0.25">
      <c r="A72" s="584" t="s">
        <v>404</v>
      </c>
      <c r="B72" s="578"/>
      <c r="C72" s="112">
        <f>H30</f>
        <v>1061.1407999999999</v>
      </c>
      <c r="D72" s="565" t="s">
        <v>415</v>
      </c>
      <c r="E72" s="565"/>
      <c r="F72" s="565"/>
      <c r="G72" s="565"/>
      <c r="H72" s="301">
        <f>'1461'!H72</f>
        <v>234891.44</v>
      </c>
      <c r="I72" s="116"/>
      <c r="N72" s="600" t="s">
        <v>408</v>
      </c>
      <c r="O72" s="601"/>
      <c r="P72" s="41">
        <f>T30</f>
        <v>0</v>
      </c>
      <c r="Q72" s="606" t="s">
        <v>410</v>
      </c>
      <c r="R72" s="607"/>
      <c r="S72" s="607"/>
      <c r="T72" s="604">
        <f>H72</f>
        <v>234891.44</v>
      </c>
      <c r="U72" s="604"/>
    </row>
    <row r="73" spans="1:22" x14ac:dyDescent="0.25">
      <c r="G73" s="42" t="s">
        <v>12</v>
      </c>
      <c r="H73" s="114">
        <f>ROUND(C72/H72,6)</f>
        <v>4.5180000000000003E-3</v>
      </c>
      <c r="I73" s="114"/>
      <c r="N73" s="601"/>
      <c r="O73" s="601"/>
      <c r="P73" s="601"/>
      <c r="Q73" s="601"/>
      <c r="R73" s="601"/>
      <c r="S73" s="601"/>
      <c r="T73" s="605">
        <f>ROUND(P72/T72,6)</f>
        <v>0</v>
      </c>
      <c r="U73" s="605"/>
    </row>
    <row r="74" spans="1:22" x14ac:dyDescent="0.25">
      <c r="A74" s="417" t="s">
        <v>452</v>
      </c>
      <c r="B74" s="414"/>
      <c r="C74" s="414"/>
      <c r="D74" s="414"/>
      <c r="E74" s="414"/>
      <c r="F74" s="414"/>
      <c r="G74" s="414"/>
      <c r="H74" s="414"/>
      <c r="I74" s="414"/>
      <c r="N74" s="416" t="s">
        <v>460</v>
      </c>
      <c r="O74" s="415"/>
      <c r="P74" s="415"/>
      <c r="Q74" s="415"/>
      <c r="R74" s="415"/>
      <c r="S74" s="415"/>
      <c r="T74" s="415"/>
      <c r="U74" s="415"/>
      <c r="V74" s="414"/>
    </row>
    <row r="75" spans="1:22" x14ac:dyDescent="0.25">
      <c r="A75" s="584" t="s">
        <v>405</v>
      </c>
      <c r="B75" s="578"/>
      <c r="C75" s="112">
        <f>E30</f>
        <v>1033.75</v>
      </c>
      <c r="D75" s="557" t="s">
        <v>416</v>
      </c>
      <c r="E75" s="557"/>
      <c r="F75" s="557"/>
      <c r="G75" s="557"/>
      <c r="H75" s="300">
        <f>'1461'!H75</f>
        <v>187665.41</v>
      </c>
      <c r="I75" s="113"/>
      <c r="N75" s="600" t="s">
        <v>406</v>
      </c>
      <c r="O75" s="601"/>
      <c r="P75" s="41">
        <f>P30</f>
        <v>0</v>
      </c>
      <c r="Q75" s="636" t="s">
        <v>411</v>
      </c>
      <c r="R75" s="637"/>
      <c r="S75" s="637"/>
      <c r="T75" s="604">
        <f>H75</f>
        <v>187665.41</v>
      </c>
      <c r="U75" s="604"/>
    </row>
    <row r="76" spans="1:22" x14ac:dyDescent="0.25">
      <c r="B76" s="69"/>
      <c r="G76" s="42" t="s">
        <v>12</v>
      </c>
      <c r="H76" s="114">
        <f>ROUND(C75/H75,6)</f>
        <v>5.5079999999999999E-3</v>
      </c>
      <c r="I76" s="115"/>
      <c r="N76" s="601"/>
      <c r="O76" s="601"/>
      <c r="P76" s="601"/>
      <c r="Q76" s="601"/>
      <c r="R76" s="601"/>
      <c r="S76" s="601"/>
      <c r="T76" s="605">
        <f>ROUND(P75/T75,6)</f>
        <v>0</v>
      </c>
      <c r="U76" s="605"/>
    </row>
    <row r="77" spans="1:22" x14ac:dyDescent="0.25">
      <c r="A77" s="417" t="s">
        <v>453</v>
      </c>
      <c r="B77" s="414"/>
      <c r="C77" s="414"/>
      <c r="D77" s="414"/>
      <c r="E77" s="414"/>
      <c r="F77" s="414"/>
      <c r="G77" s="414"/>
      <c r="H77" s="414"/>
      <c r="I77" s="414"/>
      <c r="N77" s="416" t="s">
        <v>461</v>
      </c>
      <c r="O77" s="415"/>
      <c r="P77" s="415"/>
      <c r="Q77" s="415"/>
      <c r="R77" s="415"/>
      <c r="S77" s="415"/>
      <c r="T77" s="415"/>
      <c r="U77" s="415"/>
      <c r="V77" s="414"/>
    </row>
    <row r="78" spans="1:22" x14ac:dyDescent="0.25">
      <c r="A78" s="584" t="s">
        <v>405</v>
      </c>
      <c r="B78" s="578"/>
      <c r="C78" s="112">
        <f>E30</f>
        <v>1033.75</v>
      </c>
      <c r="D78" s="585" t="s">
        <v>417</v>
      </c>
      <c r="E78" s="585"/>
      <c r="F78" s="585"/>
      <c r="G78" s="585"/>
      <c r="H78" s="300">
        <f>'1461'!H78</f>
        <v>209892.26</v>
      </c>
      <c r="I78" s="113"/>
      <c r="N78" s="600" t="s">
        <v>406</v>
      </c>
      <c r="O78" s="601"/>
      <c r="P78" s="41">
        <f>P30</f>
        <v>0</v>
      </c>
      <c r="Q78" s="634" t="s">
        <v>412</v>
      </c>
      <c r="R78" s="635"/>
      <c r="S78" s="635"/>
      <c r="T78" s="604">
        <f>H78</f>
        <v>209892.26</v>
      </c>
      <c r="U78" s="604"/>
    </row>
    <row r="79" spans="1:22" x14ac:dyDescent="0.25">
      <c r="B79" s="69"/>
      <c r="G79" s="42" t="s">
        <v>12</v>
      </c>
      <c r="H79" s="114">
        <f>ROUND(C78/H78,6)</f>
        <v>4.9249999999999997E-3</v>
      </c>
      <c r="I79" s="115"/>
      <c r="N79" s="601"/>
      <c r="O79" s="601"/>
      <c r="P79" s="601"/>
      <c r="Q79" s="601"/>
      <c r="R79" s="601"/>
      <c r="S79" s="601"/>
      <c r="T79" s="605">
        <f>ROUND(P78/T78,6)</f>
        <v>0</v>
      </c>
      <c r="U79" s="605"/>
    </row>
    <row r="80" spans="1:22" x14ac:dyDescent="0.25">
      <c r="A80" s="417" t="s">
        <v>454</v>
      </c>
      <c r="B80" s="414"/>
      <c r="C80" s="414"/>
      <c r="D80" s="414"/>
      <c r="E80" s="414"/>
      <c r="F80" s="414"/>
      <c r="G80" s="414"/>
      <c r="H80" s="414"/>
      <c r="I80" s="414"/>
      <c r="N80" s="416" t="s">
        <v>462</v>
      </c>
      <c r="O80" s="415"/>
      <c r="P80" s="415"/>
      <c r="Q80" s="415"/>
      <c r="R80" s="415"/>
      <c r="S80" s="415"/>
      <c r="T80" s="415"/>
      <c r="U80" s="415"/>
      <c r="V80" s="414"/>
    </row>
    <row r="81" spans="1:21" x14ac:dyDescent="0.25">
      <c r="A81" s="584" t="s">
        <v>413</v>
      </c>
      <c r="B81" s="578"/>
      <c r="C81" s="112">
        <f>E30</f>
        <v>1033.75</v>
      </c>
      <c r="D81" s="557" t="s">
        <v>418</v>
      </c>
      <c r="E81" s="557"/>
      <c r="F81" s="557"/>
      <c r="G81" s="557"/>
      <c r="H81" s="300">
        <f>'1461'!H81</f>
        <v>187328.76</v>
      </c>
      <c r="I81" s="113"/>
      <c r="N81" s="600" t="s">
        <v>419</v>
      </c>
      <c r="O81" s="601"/>
      <c r="P81" s="41">
        <f>P30</f>
        <v>0</v>
      </c>
      <c r="Q81" s="636" t="s">
        <v>420</v>
      </c>
      <c r="R81" s="637"/>
      <c r="S81" s="637"/>
      <c r="T81" s="604">
        <f>H81</f>
        <v>187328.76</v>
      </c>
      <c r="U81" s="604"/>
    </row>
    <row r="82" spans="1:21" x14ac:dyDescent="0.25">
      <c r="B82" s="69"/>
      <c r="G82" s="42" t="s">
        <v>12</v>
      </c>
      <c r="H82" s="114">
        <f>ROUND(C81/H81,6)</f>
        <v>5.5180000000000003E-3</v>
      </c>
      <c r="I82" s="115"/>
      <c r="N82" s="601"/>
      <c r="O82" s="601"/>
      <c r="P82" s="601"/>
      <c r="Q82" s="601"/>
      <c r="R82" s="601"/>
      <c r="S82" s="601"/>
      <c r="T82" s="605">
        <f>ROUND(P81/T81,6)</f>
        <v>0</v>
      </c>
      <c r="U82" s="605"/>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455</v>
      </c>
      <c r="D85" s="69"/>
      <c r="E85" s="43" t="s">
        <v>299</v>
      </c>
      <c r="F85" s="302">
        <f>'1461'!F85</f>
        <v>46163704</v>
      </c>
      <c r="G85" s="37" t="s">
        <v>6</v>
      </c>
      <c r="H85" s="422">
        <f>H79</f>
        <v>4.9249999999999997E-3</v>
      </c>
      <c r="I85" s="101">
        <f>ROUND(F85*H85,2)</f>
        <v>227356.24</v>
      </c>
      <c r="N85" s="453" t="s">
        <v>455</v>
      </c>
      <c r="O85" s="51"/>
      <c r="P85" s="51"/>
      <c r="Q85" s="44"/>
      <c r="R85" s="419">
        <f>F85</f>
        <v>46163704</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87" t="s">
        <v>71</v>
      </c>
      <c r="B87" s="578"/>
      <c r="C87" s="578"/>
      <c r="D87" s="69"/>
      <c r="E87" s="43"/>
      <c r="F87" s="153"/>
      <c r="G87" s="37"/>
      <c r="H87" s="422"/>
      <c r="I87" s="101"/>
      <c r="N87" s="600" t="s">
        <v>463</v>
      </c>
      <c r="O87" s="601"/>
      <c r="P87" s="601"/>
      <c r="Q87" s="51"/>
      <c r="R87" s="420"/>
      <c r="S87" s="51"/>
      <c r="T87" s="38"/>
      <c r="U87" s="478"/>
    </row>
    <row r="88" spans="1:21" x14ac:dyDescent="0.25">
      <c r="A88" s="587" t="s">
        <v>99</v>
      </c>
      <c r="B88" s="578"/>
      <c r="C88" s="578"/>
      <c r="D88" s="69"/>
      <c r="E88" s="43" t="s">
        <v>3</v>
      </c>
      <c r="F88" s="302">
        <f>'1461'!F88</f>
        <v>0</v>
      </c>
      <c r="G88" s="37" t="s">
        <v>6</v>
      </c>
      <c r="H88" s="422">
        <f>H70</f>
        <v>4.9170000000000004E-3</v>
      </c>
      <c r="I88" s="101">
        <f>ROUND(F88*H88,2)</f>
        <v>0</v>
      </c>
      <c r="N88" s="638" t="s">
        <v>99</v>
      </c>
      <c r="O88" s="601"/>
      <c r="P88" s="601"/>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456</v>
      </c>
      <c r="D90" s="69"/>
      <c r="E90" s="43" t="s">
        <v>421</v>
      </c>
      <c r="F90" s="302">
        <f>'1461'!F90</f>
        <v>19042026</v>
      </c>
      <c r="G90" s="37" t="s">
        <v>6</v>
      </c>
      <c r="H90" s="422">
        <f>H82</f>
        <v>5.5180000000000003E-3</v>
      </c>
      <c r="I90" s="101">
        <f>ROUND(F90*H90,2)</f>
        <v>105073.9</v>
      </c>
      <c r="N90" s="453" t="s">
        <v>456</v>
      </c>
      <c r="O90" s="51"/>
      <c r="P90" s="51"/>
      <c r="Q90" s="44"/>
      <c r="R90" s="419">
        <f>F90</f>
        <v>19042026</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457</v>
      </c>
      <c r="D92" s="69"/>
      <c r="E92" s="43" t="s">
        <v>3</v>
      </c>
      <c r="F92" s="302">
        <f>'1461'!F92</f>
        <v>11441151</v>
      </c>
      <c r="G92" s="37" t="s">
        <v>6</v>
      </c>
      <c r="H92" s="422">
        <f>H76</f>
        <v>5.5079999999999999E-3</v>
      </c>
      <c r="I92" s="101">
        <f t="shared" ref="I92:I96" si="14">ROUND(F92*H92,2)</f>
        <v>63017.86</v>
      </c>
      <c r="N92" s="453" t="s">
        <v>457</v>
      </c>
      <c r="O92" s="51"/>
      <c r="P92" s="51"/>
      <c r="Q92" s="44"/>
      <c r="R92" s="419">
        <f t="shared" ref="R92:R96" si="15">F92</f>
        <v>11441151</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84" t="s">
        <v>422</v>
      </c>
      <c r="B94" s="578"/>
      <c r="C94" s="578"/>
      <c r="D94" s="69"/>
      <c r="E94" s="43" t="s">
        <v>4</v>
      </c>
      <c r="F94" s="302">
        <f>'1461'!F94</f>
        <v>247265670</v>
      </c>
      <c r="G94" s="37" t="s">
        <v>6</v>
      </c>
      <c r="H94" s="422">
        <f>H73</f>
        <v>4.5180000000000003E-3</v>
      </c>
      <c r="I94" s="101">
        <f t="shared" si="14"/>
        <v>1117146.3</v>
      </c>
      <c r="N94" s="601" t="s">
        <v>422</v>
      </c>
      <c r="O94" s="601"/>
      <c r="P94" s="601"/>
      <c r="Q94" s="44"/>
      <c r="R94" s="419">
        <f t="shared" si="15"/>
        <v>247265670</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4" t="s">
        <v>423</v>
      </c>
      <c r="B96" s="578"/>
      <c r="C96" s="578"/>
      <c r="D96" s="69"/>
      <c r="E96" s="43" t="s">
        <v>4</v>
      </c>
      <c r="F96" s="302">
        <f>'1461'!F96</f>
        <v>0</v>
      </c>
      <c r="G96" s="37" t="s">
        <v>6</v>
      </c>
      <c r="H96" s="422">
        <f>H73</f>
        <v>4.5180000000000003E-3</v>
      </c>
      <c r="I96" s="101">
        <f t="shared" si="14"/>
        <v>0</v>
      </c>
      <c r="N96" s="600" t="s">
        <v>423</v>
      </c>
      <c r="O96" s="601"/>
      <c r="P96" s="601"/>
      <c r="Q96" s="44"/>
      <c r="R96" s="419">
        <f t="shared" si="15"/>
        <v>0</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530" t="s">
        <v>497</v>
      </c>
      <c r="B98" s="529"/>
      <c r="C98" s="529"/>
      <c r="D98" s="529"/>
      <c r="E98" s="527" t="s">
        <v>3</v>
      </c>
      <c r="F98" s="290">
        <v>0</v>
      </c>
      <c r="G98" s="528" t="s">
        <v>6</v>
      </c>
      <c r="H98" s="422">
        <f>H70</f>
        <v>4.9170000000000004E-3</v>
      </c>
      <c r="I98" s="101">
        <f t="shared" ref="I98" si="16">ROUND(F98*H98,2)</f>
        <v>0</v>
      </c>
      <c r="N98" s="533" t="s">
        <v>497</v>
      </c>
      <c r="O98" s="533"/>
      <c r="P98" s="533"/>
      <c r="Q98" s="44"/>
      <c r="R98" s="536">
        <f>F98</f>
        <v>0</v>
      </c>
      <c r="S98" s="534" t="s">
        <v>6</v>
      </c>
      <c r="T98" s="421">
        <f>T70</f>
        <v>0</v>
      </c>
      <c r="U98" s="473">
        <f>ROUND(R98*T98,2)</f>
        <v>0</v>
      </c>
    </row>
    <row r="99" spans="1:21" x14ac:dyDescent="0.25">
      <c r="A99" s="530"/>
      <c r="B99" s="529"/>
      <c r="C99" s="529"/>
      <c r="D99" s="529"/>
      <c r="E99" s="527"/>
      <c r="F99" s="276"/>
      <c r="G99" s="528"/>
      <c r="H99" s="422"/>
      <c r="I99" s="101"/>
      <c r="N99" s="533"/>
      <c r="O99" s="533"/>
      <c r="P99" s="533"/>
      <c r="Q99" s="44"/>
      <c r="R99" s="535"/>
      <c r="S99" s="534"/>
      <c r="T99" s="421"/>
      <c r="U99" s="477"/>
    </row>
    <row r="100" spans="1:21" x14ac:dyDescent="0.25">
      <c r="A100" s="530"/>
      <c r="B100" s="529"/>
      <c r="C100" s="529"/>
      <c r="D100" s="529"/>
      <c r="E100" s="527"/>
      <c r="F100" s="276"/>
      <c r="G100" s="528"/>
      <c r="H100" s="422"/>
      <c r="I100" s="101"/>
      <c r="N100" s="533"/>
      <c r="O100" s="533"/>
      <c r="P100" s="533"/>
      <c r="Q100" s="44"/>
      <c r="R100" s="420"/>
      <c r="S100" s="534"/>
      <c r="T100" s="421"/>
      <c r="U100" s="103"/>
    </row>
    <row r="101" spans="1:21" x14ac:dyDescent="0.25">
      <c r="A101" s="399" t="s">
        <v>498</v>
      </c>
      <c r="N101" s="407" t="s">
        <v>498</v>
      </c>
      <c r="O101" s="51"/>
      <c r="P101" s="51"/>
      <c r="Q101" s="51"/>
      <c r="R101" s="51"/>
      <c r="S101" s="51"/>
      <c r="T101" s="51"/>
      <c r="U101" s="51"/>
    </row>
    <row r="102" spans="1:21" x14ac:dyDescent="0.25">
      <c r="B102" s="69"/>
      <c r="C102" s="563" t="s">
        <v>60</v>
      </c>
      <c r="D102" s="563"/>
      <c r="E102" s="69"/>
      <c r="F102" s="39" t="s">
        <v>28</v>
      </c>
      <c r="G102" s="69"/>
      <c r="H102" s="69"/>
      <c r="I102" s="69"/>
      <c r="N102" s="45"/>
      <c r="O102" s="45"/>
      <c r="P102" s="45"/>
      <c r="Q102" s="45"/>
      <c r="R102" s="45"/>
      <c r="S102" s="45"/>
      <c r="T102" s="45"/>
      <c r="U102" s="45"/>
    </row>
    <row r="103" spans="1:21" x14ac:dyDescent="0.25">
      <c r="A103" s="3"/>
      <c r="B103" s="118"/>
      <c r="C103" s="564" t="s">
        <v>101</v>
      </c>
      <c r="D103" s="564"/>
      <c r="E103" s="423" t="s">
        <v>426</v>
      </c>
      <c r="F103" s="120" t="s">
        <v>106</v>
      </c>
      <c r="G103" s="121"/>
      <c r="H103" s="121"/>
      <c r="I103" s="121"/>
      <c r="N103" s="631" t="s">
        <v>35</v>
      </c>
      <c r="O103" s="631"/>
      <c r="P103" s="672" t="s">
        <v>428</v>
      </c>
      <c r="Q103" s="633"/>
      <c r="R103" s="604" t="s">
        <v>31</v>
      </c>
      <c r="S103" s="604"/>
      <c r="T103" s="604"/>
      <c r="U103" s="604"/>
    </row>
    <row r="104" spans="1:21" x14ac:dyDescent="0.25">
      <c r="A104" s="26"/>
      <c r="B104" s="52" t="s">
        <v>105</v>
      </c>
      <c r="C104" s="596">
        <f>H14+H15+H20+H23+H26</f>
        <v>0</v>
      </c>
      <c r="D104" s="596"/>
      <c r="E104" s="46">
        <f>H8</f>
        <v>1.0407999999999999</v>
      </c>
      <c r="F104" s="303">
        <f>'1461'!F104</f>
        <v>950.92</v>
      </c>
      <c r="G104" s="39" t="s">
        <v>12</v>
      </c>
      <c r="H104" s="101">
        <f>ROUND(C104*E104*F104,2)</f>
        <v>0</v>
      </c>
      <c r="I104" s="104"/>
      <c r="N104" s="28" t="s">
        <v>17</v>
      </c>
      <c r="O104" s="47">
        <f>T14+T15+T20+T23+T26</f>
        <v>0</v>
      </c>
      <c r="P104" s="611">
        <f>T8</f>
        <v>1.0407999999999999</v>
      </c>
      <c r="Q104" s="611"/>
      <c r="R104" s="48">
        <f>F104</f>
        <v>950.92</v>
      </c>
      <c r="S104" s="40" t="s">
        <v>12</v>
      </c>
      <c r="T104" s="479">
        <f>ROUND(O104*P104*R104,2)</f>
        <v>0</v>
      </c>
      <c r="U104" s="102"/>
    </row>
    <row r="105" spans="1:21" x14ac:dyDescent="0.25">
      <c r="A105" s="49"/>
      <c r="B105" s="49" t="s">
        <v>104</v>
      </c>
      <c r="C105" s="596">
        <f>H16+H17+H21+H24+H27</f>
        <v>512.59950000000003</v>
      </c>
      <c r="D105" s="596"/>
      <c r="E105" s="46">
        <f>H8</f>
        <v>1.0407999999999999</v>
      </c>
      <c r="F105" s="303">
        <f>'1461'!F105</f>
        <v>907.92</v>
      </c>
      <c r="G105" s="39" t="s">
        <v>12</v>
      </c>
      <c r="H105" s="101">
        <f>ROUND(C105*E105*F105,2)</f>
        <v>484387.63</v>
      </c>
      <c r="N105" s="50" t="s">
        <v>13</v>
      </c>
      <c r="O105" s="47">
        <f>T16+T17+T21+T24+T27</f>
        <v>0</v>
      </c>
      <c r="P105" s="611">
        <f>T8</f>
        <v>1.0407999999999999</v>
      </c>
      <c r="Q105" s="611"/>
      <c r="R105" s="48">
        <f>F105</f>
        <v>907.92</v>
      </c>
      <c r="S105" s="40" t="s">
        <v>12</v>
      </c>
      <c r="T105" s="479">
        <f>ROUND(O105*P105*R105,2)</f>
        <v>0</v>
      </c>
      <c r="U105" s="51"/>
    </row>
    <row r="106" spans="1:21" ht="16.5" thickBot="1" x14ac:dyDescent="0.3">
      <c r="A106" s="52"/>
      <c r="B106" s="52" t="s">
        <v>103</v>
      </c>
      <c r="C106" s="596">
        <f>H18+H19+H22+H25+H28+H29</f>
        <v>548.54129999999998</v>
      </c>
      <c r="D106" s="596"/>
      <c r="E106" s="46">
        <f>H8</f>
        <v>1.0407999999999999</v>
      </c>
      <c r="F106" s="303">
        <f>'1461'!F106</f>
        <v>910.12</v>
      </c>
      <c r="G106" s="39" t="s">
        <v>12</v>
      </c>
      <c r="H106" s="94">
        <f>ROUND(C106*E106*F106,2)</f>
        <v>519607.34</v>
      </c>
      <c r="N106" s="53" t="s">
        <v>14</v>
      </c>
      <c r="O106" s="54">
        <f>T18+T19+T22+T25+T28+T29</f>
        <v>0</v>
      </c>
      <c r="P106" s="611">
        <f>T8</f>
        <v>1.0407999999999999</v>
      </c>
      <c r="Q106" s="611"/>
      <c r="R106" s="48">
        <f>F106</f>
        <v>910.12</v>
      </c>
      <c r="S106" s="40" t="s">
        <v>12</v>
      </c>
      <c r="T106" s="479">
        <f>ROUND(O106*P106*R106,2)</f>
        <v>0</v>
      </c>
      <c r="U106" s="51"/>
    </row>
    <row r="107" spans="1:21" ht="16.5" thickBot="1" x14ac:dyDescent="0.3">
      <c r="A107" s="55"/>
      <c r="B107" s="122" t="s">
        <v>102</v>
      </c>
      <c r="C107" s="586">
        <f>SUM(C104:C106)</f>
        <v>1061.1408000000001</v>
      </c>
      <c r="D107" s="586"/>
      <c r="E107" s="123"/>
      <c r="F107" s="123"/>
      <c r="G107" s="123"/>
      <c r="H107" s="124" t="s">
        <v>100</v>
      </c>
      <c r="I107" s="101">
        <f>IF(A1=75,0,H106+H105+H104)</f>
        <v>1003994.97</v>
      </c>
      <c r="N107" s="56" t="s">
        <v>89</v>
      </c>
      <c r="O107" s="57">
        <f>SUM(O104:O106)</f>
        <v>0</v>
      </c>
      <c r="P107" s="612" t="s">
        <v>16</v>
      </c>
      <c r="Q107" s="613"/>
      <c r="R107" s="613"/>
      <c r="S107" s="613"/>
      <c r="T107" s="613"/>
      <c r="U107" s="473">
        <f>IF(N1=75,0,T106+T105+T104)</f>
        <v>0</v>
      </c>
    </row>
    <row r="108" spans="1:21" ht="16.5" thickTop="1" x14ac:dyDescent="0.25">
      <c r="A108" s="555" t="s">
        <v>65</v>
      </c>
      <c r="B108" s="555"/>
      <c r="C108" s="555"/>
      <c r="D108" s="555"/>
      <c r="E108" s="555"/>
      <c r="F108" s="555"/>
      <c r="G108" s="555"/>
      <c r="H108" s="555"/>
      <c r="I108" s="555"/>
      <c r="N108" s="614" t="s">
        <v>65</v>
      </c>
      <c r="O108" s="614"/>
      <c r="P108" s="614"/>
      <c r="Q108" s="614"/>
      <c r="R108" s="614"/>
      <c r="S108" s="614"/>
      <c r="T108" s="614"/>
      <c r="U108" s="614"/>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0" t="s">
        <v>499</v>
      </c>
      <c r="C110" s="43"/>
      <c r="D110" s="69"/>
      <c r="E110" s="43" t="s">
        <v>32</v>
      </c>
      <c r="F110" s="556"/>
      <c r="G110" s="556"/>
      <c r="H110" s="556"/>
      <c r="I110" s="556"/>
      <c r="N110" s="600" t="s">
        <v>499</v>
      </c>
      <c r="O110" s="601"/>
      <c r="P110" s="601"/>
      <c r="Q110" s="615"/>
      <c r="R110" s="615"/>
      <c r="S110" s="615"/>
      <c r="T110" s="615"/>
      <c r="U110" s="103"/>
    </row>
    <row r="111" spans="1:21" x14ac:dyDescent="0.25">
      <c r="B111" s="69"/>
      <c r="C111" s="88" t="s">
        <v>494</v>
      </c>
      <c r="D111" s="333" t="s">
        <v>495</v>
      </c>
      <c r="E111" s="89" t="s">
        <v>107</v>
      </c>
      <c r="F111" s="43"/>
      <c r="G111" s="43"/>
      <c r="H111" s="43"/>
      <c r="I111" s="43"/>
      <c r="N111" s="45"/>
      <c r="O111" s="45"/>
      <c r="P111" s="45"/>
      <c r="Q111" s="125"/>
      <c r="R111" s="125"/>
      <c r="S111" s="125"/>
      <c r="T111" s="125"/>
      <c r="U111" s="103"/>
    </row>
    <row r="112" spans="1:21" x14ac:dyDescent="0.25">
      <c r="B112" s="69"/>
      <c r="C112" s="326" t="s">
        <v>2</v>
      </c>
      <c r="D112" s="324" t="s">
        <v>2</v>
      </c>
      <c r="E112" s="324" t="s">
        <v>2</v>
      </c>
      <c r="F112" s="43"/>
      <c r="G112" s="43"/>
      <c r="H112" s="43"/>
      <c r="I112" s="43"/>
      <c r="N112" s="45"/>
      <c r="O112" s="45"/>
      <c r="P112" s="45"/>
      <c r="Q112" s="125"/>
      <c r="R112" s="125"/>
      <c r="S112" s="125"/>
      <c r="T112" s="125"/>
      <c r="U112" s="103"/>
    </row>
    <row r="113" spans="1:21" x14ac:dyDescent="0.25">
      <c r="A113" s="557" t="s">
        <v>381</v>
      </c>
      <c r="B113" s="558"/>
      <c r="C113" s="143">
        <v>7</v>
      </c>
      <c r="D113" s="143">
        <v>1</v>
      </c>
      <c r="E113" s="144">
        <f>(C113+D113)/2</f>
        <v>4</v>
      </c>
      <c r="F113" s="126" t="s">
        <v>30</v>
      </c>
      <c r="G113" s="304">
        <f>'1461'!G113</f>
        <v>576</v>
      </c>
      <c r="I113" s="101">
        <f>ROUND(G113*E113,2)</f>
        <v>2304</v>
      </c>
      <c r="N113" s="630" t="s">
        <v>52</v>
      </c>
      <c r="O113" s="630"/>
      <c r="P113" s="610">
        <f>IF(H133=1,E113,0)</f>
        <v>0</v>
      </c>
      <c r="Q113" s="610"/>
      <c r="R113" s="610"/>
      <c r="S113" s="83" t="s">
        <v>30</v>
      </c>
      <c r="T113" s="58">
        <f>G113</f>
        <v>576</v>
      </c>
      <c r="U113" s="473">
        <f>ROUND(T113*P113,2)</f>
        <v>0</v>
      </c>
    </row>
    <row r="114" spans="1:21" x14ac:dyDescent="0.25">
      <c r="A114" s="557" t="s">
        <v>382</v>
      </c>
      <c r="B114" s="558"/>
      <c r="C114" s="143">
        <v>0</v>
      </c>
      <c r="D114" s="143">
        <v>0</v>
      </c>
      <c r="E114" s="144">
        <f>C114</f>
        <v>0</v>
      </c>
      <c r="F114" s="126" t="s">
        <v>30</v>
      </c>
      <c r="G114" s="304">
        <f>'1461'!G114</f>
        <v>1823</v>
      </c>
      <c r="I114" s="101">
        <f>ROUND(G114*E114,2)</f>
        <v>0</v>
      </c>
      <c r="N114" s="630" t="s">
        <v>64</v>
      </c>
      <c r="O114" s="630"/>
      <c r="P114" s="608"/>
      <c r="Q114" s="608"/>
      <c r="R114" s="608"/>
      <c r="S114" s="83" t="s">
        <v>30</v>
      </c>
      <c r="T114" s="58">
        <f>G114</f>
        <v>1823</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4" t="s">
        <v>430</v>
      </c>
      <c r="B117" s="578"/>
      <c r="C117" s="578"/>
      <c r="D117" s="69"/>
      <c r="E117" s="39" t="s">
        <v>300</v>
      </c>
      <c r="F117" s="563"/>
      <c r="G117" s="563"/>
      <c r="H117" s="563"/>
      <c r="I117" s="563"/>
      <c r="N117" s="600" t="s">
        <v>431</v>
      </c>
      <c r="O117" s="601"/>
      <c r="P117" s="601"/>
      <c r="Q117" s="601"/>
      <c r="R117" s="601"/>
      <c r="S117" s="601"/>
      <c r="T117" s="601"/>
      <c r="U117" s="601"/>
    </row>
    <row r="118" spans="1:21" hidden="1" x14ac:dyDescent="0.25">
      <c r="B118" s="69"/>
      <c r="C118" s="564" t="s">
        <v>66</v>
      </c>
      <c r="D118" s="564"/>
      <c r="E118" s="564"/>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5" t="s">
        <v>109</v>
      </c>
      <c r="G119" s="563"/>
      <c r="H119" s="37" t="s">
        <v>29</v>
      </c>
      <c r="I119" s="37"/>
      <c r="N119" s="45"/>
      <c r="O119" s="45"/>
      <c r="P119" s="45"/>
      <c r="Q119" s="45"/>
      <c r="R119" s="45"/>
      <c r="S119" s="45"/>
      <c r="T119" s="45"/>
      <c r="U119" s="45"/>
    </row>
    <row r="120" spans="1:21" hidden="1" x14ac:dyDescent="0.25">
      <c r="A120" s="564" t="s">
        <v>69</v>
      </c>
      <c r="B120" s="564"/>
      <c r="C120" s="90" t="s">
        <v>2</v>
      </c>
      <c r="D120" s="90" t="s">
        <v>2</v>
      </c>
      <c r="E120" s="59" t="s">
        <v>2</v>
      </c>
      <c r="F120" s="564" t="s">
        <v>28</v>
      </c>
      <c r="G120" s="564"/>
      <c r="H120" s="59" t="s">
        <v>28</v>
      </c>
      <c r="I120" s="59" t="s">
        <v>8</v>
      </c>
      <c r="N120" s="609" t="s">
        <v>53</v>
      </c>
      <c r="O120" s="609"/>
      <c r="P120" s="610" t="s">
        <v>66</v>
      </c>
      <c r="Q120" s="610"/>
      <c r="R120" s="609" t="s">
        <v>54</v>
      </c>
      <c r="S120" s="609"/>
      <c r="T120" s="60" t="s">
        <v>55</v>
      </c>
      <c r="U120" s="60" t="s">
        <v>8</v>
      </c>
    </row>
    <row r="121" spans="1:21" hidden="1" x14ac:dyDescent="0.25">
      <c r="A121" s="561" t="s">
        <v>56</v>
      </c>
      <c r="B121" s="561"/>
      <c r="C121" s="141">
        <v>0</v>
      </c>
      <c r="D121" s="141">
        <v>0</v>
      </c>
      <c r="E121" s="142">
        <f>IF(D30=0,C121*2,C121+D121)</f>
        <v>0</v>
      </c>
      <c r="F121" s="675">
        <v>0</v>
      </c>
      <c r="G121" s="675"/>
      <c r="H121" s="61">
        <f>IF(C121=0,0,125)</f>
        <v>0</v>
      </c>
      <c r="I121" s="101">
        <f>ROUND((H121+F121)*E121,2)</f>
        <v>0</v>
      </c>
      <c r="N121" s="601" t="s">
        <v>56</v>
      </c>
      <c r="O121" s="601"/>
      <c r="P121" s="608">
        <f>IF(H$133=1,C121,0)</f>
        <v>0</v>
      </c>
      <c r="Q121" s="608"/>
      <c r="R121" s="628">
        <f>F121</f>
        <v>0</v>
      </c>
      <c r="S121" s="628"/>
      <c r="T121" s="62">
        <f>H121</f>
        <v>0</v>
      </c>
      <c r="U121" s="96">
        <f>ROUND((T121+R121)*P121,0)</f>
        <v>0</v>
      </c>
    </row>
    <row r="122" spans="1:21" hidden="1" x14ac:dyDescent="0.25">
      <c r="A122" s="581" t="s">
        <v>57</v>
      </c>
      <c r="B122" s="581"/>
      <c r="C122" s="143">
        <v>0</v>
      </c>
      <c r="D122" s="143">
        <v>0</v>
      </c>
      <c r="E122" s="144">
        <f>IF(D31=0,C122*2,C122+D122)</f>
        <v>0</v>
      </c>
      <c r="F122" s="598">
        <f>ROUND(F121/2,2)</f>
        <v>0</v>
      </c>
      <c r="G122" s="598"/>
      <c r="H122" s="61">
        <f>IF(C122=0,0,62.5)</f>
        <v>0</v>
      </c>
      <c r="I122" s="101">
        <f>ROUND((H122+F122)*E122,2)</f>
        <v>0</v>
      </c>
      <c r="N122" s="601" t="s">
        <v>57</v>
      </c>
      <c r="O122" s="601"/>
      <c r="P122" s="608">
        <f>IF(H$133=1,C122,0)</f>
        <v>0</v>
      </c>
      <c r="Q122" s="608"/>
      <c r="R122" s="629">
        <f>ROUND(R121/2,2)</f>
        <v>0</v>
      </c>
      <c r="S122" s="629"/>
      <c r="T122" s="62">
        <f>H122</f>
        <v>0</v>
      </c>
      <c r="U122" s="96">
        <f>ROUND((T122+R122)*P122,0)</f>
        <v>0</v>
      </c>
    </row>
    <row r="123" spans="1:21" ht="16.5" hidden="1" thickBot="1" x14ac:dyDescent="0.3">
      <c r="A123" s="581" t="s">
        <v>58</v>
      </c>
      <c r="B123" s="581"/>
      <c r="C123" s="143">
        <v>0</v>
      </c>
      <c r="D123" s="143">
        <v>0</v>
      </c>
      <c r="E123" s="144">
        <f>IF(D32=0,C123*2,C123+D123)</f>
        <v>0</v>
      </c>
      <c r="F123" s="599"/>
      <c r="G123" s="599"/>
      <c r="H123" s="63">
        <f>IF(H121&gt;0,436,0)</f>
        <v>0</v>
      </c>
      <c r="I123" s="101">
        <f>ROUND(H123*E123,2)</f>
        <v>0</v>
      </c>
      <c r="N123" s="616" t="s">
        <v>58</v>
      </c>
      <c r="O123" s="616"/>
      <c r="P123" s="608">
        <f>IF(H$133=1,C123,0)</f>
        <v>0</v>
      </c>
      <c r="Q123" s="608"/>
      <c r="R123" s="609"/>
      <c r="S123" s="609"/>
      <c r="T123" s="64">
        <f>H123</f>
        <v>0</v>
      </c>
      <c r="U123" s="103">
        <f>ROUND(T123*P123,0)</f>
        <v>0</v>
      </c>
    </row>
    <row r="124" spans="1:21" ht="16.5" hidden="1" thickBot="1" x14ac:dyDescent="0.3">
      <c r="A124" s="563" t="s">
        <v>8</v>
      </c>
      <c r="B124" s="563"/>
      <c r="C124" s="65"/>
      <c r="D124" s="65"/>
      <c r="E124" s="65"/>
      <c r="F124" s="65"/>
      <c r="G124" s="65"/>
      <c r="H124" s="65"/>
      <c r="I124" s="97">
        <f>SUM(I121:I123)</f>
        <v>0</v>
      </c>
      <c r="N124" s="627" t="s">
        <v>8</v>
      </c>
      <c r="O124" s="627"/>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4" t="s">
        <v>432</v>
      </c>
      <c r="B126" s="578"/>
      <c r="C126" s="578"/>
      <c r="D126" s="69"/>
      <c r="E126" s="68" t="s">
        <v>34</v>
      </c>
      <c r="F126" s="597"/>
      <c r="G126" s="597"/>
      <c r="H126" s="597"/>
      <c r="I126" s="154">
        <v>0</v>
      </c>
      <c r="N126" s="600" t="s">
        <v>432</v>
      </c>
      <c r="O126" s="601"/>
      <c r="P126" s="601"/>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90" t="s">
        <v>8</v>
      </c>
      <c r="B128" s="590"/>
      <c r="C128" s="590"/>
      <c r="D128" s="590"/>
      <c r="E128" s="590"/>
      <c r="F128" s="590"/>
      <c r="G128" s="590"/>
      <c r="H128" s="590"/>
      <c r="I128" s="94">
        <f>SUM(I46,I66,I85,I88,I90,I92,I94,I96,I107,I113,I114,I124,I126)</f>
        <v>8541519.6900000013</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434</v>
      </c>
      <c r="B130" s="26"/>
      <c r="C130" s="26"/>
      <c r="D130" s="26"/>
      <c r="E130" s="26"/>
      <c r="F130" s="26"/>
      <c r="G130" s="26"/>
      <c r="H130" s="26"/>
      <c r="I130" s="101">
        <f>I128-I53</f>
        <v>8192377.7300000014</v>
      </c>
      <c r="N130" s="601" t="s">
        <v>434</v>
      </c>
      <c r="O130" s="601"/>
      <c r="P130" s="601"/>
      <c r="Q130" s="601"/>
      <c r="R130" s="601"/>
      <c r="S130" s="601"/>
      <c r="T130" s="601"/>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4" t="s">
        <v>502</v>
      </c>
      <c r="B132" s="578"/>
      <c r="C132" s="578"/>
      <c r="D132" s="578"/>
      <c r="E132" s="578"/>
      <c r="F132" s="578"/>
      <c r="G132" s="578"/>
      <c r="H132" s="81" t="s">
        <v>333</v>
      </c>
      <c r="I132" s="134"/>
      <c r="N132" s="600" t="s">
        <v>502</v>
      </c>
      <c r="O132" s="601"/>
      <c r="P132" s="601"/>
      <c r="Q132" s="601"/>
      <c r="R132" s="601"/>
      <c r="S132" s="601"/>
      <c r="T132" s="601"/>
      <c r="U132" s="138"/>
    </row>
    <row r="133" spans="1:21" x14ac:dyDescent="0.25">
      <c r="A133" s="578" t="s">
        <v>70</v>
      </c>
      <c r="B133" s="578"/>
      <c r="C133" s="578"/>
      <c r="D133" s="578"/>
      <c r="E133" s="578"/>
      <c r="F133" s="578"/>
      <c r="G133" s="578"/>
      <c r="H133" s="70" t="str">
        <f>IF(E30=0,"",IF((E15+E17+SUM(E19:E25))/E30&gt;0.75,1,""))</f>
        <v/>
      </c>
      <c r="I133" s="116">
        <f>U130</f>
        <v>0</v>
      </c>
      <c r="N133" s="601" t="s">
        <v>70</v>
      </c>
      <c r="O133" s="601"/>
      <c r="P133" s="601"/>
      <c r="Q133" s="601"/>
      <c r="R133" s="601"/>
      <c r="S133" s="601"/>
      <c r="T133" s="601"/>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8192377.7300000014</v>
      </c>
      <c r="I135" s="94">
        <f>ROUND(IF(E30=0,0,IF(E30&gt;250,-(((250/E30)*H135)*IF(G135="H",0.02,0.05)),IF(G135="H",-0.02*H135,-0.05*H135))),2)</f>
        <v>-99061.4</v>
      </c>
      <c r="N135" s="626"/>
      <c r="O135" s="626"/>
      <c r="P135" s="626"/>
      <c r="Q135" s="626"/>
      <c r="R135" s="626"/>
      <c r="S135" s="626"/>
      <c r="T135" s="626"/>
      <c r="U135" s="626"/>
    </row>
    <row r="136" spans="1:21" x14ac:dyDescent="0.25">
      <c r="B136" s="69"/>
      <c r="C136" s="69"/>
      <c r="D136" s="69"/>
      <c r="E136" s="69"/>
      <c r="F136" s="69"/>
      <c r="G136" s="69"/>
      <c r="H136" s="65"/>
      <c r="I136" s="101"/>
      <c r="N136" s="624" t="s">
        <v>7</v>
      </c>
      <c r="O136" s="624"/>
      <c r="P136" s="624"/>
      <c r="Q136" s="624"/>
      <c r="R136" s="624"/>
      <c r="S136" s="624"/>
      <c r="T136" s="624"/>
      <c r="U136" s="624"/>
    </row>
    <row r="137" spans="1:21" x14ac:dyDescent="0.25">
      <c r="A137" s="309" t="s">
        <v>74</v>
      </c>
      <c r="B137" s="310"/>
      <c r="C137" s="310"/>
      <c r="D137" s="310"/>
      <c r="E137" s="310"/>
      <c r="F137" s="310"/>
      <c r="G137" s="310"/>
      <c r="H137" s="311"/>
      <c r="I137" s="312">
        <f>I128+I135</f>
        <v>8442458.290000001</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Payments'!Q112</f>
        <v>0</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8442458.290000001</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703538.19</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310557.49</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372</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373</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374</v>
      </c>
      <c r="B155" s="252"/>
      <c r="C155" s="252"/>
      <c r="D155" s="252"/>
      <c r="E155" s="252"/>
      <c r="F155" s="252"/>
      <c r="G155" s="252"/>
      <c r="H155" s="252"/>
      <c r="I155" s="252"/>
      <c r="N155" s="625"/>
      <c r="O155" s="625"/>
      <c r="P155" s="625"/>
      <c r="Q155" s="625"/>
      <c r="R155" s="625"/>
      <c r="S155" s="625"/>
      <c r="T155" s="625"/>
      <c r="U155" s="625"/>
    </row>
    <row r="156" spans="1:21" s="76" customFormat="1" x14ac:dyDescent="0.2">
      <c r="A156" s="320" t="s">
        <v>375</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376</v>
      </c>
      <c r="B157" s="252"/>
      <c r="C157" s="252"/>
      <c r="D157" s="252"/>
      <c r="E157" s="252"/>
      <c r="F157" s="252"/>
      <c r="G157" s="252"/>
      <c r="H157" s="252"/>
      <c r="I157" s="252"/>
      <c r="N157" s="78"/>
      <c r="O157" s="79"/>
      <c r="P157" s="79"/>
      <c r="Q157" s="79"/>
      <c r="R157" s="79"/>
      <c r="S157" s="79"/>
      <c r="T157" s="79"/>
      <c r="U157" s="79"/>
    </row>
    <row r="158" spans="1:21" s="76" customFormat="1" x14ac:dyDescent="0.2">
      <c r="A158" s="320" t="s">
        <v>377</v>
      </c>
      <c r="B158" s="252"/>
      <c r="C158" s="252"/>
      <c r="D158" s="252"/>
      <c r="E158" s="252"/>
      <c r="F158" s="252"/>
      <c r="G158" s="252"/>
      <c r="H158" s="252"/>
      <c r="I158" s="252"/>
      <c r="N158" s="78"/>
    </row>
    <row r="159" spans="1:21" s="76" customFormat="1" x14ac:dyDescent="0.2">
      <c r="A159" s="320" t="s">
        <v>379</v>
      </c>
      <c r="B159" s="252"/>
      <c r="C159" s="252"/>
      <c r="D159" s="252"/>
      <c r="E159" s="252"/>
      <c r="F159" s="252"/>
      <c r="G159" s="252"/>
      <c r="H159" s="252"/>
      <c r="I159" s="252"/>
      <c r="N159" s="78"/>
    </row>
    <row r="160" spans="1:21" s="76" customFormat="1" x14ac:dyDescent="0.2">
      <c r="A160" s="385" t="s">
        <v>378</v>
      </c>
      <c r="B160" s="252"/>
      <c r="C160" s="252"/>
      <c r="D160" s="252"/>
      <c r="E160" s="252"/>
      <c r="F160" s="252"/>
      <c r="G160" s="252"/>
      <c r="H160" s="252"/>
      <c r="I160" s="252"/>
      <c r="N160" s="78"/>
    </row>
    <row r="161" spans="1:14" s="76" customFormat="1" x14ac:dyDescent="0.2">
      <c r="A161" s="320" t="s">
        <v>380</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383</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385</v>
      </c>
      <c r="B165" s="293"/>
      <c r="C165" s="293"/>
      <c r="D165" s="293"/>
      <c r="E165" s="293"/>
      <c r="F165" s="293"/>
      <c r="G165" s="293"/>
      <c r="H165" s="293"/>
      <c r="I165" s="293"/>
      <c r="N165" s="78"/>
    </row>
    <row r="166" spans="1:14" s="76" customFormat="1" ht="15.75" customHeight="1" x14ac:dyDescent="0.2">
      <c r="A166" s="351" t="s">
        <v>384</v>
      </c>
      <c r="B166" s="293"/>
      <c r="C166" s="293"/>
      <c r="D166" s="293"/>
      <c r="E166" s="293"/>
      <c r="F166" s="293"/>
      <c r="G166" s="293"/>
      <c r="H166" s="293"/>
      <c r="I166" s="293"/>
      <c r="N166" s="78"/>
    </row>
    <row r="167" spans="1:14" s="76" customFormat="1" ht="15.75" customHeight="1" x14ac:dyDescent="0.2">
      <c r="A167" s="320" t="s">
        <v>386</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388</v>
      </c>
      <c r="B169" s="343"/>
      <c r="C169" s="343"/>
      <c r="D169" s="343"/>
      <c r="E169" s="343"/>
      <c r="F169" s="343"/>
      <c r="G169" s="343"/>
      <c r="H169" s="343"/>
      <c r="I169" s="343"/>
      <c r="N169" s="78"/>
    </row>
    <row r="170" spans="1:14" s="76" customFormat="1" ht="15.75" customHeight="1" x14ac:dyDescent="0.2">
      <c r="A170" s="351" t="s">
        <v>387</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389</v>
      </c>
      <c r="B175" s="293"/>
      <c r="C175" s="293"/>
      <c r="D175" s="293"/>
      <c r="E175" s="293"/>
      <c r="F175" s="293"/>
      <c r="G175" s="293"/>
      <c r="H175" s="293"/>
      <c r="I175" s="293"/>
      <c r="J175" s="3"/>
      <c r="K175" s="3"/>
      <c r="L175" s="3"/>
      <c r="M175" s="3"/>
      <c r="N175" s="78"/>
    </row>
    <row r="176" spans="1:14" s="76" customFormat="1" ht="15.75" customHeight="1" x14ac:dyDescent="0.2">
      <c r="A176" s="361" t="s">
        <v>390</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N130:T130"/>
    <mergeCell ref="A128:H128"/>
    <mergeCell ref="A132:G132"/>
    <mergeCell ref="N135:U135"/>
    <mergeCell ref="A133:G133"/>
    <mergeCell ref="N136:U136"/>
    <mergeCell ref="A123:B123"/>
    <mergeCell ref="F123:G123"/>
    <mergeCell ref="N123:O123"/>
    <mergeCell ref="P123:Q123"/>
    <mergeCell ref="R123:S123"/>
    <mergeCell ref="A124:B124"/>
    <mergeCell ref="N124:O124"/>
    <mergeCell ref="A126:C126"/>
    <mergeCell ref="F126:H126"/>
    <mergeCell ref="N126:P126"/>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T78:U78"/>
    <mergeCell ref="A96:C96"/>
    <mergeCell ref="N96:P96"/>
    <mergeCell ref="C102:D102"/>
    <mergeCell ref="C103:D103"/>
    <mergeCell ref="N103:O103"/>
    <mergeCell ref="P103:Q103"/>
    <mergeCell ref="N88:P88"/>
    <mergeCell ref="R103:U103"/>
    <mergeCell ref="T72:U72"/>
    <mergeCell ref="R66:T66"/>
    <mergeCell ref="A88:C88"/>
    <mergeCell ref="A94:C94"/>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tabColor rgb="FFFFCCCC"/>
  </sheetPr>
  <dimension ref="A1:V246"/>
  <sheetViews>
    <sheetView topLeftCell="A100" workbookViewId="0">
      <selection activeCell="I128" sqref="I128"/>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1" width="12.7109375" style="3" bestFit="1" customWidth="1"/>
    <col min="12"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6" t="s">
        <v>15</v>
      </c>
      <c r="C1" s="567"/>
      <c r="D1" s="567"/>
      <c r="E1" s="567"/>
      <c r="F1" s="567"/>
      <c r="G1" s="567"/>
      <c r="H1" s="567"/>
      <c r="I1" s="567"/>
      <c r="J1" s="135"/>
      <c r="K1" s="135"/>
      <c r="L1" s="135"/>
      <c r="N1" s="82">
        <f>A1</f>
        <v>0</v>
      </c>
      <c r="O1" s="658" t="s">
        <v>15</v>
      </c>
      <c r="P1" s="659"/>
      <c r="Q1" s="659"/>
      <c r="R1" s="659"/>
      <c r="S1" s="659"/>
      <c r="T1" s="659"/>
      <c r="U1" s="659"/>
    </row>
    <row r="2" spans="1:21" ht="21" x14ac:dyDescent="0.35">
      <c r="A2" s="1" t="s">
        <v>253</v>
      </c>
      <c r="B2" s="2"/>
      <c r="C2" s="2"/>
      <c r="D2" s="2"/>
      <c r="E2" s="2"/>
      <c r="F2" s="2"/>
      <c r="G2" s="2"/>
      <c r="H2" s="2"/>
      <c r="I2" s="2"/>
      <c r="N2" s="660" t="s">
        <v>18</v>
      </c>
      <c r="O2" s="660"/>
      <c r="P2" s="660"/>
      <c r="Q2" s="660"/>
      <c r="R2" s="660"/>
      <c r="S2" s="660"/>
      <c r="T2" s="660"/>
      <c r="U2" s="660"/>
    </row>
    <row r="3" spans="1:21" x14ac:dyDescent="0.25">
      <c r="A3" s="254" t="s">
        <v>514</v>
      </c>
      <c r="N3" s="627" t="str">
        <f>A3</f>
        <v>Based on the FLDOE 2024-25 Conference Calculation</v>
      </c>
      <c r="O3" s="627"/>
      <c r="P3" s="627"/>
      <c r="Q3" s="627"/>
      <c r="R3" s="627"/>
      <c r="S3" s="627"/>
      <c r="T3" s="627"/>
      <c r="U3" s="627"/>
    </row>
    <row r="4" spans="1:21" x14ac:dyDescent="0.25">
      <c r="A4" s="568" t="s">
        <v>0</v>
      </c>
      <c r="B4" s="568"/>
      <c r="C4" s="569" t="s">
        <v>9</v>
      </c>
      <c r="D4" s="569"/>
      <c r="E4" s="569"/>
      <c r="F4" s="315" t="s">
        <v>516</v>
      </c>
      <c r="G4" s="4"/>
      <c r="H4" s="4"/>
      <c r="I4" s="4"/>
      <c r="N4" s="661" t="s">
        <v>0</v>
      </c>
      <c r="O4" s="661"/>
      <c r="P4" s="662" t="str">
        <f>C4</f>
        <v>Palm Beach</v>
      </c>
      <c r="Q4" s="662"/>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70" t="s">
        <v>433</v>
      </c>
      <c r="B7" s="664"/>
      <c r="C7" s="664"/>
      <c r="D7" s="664"/>
      <c r="E7" s="664"/>
      <c r="F7" s="664"/>
      <c r="G7" s="664"/>
      <c r="H7" s="664"/>
      <c r="I7" s="664"/>
      <c r="N7" s="661" t="str">
        <f>A7</f>
        <v>1A.   2023-24 FEFP State and Local Funding</v>
      </c>
      <c r="O7" s="661"/>
      <c r="P7" s="661"/>
      <c r="Q7" s="661"/>
      <c r="R7" s="661"/>
      <c r="S7" s="661"/>
      <c r="T7" s="661"/>
      <c r="U7" s="661"/>
    </row>
    <row r="8" spans="1:21" x14ac:dyDescent="0.25">
      <c r="A8" s="84"/>
      <c r="B8" s="85" t="s">
        <v>92</v>
      </c>
      <c r="C8" s="299">
        <v>5330.98</v>
      </c>
      <c r="D8" s="86"/>
      <c r="E8" s="87"/>
      <c r="F8" s="84"/>
      <c r="G8" s="85" t="s">
        <v>393</v>
      </c>
      <c r="H8" s="287">
        <v>1.0407999999999999</v>
      </c>
      <c r="I8" s="75"/>
      <c r="N8" s="665" t="s">
        <v>10</v>
      </c>
      <c r="O8" s="665"/>
      <c r="P8" s="666">
        <f>C8</f>
        <v>5330.98</v>
      </c>
      <c r="Q8" s="666"/>
      <c r="R8" s="648" t="s">
        <v>394</v>
      </c>
      <c r="S8" s="649"/>
      <c r="T8" s="650">
        <f>H8</f>
        <v>1.0407999999999999</v>
      </c>
      <c r="U8" s="650"/>
    </row>
    <row r="9" spans="1:21" x14ac:dyDescent="0.25">
      <c r="A9" s="84"/>
      <c r="B9" s="85"/>
      <c r="C9" s="222"/>
      <c r="D9" s="86"/>
      <c r="E9" s="87"/>
      <c r="F9" s="84"/>
      <c r="G9" s="85" t="s">
        <v>391</v>
      </c>
      <c r="H9" s="287">
        <v>1</v>
      </c>
      <c r="I9" s="75"/>
      <c r="N9" s="12"/>
      <c r="O9" s="12"/>
      <c r="P9" s="13"/>
      <c r="Q9" s="13"/>
      <c r="R9" s="384" t="s">
        <v>392</v>
      </c>
      <c r="S9" s="384"/>
      <c r="T9" s="650">
        <f>H9</f>
        <v>1</v>
      </c>
      <c r="U9" s="650"/>
    </row>
    <row r="10" spans="1:21" x14ac:dyDescent="0.25">
      <c r="A10" s="7"/>
      <c r="B10" s="7" t="s">
        <v>310</v>
      </c>
      <c r="C10" s="8" t="s">
        <v>310</v>
      </c>
      <c r="D10" s="8" t="s">
        <v>310</v>
      </c>
      <c r="E10" s="8"/>
      <c r="F10" s="9"/>
      <c r="G10" s="9"/>
      <c r="H10" s="10"/>
      <c r="I10" s="325" t="s">
        <v>515</v>
      </c>
      <c r="N10" s="12"/>
      <c r="O10" s="12"/>
      <c r="P10" s="13"/>
      <c r="Q10" s="13"/>
      <c r="R10" s="14"/>
      <c r="S10" s="14"/>
      <c r="T10" s="15"/>
      <c r="U10" s="366" t="str">
        <f>I10</f>
        <v>2024-25</v>
      </c>
    </row>
    <row r="11" spans="1:21" x14ac:dyDescent="0.25">
      <c r="A11" s="7"/>
      <c r="B11" s="7"/>
      <c r="C11" s="88" t="s">
        <v>494</v>
      </c>
      <c r="D11" s="333" t="s">
        <v>495</v>
      </c>
      <c r="E11" s="89" t="s">
        <v>8</v>
      </c>
      <c r="F11" s="571" t="s">
        <v>1</v>
      </c>
      <c r="G11" s="571"/>
      <c r="H11" s="10" t="s">
        <v>60</v>
      </c>
      <c r="I11" s="11" t="s">
        <v>27</v>
      </c>
      <c r="N11" s="12"/>
      <c r="O11" s="12"/>
      <c r="P11" s="13"/>
      <c r="Q11" s="13"/>
      <c r="R11" s="651" t="s">
        <v>1</v>
      </c>
      <c r="S11" s="651"/>
      <c r="T11" s="15" t="s">
        <v>60</v>
      </c>
      <c r="U11" s="16" t="s">
        <v>27</v>
      </c>
    </row>
    <row r="12" spans="1:21" ht="15.75" customHeight="1" x14ac:dyDescent="0.25">
      <c r="A12" s="36" t="s">
        <v>1</v>
      </c>
      <c r="B12" s="36"/>
      <c r="C12" s="324" t="s">
        <v>2</v>
      </c>
      <c r="D12" s="324" t="s">
        <v>2</v>
      </c>
      <c r="E12" s="90" t="s">
        <v>2</v>
      </c>
      <c r="F12" s="573" t="s">
        <v>63</v>
      </c>
      <c r="G12" s="573"/>
      <c r="H12" s="17" t="s">
        <v>59</v>
      </c>
      <c r="I12" s="388" t="s">
        <v>395</v>
      </c>
      <c r="N12" s="639" t="s">
        <v>1</v>
      </c>
      <c r="O12" s="639"/>
      <c r="P12" s="652" t="s">
        <v>19</v>
      </c>
      <c r="Q12" s="652"/>
      <c r="R12" s="653" t="s">
        <v>63</v>
      </c>
      <c r="S12" s="653"/>
      <c r="T12" s="18" t="s">
        <v>59</v>
      </c>
      <c r="U12" s="19" t="str">
        <f>I12</f>
        <v>(WFTE x BSA x CWF x SDF)</v>
      </c>
    </row>
    <row r="13" spans="1:21" x14ac:dyDescent="0.25">
      <c r="A13" s="574" t="s">
        <v>36</v>
      </c>
      <c r="B13" s="574"/>
      <c r="C13" s="91"/>
      <c r="D13" s="91"/>
      <c r="E13" s="92" t="s">
        <v>37</v>
      </c>
      <c r="F13" s="575" t="s">
        <v>38</v>
      </c>
      <c r="G13" s="575"/>
      <c r="H13" s="20" t="s">
        <v>39</v>
      </c>
      <c r="I13" s="21" t="s">
        <v>40</v>
      </c>
      <c r="N13" s="654" t="s">
        <v>36</v>
      </c>
      <c r="O13" s="654"/>
      <c r="P13" s="655" t="s">
        <v>37</v>
      </c>
      <c r="Q13" s="655"/>
      <c r="R13" s="656" t="s">
        <v>38</v>
      </c>
      <c r="S13" s="656"/>
      <c r="T13" s="22" t="s">
        <v>39</v>
      </c>
      <c r="U13" s="23" t="s">
        <v>40</v>
      </c>
    </row>
    <row r="14" spans="1:21" x14ac:dyDescent="0.25">
      <c r="A14" s="576" t="s">
        <v>20</v>
      </c>
      <c r="B14" s="576"/>
      <c r="C14" s="143">
        <v>0</v>
      </c>
      <c r="D14" s="141">
        <v>0</v>
      </c>
      <c r="E14" s="187">
        <f>IF(D$30=0,C14*2,C14+D14)</f>
        <v>0</v>
      </c>
      <c r="F14" s="667">
        <v>1.1180000000000001</v>
      </c>
      <c r="G14" s="667"/>
      <c r="H14" s="145">
        <f>ROUND(E14*F14,4)</f>
        <v>0</v>
      </c>
      <c r="I14" s="111">
        <f>ROUND(ROUND(ROUND(H14*$C$8,4)*($H$8),2)*(MAX($H$9,1)),2)</f>
        <v>0</v>
      </c>
      <c r="N14" s="641" t="s">
        <v>20</v>
      </c>
      <c r="O14" s="641"/>
      <c r="P14" s="642">
        <f t="shared" ref="P14:P29" si="0">IF($H$133=1,E14,0)</f>
        <v>0</v>
      </c>
      <c r="Q14" s="642"/>
      <c r="R14" s="657">
        <v>1</v>
      </c>
      <c r="S14" s="657"/>
      <c r="T14" s="95">
        <f>ROUND(P14*R14,4)</f>
        <v>0</v>
      </c>
      <c r="U14" s="473">
        <f>ROUND(ROUND(ROUND(T14*$C$8,4)*($H$8),2)*(MAX($H$9,1)),2)</f>
        <v>0</v>
      </c>
    </row>
    <row r="15" spans="1:21" x14ac:dyDescent="0.25">
      <c r="A15" s="578" t="s">
        <v>21</v>
      </c>
      <c r="B15" s="578"/>
      <c r="C15" s="143">
        <v>0</v>
      </c>
      <c r="D15" s="143">
        <v>0</v>
      </c>
      <c r="E15" s="116">
        <f t="shared" ref="E15:E29" si="1">IF(D$30=0,C15*2,C15+D15)</f>
        <v>0</v>
      </c>
      <c r="F15" s="663">
        <v>1.1180000000000001</v>
      </c>
      <c r="G15" s="663"/>
      <c r="H15" s="80">
        <f t="shared" ref="H15:H29" si="2">ROUND(E15*F15,4)</f>
        <v>0</v>
      </c>
      <c r="I15" s="101">
        <f t="shared" ref="I15:I29" si="3">ROUND(ROUND(ROUND(H15*$C$8,4)*($H$8),2)*(MAX($H$9,1)),2)</f>
        <v>0</v>
      </c>
      <c r="J15" s="65" t="str">
        <f>IF(ROUND(E15,2)=ROUND(SUM(E57:E59),2)," ","CHECK PK-3 LINES BELOW")</f>
        <v xml:space="preserve"> </v>
      </c>
      <c r="N15" s="601" t="s">
        <v>21</v>
      </c>
      <c r="O15" s="601"/>
      <c r="P15" s="642">
        <f t="shared" si="0"/>
        <v>0</v>
      </c>
      <c r="Q15" s="642"/>
      <c r="R15" s="647">
        <v>1</v>
      </c>
      <c r="S15" s="647"/>
      <c r="T15" s="95">
        <f t="shared" ref="T15:T29" si="4">ROUND(P15*R15,4)</f>
        <v>0</v>
      </c>
      <c r="U15" s="473">
        <f t="shared" ref="U15:U29" si="5">ROUND(ROUND(ROUND(T15*$C$8,4)*($H$8),2)*(MAX($H$9,1)),2)</f>
        <v>0</v>
      </c>
    </row>
    <row r="16" spans="1:21" x14ac:dyDescent="0.25">
      <c r="A16" s="578" t="s">
        <v>22</v>
      </c>
      <c r="B16" s="578"/>
      <c r="C16" s="143">
        <v>0</v>
      </c>
      <c r="D16" s="143">
        <v>0</v>
      </c>
      <c r="E16" s="116">
        <f t="shared" si="1"/>
        <v>0</v>
      </c>
      <c r="F16" s="663">
        <v>1</v>
      </c>
      <c r="G16" s="663"/>
      <c r="H16" s="80">
        <f t="shared" si="2"/>
        <v>0</v>
      </c>
      <c r="I16" s="101">
        <f t="shared" si="3"/>
        <v>0</v>
      </c>
      <c r="N16" s="601" t="s">
        <v>22</v>
      </c>
      <c r="O16" s="601"/>
      <c r="P16" s="642">
        <f t="shared" si="0"/>
        <v>0</v>
      </c>
      <c r="Q16" s="642"/>
      <c r="R16" s="647">
        <v>1</v>
      </c>
      <c r="S16" s="647"/>
      <c r="T16" s="95">
        <f t="shared" si="4"/>
        <v>0</v>
      </c>
      <c r="U16" s="473">
        <f t="shared" si="5"/>
        <v>0</v>
      </c>
    </row>
    <row r="17" spans="1:21" x14ac:dyDescent="0.25">
      <c r="A17" s="578" t="s">
        <v>23</v>
      </c>
      <c r="B17" s="578"/>
      <c r="C17" s="143">
        <v>0</v>
      </c>
      <c r="D17" s="143">
        <v>0</v>
      </c>
      <c r="E17" s="116">
        <f t="shared" si="1"/>
        <v>0</v>
      </c>
      <c r="F17" s="663">
        <v>1</v>
      </c>
      <c r="G17" s="663"/>
      <c r="H17" s="80">
        <f t="shared" si="2"/>
        <v>0</v>
      </c>
      <c r="I17" s="101">
        <f t="shared" si="3"/>
        <v>0</v>
      </c>
      <c r="J17" s="65" t="str">
        <f>IF(ROUND(E17,2)=ROUND(SUM(E60:E62),2)," ","CHECK 4-8 LINES BELOW")</f>
        <v xml:space="preserve"> </v>
      </c>
      <c r="N17" s="601" t="s">
        <v>23</v>
      </c>
      <c r="O17" s="601"/>
      <c r="P17" s="642">
        <f t="shared" si="0"/>
        <v>0</v>
      </c>
      <c r="Q17" s="642"/>
      <c r="R17" s="647">
        <v>1</v>
      </c>
      <c r="S17" s="647"/>
      <c r="T17" s="95">
        <f t="shared" si="4"/>
        <v>0</v>
      </c>
      <c r="U17" s="473">
        <f t="shared" si="5"/>
        <v>0</v>
      </c>
    </row>
    <row r="18" spans="1:21" x14ac:dyDescent="0.25">
      <c r="A18" s="578" t="s">
        <v>24</v>
      </c>
      <c r="B18" s="578"/>
      <c r="C18" s="143">
        <v>271.22000000000003</v>
      </c>
      <c r="D18" s="143">
        <v>263.02999999999997</v>
      </c>
      <c r="E18" s="116">
        <f>IF(D$30=0,C18*2,C18+D18)</f>
        <v>534.25</v>
      </c>
      <c r="F18" s="663">
        <v>0.97799999999999998</v>
      </c>
      <c r="G18" s="663"/>
      <c r="H18" s="80">
        <f t="shared" si="2"/>
        <v>522.49649999999997</v>
      </c>
      <c r="I18" s="101">
        <f t="shared" si="3"/>
        <v>2899063.46</v>
      </c>
      <c r="N18" s="601" t="s">
        <v>24</v>
      </c>
      <c r="O18" s="601"/>
      <c r="P18" s="642">
        <f t="shared" si="0"/>
        <v>0</v>
      </c>
      <c r="Q18" s="642"/>
      <c r="R18" s="647">
        <v>1</v>
      </c>
      <c r="S18" s="647"/>
      <c r="T18" s="95">
        <f t="shared" si="4"/>
        <v>0</v>
      </c>
      <c r="U18" s="473">
        <f t="shared" si="5"/>
        <v>0</v>
      </c>
    </row>
    <row r="19" spans="1:21" x14ac:dyDescent="0.25">
      <c r="A19" s="578" t="s">
        <v>25</v>
      </c>
      <c r="B19" s="578"/>
      <c r="C19" s="143">
        <v>37.85</v>
      </c>
      <c r="D19" s="143">
        <v>36.86</v>
      </c>
      <c r="E19" s="116">
        <f t="shared" si="1"/>
        <v>74.710000000000008</v>
      </c>
      <c r="F19" s="663">
        <v>0.97799999999999998</v>
      </c>
      <c r="G19" s="663"/>
      <c r="H19" s="80">
        <f t="shared" si="2"/>
        <v>73.066400000000002</v>
      </c>
      <c r="I19" s="101">
        <f t="shared" si="3"/>
        <v>405407.75</v>
      </c>
      <c r="J19" s="65" t="str">
        <f>IF(ROUND(E19,2)=ROUND(SUM(E63:E65),2)," ","CHECK 4-8 LINES BELOW")</f>
        <v xml:space="preserve"> </v>
      </c>
      <c r="N19" s="601" t="s">
        <v>25</v>
      </c>
      <c r="O19" s="601"/>
      <c r="P19" s="642">
        <f t="shared" si="0"/>
        <v>0</v>
      </c>
      <c r="Q19" s="642"/>
      <c r="R19" s="647">
        <v>1</v>
      </c>
      <c r="S19" s="647"/>
      <c r="T19" s="95">
        <f t="shared" si="4"/>
        <v>0</v>
      </c>
      <c r="U19" s="472">
        <f t="shared" si="5"/>
        <v>0</v>
      </c>
    </row>
    <row r="20" spans="1:21" x14ac:dyDescent="0.25">
      <c r="A20" s="578" t="s">
        <v>79</v>
      </c>
      <c r="B20" s="578"/>
      <c r="C20" s="143"/>
      <c r="D20" s="143">
        <v>0</v>
      </c>
      <c r="E20" s="116">
        <f t="shared" si="1"/>
        <v>0</v>
      </c>
      <c r="F20" s="663">
        <v>3.6970000000000001</v>
      </c>
      <c r="G20" s="663"/>
      <c r="H20" s="80">
        <f t="shared" si="2"/>
        <v>0</v>
      </c>
      <c r="I20" s="101">
        <f t="shared" si="3"/>
        <v>0</v>
      </c>
      <c r="N20" s="601" t="s">
        <v>79</v>
      </c>
      <c r="O20" s="601"/>
      <c r="P20" s="642">
        <f t="shared" si="0"/>
        <v>0</v>
      </c>
      <c r="Q20" s="642"/>
      <c r="R20" s="647">
        <v>1</v>
      </c>
      <c r="S20" s="647"/>
      <c r="T20" s="95">
        <f t="shared" si="4"/>
        <v>0</v>
      </c>
      <c r="U20" s="473">
        <f t="shared" si="5"/>
        <v>0</v>
      </c>
    </row>
    <row r="21" spans="1:21" x14ac:dyDescent="0.25">
      <c r="A21" s="578" t="s">
        <v>80</v>
      </c>
      <c r="B21" s="578"/>
      <c r="C21" s="143"/>
      <c r="D21" s="143">
        <v>0</v>
      </c>
      <c r="E21" s="116">
        <f t="shared" si="1"/>
        <v>0</v>
      </c>
      <c r="F21" s="663">
        <v>3.6970000000000001</v>
      </c>
      <c r="G21" s="663"/>
      <c r="H21" s="80">
        <f t="shared" si="2"/>
        <v>0</v>
      </c>
      <c r="I21" s="101">
        <f t="shared" si="3"/>
        <v>0</v>
      </c>
      <c r="N21" s="601" t="s">
        <v>80</v>
      </c>
      <c r="O21" s="601"/>
      <c r="P21" s="642">
        <f t="shared" si="0"/>
        <v>0</v>
      </c>
      <c r="Q21" s="642"/>
      <c r="R21" s="647">
        <v>1</v>
      </c>
      <c r="S21" s="647"/>
      <c r="T21" s="95">
        <f t="shared" si="4"/>
        <v>0</v>
      </c>
      <c r="U21" s="473">
        <f t="shared" si="5"/>
        <v>0</v>
      </c>
    </row>
    <row r="22" spans="1:21" x14ac:dyDescent="0.25">
      <c r="A22" s="578" t="s">
        <v>81</v>
      </c>
      <c r="B22" s="578"/>
      <c r="C22" s="143"/>
      <c r="D22" s="143">
        <v>0</v>
      </c>
      <c r="E22" s="116">
        <f t="shared" si="1"/>
        <v>0</v>
      </c>
      <c r="F22" s="663">
        <v>3.6970000000000001</v>
      </c>
      <c r="G22" s="663"/>
      <c r="H22" s="80">
        <f t="shared" si="2"/>
        <v>0</v>
      </c>
      <c r="I22" s="101">
        <f t="shared" si="3"/>
        <v>0</v>
      </c>
      <c r="N22" s="601" t="s">
        <v>81</v>
      </c>
      <c r="O22" s="601"/>
      <c r="P22" s="642">
        <f t="shared" si="0"/>
        <v>0</v>
      </c>
      <c r="Q22" s="642"/>
      <c r="R22" s="647">
        <v>1</v>
      </c>
      <c r="S22" s="647"/>
      <c r="T22" s="95">
        <f t="shared" si="4"/>
        <v>0</v>
      </c>
      <c r="U22" s="473">
        <f t="shared" si="5"/>
        <v>0</v>
      </c>
    </row>
    <row r="23" spans="1:21" x14ac:dyDescent="0.25">
      <c r="A23" s="578" t="s">
        <v>82</v>
      </c>
      <c r="B23" s="578"/>
      <c r="C23" s="143"/>
      <c r="D23" s="143">
        <v>0</v>
      </c>
      <c r="E23" s="116">
        <f t="shared" si="1"/>
        <v>0</v>
      </c>
      <c r="F23" s="663">
        <v>5.992</v>
      </c>
      <c r="G23" s="663"/>
      <c r="H23" s="80">
        <f t="shared" si="2"/>
        <v>0</v>
      </c>
      <c r="I23" s="101">
        <f t="shared" si="3"/>
        <v>0</v>
      </c>
      <c r="N23" s="601" t="s">
        <v>82</v>
      </c>
      <c r="O23" s="601"/>
      <c r="P23" s="642">
        <f t="shared" si="0"/>
        <v>0</v>
      </c>
      <c r="Q23" s="642"/>
      <c r="R23" s="647">
        <v>1</v>
      </c>
      <c r="S23" s="647"/>
      <c r="T23" s="95">
        <f t="shared" si="4"/>
        <v>0</v>
      </c>
      <c r="U23" s="473">
        <f t="shared" si="5"/>
        <v>0</v>
      </c>
    </row>
    <row r="24" spans="1:21" x14ac:dyDescent="0.25">
      <c r="A24" s="578" t="s">
        <v>83</v>
      </c>
      <c r="B24" s="578"/>
      <c r="C24" s="143"/>
      <c r="D24" s="143">
        <v>0</v>
      </c>
      <c r="E24" s="116">
        <f t="shared" si="1"/>
        <v>0</v>
      </c>
      <c r="F24" s="663">
        <v>5.992</v>
      </c>
      <c r="G24" s="663"/>
      <c r="H24" s="80">
        <f t="shared" si="2"/>
        <v>0</v>
      </c>
      <c r="I24" s="101">
        <f t="shared" si="3"/>
        <v>0</v>
      </c>
      <c r="N24" s="601" t="s">
        <v>83</v>
      </c>
      <c r="O24" s="601"/>
      <c r="P24" s="642">
        <f t="shared" si="0"/>
        <v>0</v>
      </c>
      <c r="Q24" s="642"/>
      <c r="R24" s="647">
        <v>1</v>
      </c>
      <c r="S24" s="647"/>
      <c r="T24" s="95">
        <f t="shared" si="4"/>
        <v>0</v>
      </c>
      <c r="U24" s="473">
        <f t="shared" si="5"/>
        <v>0</v>
      </c>
    </row>
    <row r="25" spans="1:21" x14ac:dyDescent="0.25">
      <c r="A25" s="578" t="s">
        <v>84</v>
      </c>
      <c r="B25" s="578"/>
      <c r="C25" s="143"/>
      <c r="D25" s="143">
        <v>0</v>
      </c>
      <c r="E25" s="116">
        <f t="shared" si="1"/>
        <v>0</v>
      </c>
      <c r="F25" s="663">
        <v>5.992</v>
      </c>
      <c r="G25" s="663"/>
      <c r="H25" s="80">
        <f t="shared" si="2"/>
        <v>0</v>
      </c>
      <c r="I25" s="101">
        <f t="shared" si="3"/>
        <v>0</v>
      </c>
      <c r="N25" s="601" t="s">
        <v>84</v>
      </c>
      <c r="O25" s="601"/>
      <c r="P25" s="642">
        <f t="shared" si="0"/>
        <v>0</v>
      </c>
      <c r="Q25" s="642"/>
      <c r="R25" s="647">
        <v>1</v>
      </c>
      <c r="S25" s="647"/>
      <c r="T25" s="95">
        <f t="shared" si="4"/>
        <v>0</v>
      </c>
      <c r="U25" s="473">
        <f t="shared" si="5"/>
        <v>0</v>
      </c>
    </row>
    <row r="26" spans="1:21" x14ac:dyDescent="0.25">
      <c r="A26" s="578" t="s">
        <v>85</v>
      </c>
      <c r="B26" s="578"/>
      <c r="C26" s="143">
        <v>0</v>
      </c>
      <c r="D26" s="143">
        <v>0</v>
      </c>
      <c r="E26" s="116">
        <f t="shared" si="1"/>
        <v>0</v>
      </c>
      <c r="F26" s="663">
        <v>1.1919999999999999</v>
      </c>
      <c r="G26" s="663"/>
      <c r="H26" s="80">
        <f t="shared" si="2"/>
        <v>0</v>
      </c>
      <c r="I26" s="101">
        <f t="shared" si="3"/>
        <v>0</v>
      </c>
      <c r="L26" s="251"/>
      <c r="N26" s="601" t="s">
        <v>85</v>
      </c>
      <c r="O26" s="601"/>
      <c r="P26" s="642">
        <f t="shared" si="0"/>
        <v>0</v>
      </c>
      <c r="Q26" s="642"/>
      <c r="R26" s="647">
        <v>1</v>
      </c>
      <c r="S26" s="647"/>
      <c r="T26" s="95">
        <f t="shared" si="4"/>
        <v>0</v>
      </c>
      <c r="U26" s="473">
        <f t="shared" si="5"/>
        <v>0</v>
      </c>
    </row>
    <row r="27" spans="1:21" x14ac:dyDescent="0.25">
      <c r="A27" s="578" t="s">
        <v>86</v>
      </c>
      <c r="B27" s="578"/>
      <c r="C27" s="143">
        <v>0</v>
      </c>
      <c r="D27" s="143">
        <v>0</v>
      </c>
      <c r="E27" s="116">
        <f t="shared" si="1"/>
        <v>0</v>
      </c>
      <c r="F27" s="663">
        <v>1.1919999999999999</v>
      </c>
      <c r="G27" s="663"/>
      <c r="H27" s="80">
        <f t="shared" si="2"/>
        <v>0</v>
      </c>
      <c r="I27" s="101">
        <f t="shared" si="3"/>
        <v>0</v>
      </c>
      <c r="L27" s="251"/>
      <c r="N27" s="601" t="s">
        <v>86</v>
      </c>
      <c r="O27" s="601"/>
      <c r="P27" s="642">
        <f t="shared" si="0"/>
        <v>0</v>
      </c>
      <c r="Q27" s="642"/>
      <c r="R27" s="647">
        <v>1</v>
      </c>
      <c r="S27" s="647"/>
      <c r="T27" s="95">
        <f t="shared" si="4"/>
        <v>0</v>
      </c>
      <c r="U27" s="473">
        <f t="shared" si="5"/>
        <v>0</v>
      </c>
    </row>
    <row r="28" spans="1:21" x14ac:dyDescent="0.25">
      <c r="A28" s="578" t="s">
        <v>87</v>
      </c>
      <c r="B28" s="578"/>
      <c r="C28" s="143">
        <v>2.9</v>
      </c>
      <c r="D28" s="143">
        <v>2.4700000000000002</v>
      </c>
      <c r="E28" s="116">
        <f t="shared" si="1"/>
        <v>5.37</v>
      </c>
      <c r="F28" s="663">
        <v>1.1919999999999999</v>
      </c>
      <c r="G28" s="663"/>
      <c r="H28" s="80">
        <f t="shared" si="2"/>
        <v>6.4009999999999998</v>
      </c>
      <c r="I28" s="101">
        <f t="shared" si="3"/>
        <v>35515.85</v>
      </c>
      <c r="N28" s="601" t="s">
        <v>87</v>
      </c>
      <c r="O28" s="601"/>
      <c r="P28" s="642">
        <f t="shared" si="0"/>
        <v>0</v>
      </c>
      <c r="Q28" s="642"/>
      <c r="R28" s="647">
        <v>1</v>
      </c>
      <c r="S28" s="647"/>
      <c r="T28" s="95">
        <f t="shared" si="4"/>
        <v>0</v>
      </c>
      <c r="U28" s="473">
        <f t="shared" si="5"/>
        <v>0</v>
      </c>
    </row>
    <row r="29" spans="1:21" x14ac:dyDescent="0.25">
      <c r="A29" s="578" t="s">
        <v>88</v>
      </c>
      <c r="B29" s="578"/>
      <c r="C29" s="110">
        <v>85.51</v>
      </c>
      <c r="D29" s="110">
        <v>82.93</v>
      </c>
      <c r="E29" s="154">
        <f t="shared" si="1"/>
        <v>168.44</v>
      </c>
      <c r="F29" s="663">
        <v>1.079</v>
      </c>
      <c r="G29" s="663"/>
      <c r="H29" s="93">
        <f t="shared" si="2"/>
        <v>181.74680000000001</v>
      </c>
      <c r="I29" s="94">
        <f t="shared" si="3"/>
        <v>1008419.21</v>
      </c>
      <c r="N29" s="616" t="s">
        <v>88</v>
      </c>
      <c r="O29" s="616"/>
      <c r="P29" s="642">
        <f t="shared" si="0"/>
        <v>0</v>
      </c>
      <c r="Q29" s="642"/>
      <c r="R29" s="643">
        <v>1</v>
      </c>
      <c r="S29" s="643"/>
      <c r="T29" s="95">
        <f t="shared" si="4"/>
        <v>0</v>
      </c>
      <c r="U29" s="473">
        <f t="shared" si="5"/>
        <v>0</v>
      </c>
    </row>
    <row r="30" spans="1:21" x14ac:dyDescent="0.25">
      <c r="A30" s="590" t="s">
        <v>5</v>
      </c>
      <c r="B30" s="590"/>
      <c r="C30" s="94">
        <f>SUM(C14:C29)</f>
        <v>397.48</v>
      </c>
      <c r="D30" s="94">
        <f>SUM(D14:D29)</f>
        <v>385.29</v>
      </c>
      <c r="E30" s="94">
        <f>SUM(E14:E29)</f>
        <v>782.77</v>
      </c>
      <c r="F30" s="582"/>
      <c r="G30" s="582"/>
      <c r="H30" s="99">
        <f>SUM(H14:H29)</f>
        <v>783.71069999999997</v>
      </c>
      <c r="I30" s="94">
        <f>SUM(I14:I29)</f>
        <v>4348406.2699999996</v>
      </c>
      <c r="N30" s="644" t="s">
        <v>5</v>
      </c>
      <c r="O30" s="644"/>
      <c r="P30" s="645">
        <f>SUM(P14:P29)</f>
        <v>0</v>
      </c>
      <c r="Q30" s="645"/>
      <c r="R30" s="617"/>
      <c r="S30" s="617"/>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282" t="s">
        <v>252</v>
      </c>
      <c r="B32" s="26"/>
      <c r="C32" s="101"/>
      <c r="D32" s="101"/>
      <c r="E32" s="101"/>
      <c r="F32" s="27"/>
      <c r="G32" s="27"/>
      <c r="H32" s="80"/>
      <c r="I32" s="101"/>
      <c r="N32" s="28"/>
      <c r="O32" s="28"/>
      <c r="P32" s="29"/>
      <c r="Q32" s="29"/>
      <c r="R32" s="30"/>
      <c r="S32" s="30"/>
      <c r="T32" s="102"/>
      <c r="U32" s="103"/>
    </row>
    <row r="33" spans="1:21" hidden="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68" t="s">
        <v>233</v>
      </c>
      <c r="G34" s="668"/>
      <c r="H34" s="668"/>
      <c r="I34" s="101"/>
      <c r="N34" s="28"/>
      <c r="O34" s="28"/>
      <c r="P34" s="29"/>
      <c r="Q34" s="29"/>
      <c r="R34" s="30"/>
      <c r="S34" s="30"/>
      <c r="T34" s="102"/>
      <c r="U34" s="103"/>
    </row>
    <row r="35" spans="1:21" ht="15.6" hidden="1" customHeight="1" x14ac:dyDescent="0.25">
      <c r="A35" s="3"/>
      <c r="B35" s="69"/>
      <c r="C35" s="69"/>
      <c r="D35" s="69"/>
      <c r="E35" s="69"/>
      <c r="F35" s="668"/>
      <c r="G35" s="668"/>
      <c r="H35" s="668"/>
      <c r="I35" s="24" t="str">
        <f>I10</f>
        <v>2024-25</v>
      </c>
      <c r="N35" s="627" t="s">
        <v>26</v>
      </c>
      <c r="O35" s="627"/>
      <c r="P35" s="627"/>
      <c r="Q35" s="627"/>
      <c r="R35" s="627"/>
      <c r="S35" s="627"/>
      <c r="T35" s="627"/>
      <c r="U35" s="25" t="str">
        <f>I35</f>
        <v>2024-25</v>
      </c>
    </row>
    <row r="36" spans="1:21" hidden="1" x14ac:dyDescent="0.25">
      <c r="A36" s="26"/>
      <c r="B36" s="26"/>
      <c r="C36" s="88" t="s">
        <v>316</v>
      </c>
      <c r="D36" s="88"/>
      <c r="E36" s="89" t="s">
        <v>8</v>
      </c>
      <c r="F36" s="668"/>
      <c r="G36" s="668"/>
      <c r="H36" s="668"/>
      <c r="I36" s="24" t="s">
        <v>27</v>
      </c>
      <c r="N36" s="28"/>
      <c r="O36" s="28"/>
      <c r="P36" s="29"/>
      <c r="Q36" s="29"/>
      <c r="R36" s="30"/>
      <c r="S36" s="30"/>
      <c r="T36" s="102"/>
      <c r="U36" s="25" t="s">
        <v>27</v>
      </c>
    </row>
    <row r="37" spans="1:21" ht="26.25" hidden="1" x14ac:dyDescent="0.25">
      <c r="A37" s="572" t="s">
        <v>50</v>
      </c>
      <c r="B37" s="572"/>
      <c r="C37" s="324" t="s">
        <v>2</v>
      </c>
      <c r="D37" s="324"/>
      <c r="E37" s="90" t="s">
        <v>2</v>
      </c>
      <c r="F37" s="669"/>
      <c r="G37" s="669"/>
      <c r="H37" s="669"/>
      <c r="I37" s="31" t="s">
        <v>395</v>
      </c>
      <c r="N37" s="639" t="s">
        <v>50</v>
      </c>
      <c r="O37" s="639"/>
      <c r="P37" s="640" t="s">
        <v>19</v>
      </c>
      <c r="Q37" s="640"/>
      <c r="R37" s="640"/>
      <c r="S37" s="640"/>
      <c r="T37" s="640"/>
      <c r="U37" s="19" t="str">
        <f>I37</f>
        <v>(WFTE x BSA x CWF x SDF)</v>
      </c>
    </row>
    <row r="38" spans="1:21" hidden="1" x14ac:dyDescent="0.25">
      <c r="A38" s="576" t="s">
        <v>45</v>
      </c>
      <c r="B38" s="576"/>
      <c r="C38" s="147">
        <v>0</v>
      </c>
      <c r="D38" s="147">
        <v>0</v>
      </c>
      <c r="E38" s="187">
        <f t="shared" ref="E38:E43" si="6">IF(D$44=0,C38*2,C38+D38)</f>
        <v>0</v>
      </c>
      <c r="F38" s="148"/>
      <c r="G38" s="148"/>
      <c r="H38" s="148"/>
      <c r="I38" s="111">
        <f>ROUND(ROUND(ROUND(E38*$C$8,4)*($H$8),2)*(MAX($H$9,1)),2)</f>
        <v>0</v>
      </c>
      <c r="N38" s="641" t="s">
        <v>45</v>
      </c>
      <c r="O38" s="641"/>
      <c r="P38" s="608">
        <f t="shared" ref="P38:P43" si="7">IF($H$133=1,E38,0)</f>
        <v>0</v>
      </c>
      <c r="Q38" s="608"/>
      <c r="R38" s="608"/>
      <c r="S38" s="608"/>
      <c r="T38" s="608"/>
      <c r="U38" s="98">
        <f>ROUND(ROUND(ROUND(P38*$C$8,4)*($H$8),2)*(MAX($H$9,1)),2)</f>
        <v>0</v>
      </c>
    </row>
    <row r="39" spans="1:21" hidden="1" x14ac:dyDescent="0.25">
      <c r="A39" s="578" t="s">
        <v>46</v>
      </c>
      <c r="B39" s="578"/>
      <c r="C39" s="150">
        <v>0</v>
      </c>
      <c r="D39" s="150">
        <v>0</v>
      </c>
      <c r="E39" s="116">
        <f t="shared" si="6"/>
        <v>0</v>
      </c>
      <c r="F39" s="151"/>
      <c r="G39" s="151"/>
      <c r="H39" s="151"/>
      <c r="I39" s="101">
        <f t="shared" ref="I39:I43" si="8">ROUND(ROUND(ROUND(E39*$C$8,4)*($H$8),2)*(MAX($H$9,1)),2)</f>
        <v>0</v>
      </c>
      <c r="N39" s="601" t="s">
        <v>46</v>
      </c>
      <c r="O39" s="601"/>
      <c r="P39" s="608">
        <f t="shared" si="7"/>
        <v>0</v>
      </c>
      <c r="Q39" s="608"/>
      <c r="R39" s="608"/>
      <c r="S39" s="608"/>
      <c r="T39" s="608"/>
      <c r="U39" s="98">
        <f t="shared" ref="U39:U43" si="9">ROUND(ROUND(ROUND(P39*$C$8,4)*($H$8),2)*(MAX($H$9,1)),2)</f>
        <v>0</v>
      </c>
    </row>
    <row r="40" spans="1:21" hidden="1" x14ac:dyDescent="0.25">
      <c r="A40" s="583" t="s">
        <v>47</v>
      </c>
      <c r="B40" s="583"/>
      <c r="C40" s="150">
        <v>0</v>
      </c>
      <c r="D40" s="150">
        <v>0</v>
      </c>
      <c r="E40" s="116">
        <f t="shared" si="6"/>
        <v>0</v>
      </c>
      <c r="F40" s="151"/>
      <c r="G40" s="151"/>
      <c r="H40" s="151"/>
      <c r="I40" s="101">
        <f t="shared" si="8"/>
        <v>0</v>
      </c>
      <c r="N40" s="646" t="s">
        <v>47</v>
      </c>
      <c r="O40" s="646"/>
      <c r="P40" s="608">
        <f t="shared" si="7"/>
        <v>0</v>
      </c>
      <c r="Q40" s="608"/>
      <c r="R40" s="608"/>
      <c r="S40" s="608"/>
      <c r="T40" s="608"/>
      <c r="U40" s="98">
        <f t="shared" si="9"/>
        <v>0</v>
      </c>
    </row>
    <row r="41" spans="1:21" hidden="1" x14ac:dyDescent="0.25">
      <c r="A41" s="578" t="s">
        <v>48</v>
      </c>
      <c r="B41" s="578"/>
      <c r="C41" s="150">
        <v>0</v>
      </c>
      <c r="D41" s="150">
        <v>0</v>
      </c>
      <c r="E41" s="116">
        <f t="shared" si="6"/>
        <v>0</v>
      </c>
      <c r="F41" s="151"/>
      <c r="G41" s="151"/>
      <c r="H41" s="151"/>
      <c r="I41" s="101">
        <f t="shared" si="8"/>
        <v>0</v>
      </c>
      <c r="N41" s="601" t="s">
        <v>48</v>
      </c>
      <c r="O41" s="601"/>
      <c r="P41" s="608">
        <f t="shared" si="7"/>
        <v>0</v>
      </c>
      <c r="Q41" s="608"/>
      <c r="R41" s="608"/>
      <c r="S41" s="608"/>
      <c r="T41" s="608"/>
      <c r="U41" s="98">
        <f t="shared" si="9"/>
        <v>0</v>
      </c>
    </row>
    <row r="42" spans="1:21" hidden="1" x14ac:dyDescent="0.25">
      <c r="A42" s="578" t="s">
        <v>49</v>
      </c>
      <c r="B42" s="578"/>
      <c r="C42" s="150">
        <v>0</v>
      </c>
      <c r="D42" s="150">
        <v>0</v>
      </c>
      <c r="E42" s="116">
        <f t="shared" si="6"/>
        <v>0</v>
      </c>
      <c r="F42" s="151"/>
      <c r="G42" s="151"/>
      <c r="H42" s="151"/>
      <c r="I42" s="101">
        <f t="shared" si="8"/>
        <v>0</v>
      </c>
      <c r="N42" s="601" t="s">
        <v>49</v>
      </c>
      <c r="O42" s="601"/>
      <c r="P42" s="608">
        <f t="shared" si="7"/>
        <v>0</v>
      </c>
      <c r="Q42" s="608"/>
      <c r="R42" s="608"/>
      <c r="S42" s="608"/>
      <c r="T42" s="608"/>
      <c r="U42" s="98">
        <f t="shared" si="9"/>
        <v>0</v>
      </c>
    </row>
    <row r="43" spans="1:21" hidden="1" x14ac:dyDescent="0.25">
      <c r="A43" s="578" t="s">
        <v>41</v>
      </c>
      <c r="B43" s="578"/>
      <c r="C43" s="149">
        <v>0</v>
      </c>
      <c r="D43" s="149">
        <v>0</v>
      </c>
      <c r="E43" s="154">
        <f t="shared" si="6"/>
        <v>0</v>
      </c>
      <c r="F43" s="151"/>
      <c r="G43" s="151"/>
      <c r="H43" s="151"/>
      <c r="I43" s="94">
        <f t="shared" si="8"/>
        <v>0</v>
      </c>
      <c r="N43" s="616" t="s">
        <v>41</v>
      </c>
      <c r="O43" s="616"/>
      <c r="P43" s="608">
        <f t="shared" si="7"/>
        <v>0</v>
      </c>
      <c r="Q43" s="608"/>
      <c r="R43" s="608"/>
      <c r="S43" s="608"/>
      <c r="T43" s="60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3" t="s">
        <v>43</v>
      </c>
      <c r="O44" s="603"/>
      <c r="P44" s="603"/>
      <c r="Q44" s="603"/>
      <c r="R44" s="33">
        <f>SUM(P38:R43)</f>
        <v>0</v>
      </c>
      <c r="S44" s="617" t="s">
        <v>51</v>
      </c>
      <c r="T44" s="617"/>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783.71069999999997</v>
      </c>
      <c r="F46" s="34"/>
      <c r="G46" s="106"/>
      <c r="H46" s="107" t="s">
        <v>98</v>
      </c>
      <c r="I46" s="94">
        <f>SUM(I44,I30)</f>
        <v>4348406.2699999996</v>
      </c>
      <c r="N46" s="603" t="s">
        <v>44</v>
      </c>
      <c r="O46" s="603"/>
      <c r="P46" s="603"/>
      <c r="Q46" s="603"/>
      <c r="R46" s="35">
        <f>R44+T30</f>
        <v>0</v>
      </c>
      <c r="S46" s="617" t="s">
        <v>42</v>
      </c>
      <c r="T46" s="617"/>
      <c r="U46" s="108">
        <f>SUM(U44,U30)</f>
        <v>0</v>
      </c>
    </row>
    <row r="47" spans="1:21" x14ac:dyDescent="0.25">
      <c r="A47" s="26"/>
      <c r="B47" s="26"/>
      <c r="C47" s="26"/>
      <c r="D47" s="26"/>
      <c r="E47" s="26"/>
      <c r="F47" s="34"/>
      <c r="G47" s="27"/>
      <c r="H47" s="27"/>
      <c r="I47" s="101"/>
      <c r="N47" s="28"/>
      <c r="O47" s="28"/>
      <c r="P47" s="28"/>
      <c r="Q47" s="28"/>
      <c r="R47" s="35"/>
      <c r="S47" s="30"/>
      <c r="T47" s="30"/>
      <c r="U47" s="103"/>
    </row>
    <row r="48" spans="1:21" x14ac:dyDescent="0.25">
      <c r="A48" s="81" t="s">
        <v>396</v>
      </c>
      <c r="B48" s="26"/>
      <c r="C48" s="26"/>
      <c r="D48" s="26"/>
      <c r="E48" s="26"/>
      <c r="F48" s="34"/>
      <c r="G48" s="27"/>
      <c r="H48" s="27"/>
      <c r="I48" s="101"/>
      <c r="N48" s="383" t="s">
        <v>396</v>
      </c>
      <c r="O48" s="28"/>
      <c r="P48" s="28"/>
      <c r="Q48" s="28"/>
      <c r="R48" s="35"/>
      <c r="S48" s="30"/>
      <c r="T48" s="30"/>
      <c r="U48" s="402"/>
    </row>
    <row r="49" spans="1:22" s="391" customFormat="1" ht="9" customHeight="1" x14ac:dyDescent="0.2">
      <c r="A49" s="481" t="s">
        <v>397</v>
      </c>
      <c r="F49" s="392"/>
      <c r="G49" s="393"/>
      <c r="H49" s="393"/>
      <c r="I49" s="394"/>
      <c r="N49" s="403" t="s">
        <v>397</v>
      </c>
      <c r="O49" s="395"/>
      <c r="P49" s="395"/>
      <c r="Q49" s="395"/>
      <c r="R49" s="396"/>
      <c r="S49" s="397"/>
      <c r="T49" s="397"/>
      <c r="U49" s="404"/>
    </row>
    <row r="50" spans="1:22" s="391" customFormat="1" ht="11.25" customHeight="1" x14ac:dyDescent="0.2">
      <c r="A50" s="482" t="s">
        <v>398</v>
      </c>
      <c r="F50" s="392"/>
      <c r="G50" s="393"/>
      <c r="H50" s="393"/>
      <c r="I50" s="394"/>
      <c r="N50" s="412" t="s">
        <v>398</v>
      </c>
      <c r="O50" s="395"/>
      <c r="P50" s="395"/>
      <c r="Q50" s="395"/>
      <c r="R50" s="396"/>
      <c r="S50" s="397"/>
      <c r="T50" s="397"/>
      <c r="U50" s="404"/>
    </row>
    <row r="51" spans="1:22" x14ac:dyDescent="0.25">
      <c r="A51" s="389"/>
      <c r="B51" s="3" t="s">
        <v>399</v>
      </c>
      <c r="C51" s="26"/>
      <c r="D51" s="26"/>
      <c r="E51" s="43" t="s">
        <v>400</v>
      </c>
      <c r="F51" s="400">
        <f>I46</f>
        <v>4348406.2699999996</v>
      </c>
      <c r="G51" s="109" t="s">
        <v>6</v>
      </c>
      <c r="H51" s="401">
        <v>5.5899999999999998E-2</v>
      </c>
      <c r="I51" s="101">
        <f>ROUND(F51*H51,2)</f>
        <v>243075.91</v>
      </c>
      <c r="N51" s="406"/>
      <c r="O51" s="51" t="s">
        <v>399</v>
      </c>
      <c r="P51" s="28"/>
      <c r="Q51" s="44" t="s">
        <v>400</v>
      </c>
      <c r="R51" s="408">
        <f>U30</f>
        <v>0</v>
      </c>
      <c r="S51" s="409" t="s">
        <v>6</v>
      </c>
      <c r="T51" s="410">
        <v>5.5899999999999998E-2</v>
      </c>
      <c r="U51" s="402">
        <f>ROUND(R51*T51,2)</f>
        <v>0</v>
      </c>
    </row>
    <row r="52" spans="1:22" x14ac:dyDescent="0.25">
      <c r="A52" s="26"/>
      <c r="B52" s="81" t="s">
        <v>401</v>
      </c>
      <c r="C52" s="26"/>
      <c r="D52" s="26"/>
      <c r="E52" s="43" t="s">
        <v>400</v>
      </c>
      <c r="F52" s="400">
        <f>I46</f>
        <v>4348406.2699999996</v>
      </c>
      <c r="G52" s="109" t="s">
        <v>6</v>
      </c>
      <c r="H52" s="401">
        <v>1.0699999999999999E-2</v>
      </c>
      <c r="I52" s="101">
        <f>ROUND(F52*H52,2)</f>
        <v>46527.95</v>
      </c>
      <c r="N52" s="28"/>
      <c r="O52" s="383" t="s">
        <v>401</v>
      </c>
      <c r="P52" s="28"/>
      <c r="Q52" s="44" t="s">
        <v>400</v>
      </c>
      <c r="R52" s="408">
        <f>U30</f>
        <v>0</v>
      </c>
      <c r="S52" s="409" t="s">
        <v>6</v>
      </c>
      <c r="T52" s="410">
        <v>1.0699999999999999E-2</v>
      </c>
      <c r="U52" s="411">
        <f>ROUND(R52*T52,2)</f>
        <v>0</v>
      </c>
    </row>
    <row r="53" spans="1:22" x14ac:dyDescent="0.25">
      <c r="A53" s="26"/>
      <c r="B53" s="81" t="s">
        <v>402</v>
      </c>
      <c r="C53" s="26"/>
      <c r="D53" s="26"/>
      <c r="E53" s="43"/>
      <c r="F53" s="400"/>
      <c r="G53" s="109"/>
      <c r="H53" s="401"/>
      <c r="I53" s="97">
        <f>SUM(I51:I52)</f>
        <v>289603.86</v>
      </c>
      <c r="N53" s="28"/>
      <c r="O53" s="383" t="s">
        <v>402</v>
      </c>
      <c r="P53" s="28"/>
      <c r="Q53" s="44"/>
      <c r="R53" s="408"/>
      <c r="S53" s="409"/>
      <c r="T53" s="410"/>
      <c r="U53" s="402">
        <f>SUM(U51:U52)</f>
        <v>0</v>
      </c>
    </row>
    <row r="54" spans="1:22" x14ac:dyDescent="0.25">
      <c r="A54" s="242"/>
      <c r="C54" s="444" t="s">
        <v>446</v>
      </c>
      <c r="D54" s="444" t="s">
        <v>446</v>
      </c>
      <c r="G54" s="42"/>
      <c r="H54" s="114"/>
      <c r="I54" s="114"/>
      <c r="N54" s="461"/>
      <c r="O54" s="51"/>
      <c r="P54" s="40" t="s">
        <v>446</v>
      </c>
      <c r="Q54" s="40" t="s">
        <v>446</v>
      </c>
      <c r="R54" s="51"/>
      <c r="S54" s="51"/>
      <c r="T54" s="462"/>
      <c r="U54" s="463"/>
      <c r="V54" s="114"/>
    </row>
    <row r="55" spans="1:22" x14ac:dyDescent="0.25">
      <c r="A55" s="445"/>
      <c r="B55" s="445"/>
      <c r="C55" s="88" t="s">
        <v>494</v>
      </c>
      <c r="D55" s="333" t="s">
        <v>495</v>
      </c>
      <c r="E55" s="89" t="s">
        <v>8</v>
      </c>
      <c r="F55" s="46" t="s">
        <v>440</v>
      </c>
      <c r="G55" s="109" t="s">
        <v>441</v>
      </c>
      <c r="H55" s="454" t="s">
        <v>442</v>
      </c>
      <c r="I55" s="101"/>
      <c r="N55" s="448"/>
      <c r="O55" s="448"/>
      <c r="P55" s="464"/>
      <c r="Q55" s="465"/>
      <c r="R55" s="466"/>
      <c r="S55" s="468" t="s">
        <v>441</v>
      </c>
      <c r="T55" s="469" t="s">
        <v>442</v>
      </c>
      <c r="U55" s="467"/>
      <c r="V55" s="424"/>
    </row>
    <row r="56" spans="1:22" x14ac:dyDescent="0.25">
      <c r="A56" s="36" t="s">
        <v>443</v>
      </c>
      <c r="B56" s="36"/>
      <c r="C56" s="324" t="s">
        <v>2</v>
      </c>
      <c r="D56" s="324" t="s">
        <v>2</v>
      </c>
      <c r="E56" s="90" t="s">
        <v>2</v>
      </c>
      <c r="F56" s="439" t="s">
        <v>444</v>
      </c>
      <c r="G56" s="441" t="s">
        <v>444</v>
      </c>
      <c r="H56" s="455" t="s">
        <v>445</v>
      </c>
      <c r="I56" s="36"/>
      <c r="N56" s="459" t="s">
        <v>443</v>
      </c>
      <c r="O56" s="459"/>
      <c r="P56" s="620" t="s">
        <v>2</v>
      </c>
      <c r="Q56" s="620"/>
      <c r="R56" s="459" t="s">
        <v>449</v>
      </c>
      <c r="S56" s="450" t="s">
        <v>444</v>
      </c>
      <c r="T56" s="470" t="s">
        <v>445</v>
      </c>
      <c r="U56" s="459"/>
      <c r="V56" s="458"/>
    </row>
    <row r="57" spans="1:22" x14ac:dyDescent="0.25">
      <c r="A57" s="588" t="s">
        <v>447</v>
      </c>
      <c r="B57" s="588"/>
      <c r="C57" s="143">
        <v>0</v>
      </c>
      <c r="D57" s="143">
        <v>0</v>
      </c>
      <c r="E57" s="116">
        <f t="shared" ref="E57:E62" si="10">IF(D$72=0,C57*2,C57+D57)</f>
        <v>0</v>
      </c>
      <c r="F57" s="443" t="s">
        <v>439</v>
      </c>
      <c r="G57" s="443">
        <v>251</v>
      </c>
      <c r="H57" s="457">
        <v>1047</v>
      </c>
      <c r="I57" s="101">
        <f>ROUND(E57*H57,2)</f>
        <v>0</v>
      </c>
      <c r="N57" s="618" t="s">
        <v>447</v>
      </c>
      <c r="O57" s="618"/>
      <c r="P57" s="621"/>
      <c r="Q57" s="621"/>
      <c r="R57" s="449" t="s">
        <v>439</v>
      </c>
      <c r="S57" s="449">
        <v>251</v>
      </c>
      <c r="T57" s="460">
        <f>H57</f>
        <v>1047</v>
      </c>
      <c r="U57" s="474">
        <f>ROUND(P57*T57,2)</f>
        <v>0</v>
      </c>
      <c r="V57" s="424"/>
    </row>
    <row r="58" spans="1:22" x14ac:dyDescent="0.25">
      <c r="A58" s="589"/>
      <c r="B58" s="589"/>
      <c r="C58" s="143">
        <v>0</v>
      </c>
      <c r="D58" s="143">
        <v>0</v>
      </c>
      <c r="E58" s="116">
        <f t="shared" si="10"/>
        <v>0</v>
      </c>
      <c r="F58" s="443" t="s">
        <v>439</v>
      </c>
      <c r="G58" s="443">
        <v>252</v>
      </c>
      <c r="H58" s="457">
        <v>3380</v>
      </c>
      <c r="I58" s="101">
        <f t="shared" ref="I58:I65" si="11">ROUND(E58*H58,2)</f>
        <v>0</v>
      </c>
      <c r="N58" s="619"/>
      <c r="O58" s="619"/>
      <c r="P58" s="622"/>
      <c r="Q58" s="622"/>
      <c r="R58" s="449" t="s">
        <v>439</v>
      </c>
      <c r="S58" s="449">
        <v>252</v>
      </c>
      <c r="T58" s="460">
        <f t="shared" ref="T58:T65" si="12">H58</f>
        <v>3380</v>
      </c>
      <c r="U58" s="474">
        <f t="shared" ref="U58:U65" si="13">ROUND(P58*T58,2)</f>
        <v>0</v>
      </c>
      <c r="V58" s="424"/>
    </row>
    <row r="59" spans="1:22" x14ac:dyDescent="0.25">
      <c r="A59" s="589"/>
      <c r="B59" s="589"/>
      <c r="C59" s="143">
        <v>0</v>
      </c>
      <c r="D59" s="143">
        <v>0</v>
      </c>
      <c r="E59" s="116">
        <f t="shared" si="10"/>
        <v>0</v>
      </c>
      <c r="F59" s="443" t="s">
        <v>439</v>
      </c>
      <c r="G59" s="443">
        <v>253</v>
      </c>
      <c r="H59" s="457">
        <v>6896</v>
      </c>
      <c r="I59" s="101">
        <f t="shared" si="11"/>
        <v>0</v>
      </c>
      <c r="N59" s="619"/>
      <c r="O59" s="619"/>
      <c r="P59" s="622"/>
      <c r="Q59" s="622"/>
      <c r="R59" s="449" t="s">
        <v>439</v>
      </c>
      <c r="S59" s="449">
        <v>253</v>
      </c>
      <c r="T59" s="460">
        <f t="shared" si="12"/>
        <v>6896</v>
      </c>
      <c r="U59" s="474">
        <f t="shared" si="13"/>
        <v>0</v>
      </c>
      <c r="V59" s="424"/>
    </row>
    <row r="60" spans="1:22" x14ac:dyDescent="0.25">
      <c r="A60" s="589"/>
      <c r="B60" s="589"/>
      <c r="C60" s="143">
        <v>0</v>
      </c>
      <c r="D60" s="143">
        <v>0</v>
      </c>
      <c r="E60" s="116">
        <f t="shared" si="10"/>
        <v>0</v>
      </c>
      <c r="F60" s="444" t="s">
        <v>13</v>
      </c>
      <c r="G60" s="443">
        <v>251</v>
      </c>
      <c r="H60" s="457">
        <v>1173</v>
      </c>
      <c r="I60" s="101">
        <f t="shared" si="11"/>
        <v>0</v>
      </c>
      <c r="N60" s="619"/>
      <c r="O60" s="619"/>
      <c r="P60" s="622"/>
      <c r="Q60" s="622"/>
      <c r="R60" s="40" t="s">
        <v>13</v>
      </c>
      <c r="S60" s="449">
        <v>251</v>
      </c>
      <c r="T60" s="460">
        <f t="shared" si="12"/>
        <v>1173</v>
      </c>
      <c r="U60" s="474">
        <f t="shared" si="13"/>
        <v>0</v>
      </c>
      <c r="V60" s="424"/>
    </row>
    <row r="61" spans="1:22" x14ac:dyDescent="0.25">
      <c r="A61" s="589"/>
      <c r="B61" s="589"/>
      <c r="C61" s="143">
        <v>0</v>
      </c>
      <c r="D61" s="143">
        <v>0</v>
      </c>
      <c r="E61" s="116">
        <f t="shared" si="10"/>
        <v>0</v>
      </c>
      <c r="F61" s="444" t="s">
        <v>13</v>
      </c>
      <c r="G61" s="443">
        <v>252</v>
      </c>
      <c r="H61" s="457">
        <v>3506</v>
      </c>
      <c r="I61" s="101">
        <f t="shared" si="11"/>
        <v>0</v>
      </c>
      <c r="N61" s="619"/>
      <c r="O61" s="619"/>
      <c r="P61" s="622"/>
      <c r="Q61" s="622"/>
      <c r="R61" s="40" t="s">
        <v>13</v>
      </c>
      <c r="S61" s="449">
        <v>252</v>
      </c>
      <c r="T61" s="460">
        <f t="shared" si="12"/>
        <v>3506</v>
      </c>
      <c r="U61" s="474">
        <f t="shared" si="13"/>
        <v>0</v>
      </c>
      <c r="V61" s="424"/>
    </row>
    <row r="62" spans="1:22" x14ac:dyDescent="0.25">
      <c r="A62" s="589"/>
      <c r="B62" s="589"/>
      <c r="C62" s="143">
        <v>0</v>
      </c>
      <c r="D62" s="143">
        <v>0</v>
      </c>
      <c r="E62" s="116">
        <f t="shared" si="10"/>
        <v>0</v>
      </c>
      <c r="F62" s="444" t="s">
        <v>13</v>
      </c>
      <c r="G62" s="443">
        <v>253</v>
      </c>
      <c r="H62" s="457">
        <v>7023</v>
      </c>
      <c r="I62" s="101">
        <f t="shared" si="11"/>
        <v>0</v>
      </c>
      <c r="N62" s="619"/>
      <c r="O62" s="619"/>
      <c r="P62" s="622"/>
      <c r="Q62" s="622"/>
      <c r="R62" s="40" t="s">
        <v>13</v>
      </c>
      <c r="S62" s="449">
        <v>253</v>
      </c>
      <c r="T62" s="460">
        <f t="shared" si="12"/>
        <v>7023</v>
      </c>
      <c r="U62" s="474">
        <f t="shared" si="13"/>
        <v>0</v>
      </c>
      <c r="V62" s="424"/>
    </row>
    <row r="63" spans="1:22" x14ac:dyDescent="0.25">
      <c r="A63" s="589"/>
      <c r="B63" s="589"/>
      <c r="C63" s="143">
        <v>34.94</v>
      </c>
      <c r="D63" s="143">
        <v>35.36</v>
      </c>
      <c r="E63" s="116">
        <f>IF(D$66=0,C63*2,C63+D63)</f>
        <v>70.3</v>
      </c>
      <c r="F63" s="444" t="s">
        <v>14</v>
      </c>
      <c r="G63" s="443">
        <v>251</v>
      </c>
      <c r="H63" s="457">
        <v>835</v>
      </c>
      <c r="I63" s="101">
        <f t="shared" si="11"/>
        <v>58700.5</v>
      </c>
      <c r="N63" s="619"/>
      <c r="O63" s="619"/>
      <c r="P63" s="622"/>
      <c r="Q63" s="622"/>
      <c r="R63" s="40" t="s">
        <v>14</v>
      </c>
      <c r="S63" s="449">
        <v>251</v>
      </c>
      <c r="T63" s="460">
        <f t="shared" si="12"/>
        <v>835</v>
      </c>
      <c r="U63" s="474">
        <f t="shared" si="13"/>
        <v>0</v>
      </c>
      <c r="V63" s="424"/>
    </row>
    <row r="64" spans="1:22" x14ac:dyDescent="0.25">
      <c r="A64" s="589"/>
      <c r="B64" s="589"/>
      <c r="C64" s="143">
        <v>2.41</v>
      </c>
      <c r="D64" s="143">
        <v>1.5</v>
      </c>
      <c r="E64" s="116">
        <f>IF(D$66=0,C64*2,C64+D64)</f>
        <v>3.91</v>
      </c>
      <c r="F64" s="444" t="s">
        <v>14</v>
      </c>
      <c r="G64" s="443">
        <v>252</v>
      </c>
      <c r="H64" s="457">
        <v>3168</v>
      </c>
      <c r="I64" s="101">
        <f t="shared" si="11"/>
        <v>12386.88</v>
      </c>
      <c r="N64" s="619"/>
      <c r="O64" s="619"/>
      <c r="P64" s="622"/>
      <c r="Q64" s="622"/>
      <c r="R64" s="40" t="s">
        <v>14</v>
      </c>
      <c r="S64" s="449">
        <v>252</v>
      </c>
      <c r="T64" s="460">
        <f t="shared" si="12"/>
        <v>3168</v>
      </c>
      <c r="U64" s="474">
        <f t="shared" si="13"/>
        <v>0</v>
      </c>
      <c r="V64" s="424"/>
    </row>
    <row r="65" spans="1:22" ht="16.5" thickBot="1" x14ac:dyDescent="0.3">
      <c r="A65" s="589"/>
      <c r="B65" s="589"/>
      <c r="C65" s="143">
        <v>0.5</v>
      </c>
      <c r="D65" s="143">
        <v>0</v>
      </c>
      <c r="E65" s="116">
        <f>IF(D$66=0,C65*2,C65+D65)</f>
        <v>0.5</v>
      </c>
      <c r="F65" s="444" t="s">
        <v>14</v>
      </c>
      <c r="G65" s="443">
        <v>253</v>
      </c>
      <c r="H65" s="457">
        <v>6685</v>
      </c>
      <c r="I65" s="101">
        <f t="shared" si="11"/>
        <v>3342.5</v>
      </c>
      <c r="N65" s="619"/>
      <c r="O65" s="619"/>
      <c r="P65" s="623"/>
      <c r="Q65" s="623"/>
      <c r="R65" s="40" t="s">
        <v>14</v>
      </c>
      <c r="S65" s="449">
        <v>253</v>
      </c>
      <c r="T65" s="460">
        <f t="shared" si="12"/>
        <v>6685</v>
      </c>
      <c r="U65" s="475">
        <f t="shared" si="13"/>
        <v>0</v>
      </c>
      <c r="V65" s="424"/>
    </row>
    <row r="66" spans="1:22" ht="16.5" thickBot="1" x14ac:dyDescent="0.3">
      <c r="A66" s="242"/>
      <c r="C66" s="97">
        <f>SUM(C57:C65)</f>
        <v>37.849999999999994</v>
      </c>
      <c r="D66" s="97">
        <f>SUM(D57:D65)</f>
        <v>36.86</v>
      </c>
      <c r="E66" s="97">
        <f>SUM(E57:E65)</f>
        <v>74.709999999999994</v>
      </c>
      <c r="F66" s="590" t="s">
        <v>448</v>
      </c>
      <c r="G66" s="590"/>
      <c r="H66" s="590"/>
      <c r="I66" s="97">
        <f>SUM(I57:I65)</f>
        <v>74429.88</v>
      </c>
      <c r="N66" s="461"/>
      <c r="O66" s="51"/>
      <c r="P66" s="602">
        <f>SUM(P57:P65)</f>
        <v>0</v>
      </c>
      <c r="Q66" s="602"/>
      <c r="R66" s="603" t="s">
        <v>448</v>
      </c>
      <c r="S66" s="603"/>
      <c r="T66" s="603"/>
      <c r="U66" s="476">
        <f>SUM(U57:U65)</f>
        <v>0</v>
      </c>
      <c r="V66" s="424"/>
    </row>
    <row r="67" spans="1:22" x14ac:dyDescent="0.25">
      <c r="A67" s="242"/>
      <c r="C67" s="101"/>
      <c r="D67" s="101"/>
      <c r="E67" s="101"/>
      <c r="F67" s="445"/>
      <c r="G67" s="445"/>
      <c r="H67" s="445"/>
      <c r="I67" s="101"/>
      <c r="N67" s="446"/>
      <c r="O67" s="446"/>
      <c r="P67" s="446"/>
      <c r="Q67" s="446"/>
      <c r="R67" s="446"/>
      <c r="S67" s="446"/>
      <c r="T67" s="447"/>
      <c r="U67" s="447"/>
    </row>
    <row r="68" spans="1:22" x14ac:dyDescent="0.25">
      <c r="A68" s="442" t="s">
        <v>450</v>
      </c>
      <c r="N68" s="453" t="s">
        <v>458</v>
      </c>
      <c r="O68" s="51"/>
      <c r="P68" s="51"/>
      <c r="Q68" s="51"/>
      <c r="R68" s="51"/>
      <c r="S68" s="51"/>
      <c r="T68" s="51"/>
      <c r="U68" s="51"/>
    </row>
    <row r="69" spans="1:22" x14ac:dyDescent="0.25">
      <c r="A69" s="584" t="s">
        <v>403</v>
      </c>
      <c r="B69" s="578"/>
      <c r="C69" s="112">
        <f>E30</f>
        <v>782.77</v>
      </c>
      <c r="D69" s="565" t="s">
        <v>414</v>
      </c>
      <c r="E69" s="565"/>
      <c r="F69" s="565"/>
      <c r="G69" s="565"/>
      <c r="H69" s="288">
        <v>210228.91</v>
      </c>
      <c r="I69" s="113"/>
      <c r="N69" s="600" t="s">
        <v>407</v>
      </c>
      <c r="O69" s="601"/>
      <c r="P69" s="41">
        <f>P30</f>
        <v>0</v>
      </c>
      <c r="Q69" s="606" t="s">
        <v>409</v>
      </c>
      <c r="R69" s="607"/>
      <c r="S69" s="607"/>
      <c r="T69" s="604">
        <f>H69</f>
        <v>210228.91</v>
      </c>
      <c r="U69" s="604"/>
    </row>
    <row r="70" spans="1:22" x14ac:dyDescent="0.25">
      <c r="B70" s="69"/>
      <c r="G70" s="42" t="s">
        <v>12</v>
      </c>
      <c r="H70" s="114">
        <f>ROUND(C69/H69,6)</f>
        <v>3.7230000000000002E-3</v>
      </c>
      <c r="I70" s="115"/>
      <c r="N70" s="601"/>
      <c r="O70" s="601"/>
      <c r="P70" s="601"/>
      <c r="Q70" s="601"/>
      <c r="R70" s="601"/>
      <c r="S70" s="601"/>
      <c r="T70" s="605">
        <f>ROUND(P69/T69,6)</f>
        <v>0</v>
      </c>
      <c r="U70" s="605"/>
    </row>
    <row r="71" spans="1:22" x14ac:dyDescent="0.25">
      <c r="A71" s="442" t="s">
        <v>451</v>
      </c>
      <c r="N71" s="453" t="s">
        <v>459</v>
      </c>
      <c r="O71" s="51"/>
      <c r="P71" s="51"/>
      <c r="Q71" s="51"/>
      <c r="R71" s="51"/>
      <c r="S71" s="51"/>
      <c r="T71" s="51"/>
      <c r="U71" s="51"/>
    </row>
    <row r="72" spans="1:22" x14ac:dyDescent="0.25">
      <c r="A72" s="584" t="s">
        <v>404</v>
      </c>
      <c r="B72" s="578"/>
      <c r="C72" s="112">
        <f>H30</f>
        <v>783.71069999999997</v>
      </c>
      <c r="D72" s="565" t="s">
        <v>415</v>
      </c>
      <c r="E72" s="565"/>
      <c r="F72" s="565"/>
      <c r="G72" s="565"/>
      <c r="H72" s="289">
        <v>234891.44</v>
      </c>
      <c r="I72" s="116"/>
      <c r="N72" s="600" t="s">
        <v>408</v>
      </c>
      <c r="O72" s="601"/>
      <c r="P72" s="41">
        <f>T30</f>
        <v>0</v>
      </c>
      <c r="Q72" s="606" t="s">
        <v>410</v>
      </c>
      <c r="R72" s="607"/>
      <c r="S72" s="607"/>
      <c r="T72" s="604">
        <f>H72</f>
        <v>234891.44</v>
      </c>
      <c r="U72" s="604"/>
    </row>
    <row r="73" spans="1:22" x14ac:dyDescent="0.25">
      <c r="G73" s="42" t="s">
        <v>12</v>
      </c>
      <c r="H73" s="114">
        <f>ROUND(C72/H72,6)</f>
        <v>3.336E-3</v>
      </c>
      <c r="I73" s="114"/>
      <c r="N73" s="601"/>
      <c r="O73" s="601"/>
      <c r="P73" s="601"/>
      <c r="Q73" s="601"/>
      <c r="R73" s="601"/>
      <c r="S73" s="601"/>
      <c r="T73" s="605">
        <f>ROUND(P72/T72,6)</f>
        <v>0</v>
      </c>
      <c r="U73" s="605"/>
    </row>
    <row r="74" spans="1:22" x14ac:dyDescent="0.25">
      <c r="A74" s="417" t="s">
        <v>452</v>
      </c>
      <c r="B74" s="414"/>
      <c r="C74" s="414"/>
      <c r="D74" s="414"/>
      <c r="E74" s="414"/>
      <c r="F74" s="414"/>
      <c r="G74" s="414"/>
      <c r="H74" s="414"/>
      <c r="I74" s="414"/>
      <c r="N74" s="416" t="s">
        <v>460</v>
      </c>
      <c r="O74" s="415"/>
      <c r="P74" s="415"/>
      <c r="Q74" s="415"/>
      <c r="R74" s="415"/>
      <c r="S74" s="415"/>
      <c r="T74" s="415"/>
      <c r="U74" s="415"/>
      <c r="V74" s="414"/>
    </row>
    <row r="75" spans="1:22" x14ac:dyDescent="0.25">
      <c r="A75" s="584" t="s">
        <v>405</v>
      </c>
      <c r="B75" s="578"/>
      <c r="C75" s="112">
        <f>E30</f>
        <v>782.77</v>
      </c>
      <c r="D75" s="557" t="s">
        <v>416</v>
      </c>
      <c r="E75" s="557"/>
      <c r="F75" s="557"/>
      <c r="G75" s="557"/>
      <c r="H75" s="288">
        <v>187665.41</v>
      </c>
      <c r="I75" s="113"/>
      <c r="N75" s="600" t="s">
        <v>406</v>
      </c>
      <c r="O75" s="601"/>
      <c r="P75" s="41">
        <f>P30</f>
        <v>0</v>
      </c>
      <c r="Q75" s="636" t="s">
        <v>411</v>
      </c>
      <c r="R75" s="637"/>
      <c r="S75" s="637"/>
      <c r="T75" s="604">
        <f>H75</f>
        <v>187665.41</v>
      </c>
      <c r="U75" s="604"/>
    </row>
    <row r="76" spans="1:22" x14ac:dyDescent="0.25">
      <c r="B76" s="69"/>
      <c r="G76" s="42" t="s">
        <v>12</v>
      </c>
      <c r="H76" s="114">
        <f>ROUND(C75/H75,6)</f>
        <v>4.1710000000000002E-3</v>
      </c>
      <c r="I76" s="115"/>
      <c r="N76" s="601"/>
      <c r="O76" s="601"/>
      <c r="P76" s="601"/>
      <c r="Q76" s="601"/>
      <c r="R76" s="601"/>
      <c r="S76" s="601"/>
      <c r="T76" s="605">
        <f>ROUND(P75/T75,6)</f>
        <v>0</v>
      </c>
      <c r="U76" s="605"/>
    </row>
    <row r="77" spans="1:22" x14ac:dyDescent="0.25">
      <c r="A77" s="417" t="s">
        <v>453</v>
      </c>
      <c r="B77" s="414"/>
      <c r="C77" s="414"/>
      <c r="D77" s="414"/>
      <c r="E77" s="414"/>
      <c r="F77" s="414"/>
      <c r="G77" s="414"/>
      <c r="H77" s="414"/>
      <c r="I77" s="414"/>
      <c r="N77" s="416" t="s">
        <v>461</v>
      </c>
      <c r="O77" s="415"/>
      <c r="P77" s="415"/>
      <c r="Q77" s="415"/>
      <c r="R77" s="415"/>
      <c r="S77" s="415"/>
      <c r="T77" s="415"/>
      <c r="U77" s="415"/>
      <c r="V77" s="414"/>
    </row>
    <row r="78" spans="1:22" x14ac:dyDescent="0.25">
      <c r="A78" s="584" t="s">
        <v>405</v>
      </c>
      <c r="B78" s="578"/>
      <c r="C78" s="112">
        <f>E30</f>
        <v>782.77</v>
      </c>
      <c r="D78" s="585" t="s">
        <v>417</v>
      </c>
      <c r="E78" s="585"/>
      <c r="F78" s="585"/>
      <c r="G78" s="585"/>
      <c r="H78" s="288">
        <v>209892.26</v>
      </c>
      <c r="I78" s="113"/>
      <c r="N78" s="600" t="s">
        <v>406</v>
      </c>
      <c r="O78" s="601"/>
      <c r="P78" s="41">
        <f>P30</f>
        <v>0</v>
      </c>
      <c r="Q78" s="634" t="s">
        <v>412</v>
      </c>
      <c r="R78" s="635"/>
      <c r="S78" s="635"/>
      <c r="T78" s="604">
        <f>H78</f>
        <v>209892.26</v>
      </c>
      <c r="U78" s="604"/>
    </row>
    <row r="79" spans="1:22" x14ac:dyDescent="0.25">
      <c r="B79" s="69"/>
      <c r="G79" s="42" t="s">
        <v>12</v>
      </c>
      <c r="H79" s="114">
        <f>ROUND(C78/H78,6)</f>
        <v>3.7290000000000001E-3</v>
      </c>
      <c r="I79" s="115"/>
      <c r="N79" s="601"/>
      <c r="O79" s="601"/>
      <c r="P79" s="601"/>
      <c r="Q79" s="601"/>
      <c r="R79" s="601"/>
      <c r="S79" s="601"/>
      <c r="T79" s="605">
        <f>ROUND(P78/T78,6)</f>
        <v>0</v>
      </c>
      <c r="U79" s="605"/>
    </row>
    <row r="80" spans="1:22" x14ac:dyDescent="0.25">
      <c r="A80" s="417" t="s">
        <v>454</v>
      </c>
      <c r="B80" s="414"/>
      <c r="C80" s="414"/>
      <c r="D80" s="414"/>
      <c r="E80" s="414"/>
      <c r="F80" s="414"/>
      <c r="G80" s="414"/>
      <c r="H80" s="414"/>
      <c r="I80" s="414"/>
      <c r="N80" s="416" t="s">
        <v>462</v>
      </c>
      <c r="O80" s="415"/>
      <c r="P80" s="415"/>
      <c r="Q80" s="415"/>
      <c r="R80" s="415"/>
      <c r="S80" s="415"/>
      <c r="T80" s="415"/>
      <c r="U80" s="415"/>
      <c r="V80" s="414"/>
    </row>
    <row r="81" spans="1:21" x14ac:dyDescent="0.25">
      <c r="A81" s="584" t="s">
        <v>413</v>
      </c>
      <c r="B81" s="578"/>
      <c r="C81" s="112">
        <f>E30</f>
        <v>782.77</v>
      </c>
      <c r="D81" s="557" t="s">
        <v>418</v>
      </c>
      <c r="E81" s="557"/>
      <c r="F81" s="557"/>
      <c r="G81" s="557"/>
      <c r="H81" s="288">
        <v>187328.76</v>
      </c>
      <c r="I81" s="113"/>
      <c r="N81" s="600" t="s">
        <v>419</v>
      </c>
      <c r="O81" s="601"/>
      <c r="P81" s="41">
        <f>P30</f>
        <v>0</v>
      </c>
      <c r="Q81" s="636" t="s">
        <v>420</v>
      </c>
      <c r="R81" s="637"/>
      <c r="S81" s="637"/>
      <c r="T81" s="604">
        <f>H81</f>
        <v>187328.76</v>
      </c>
      <c r="U81" s="604"/>
    </row>
    <row r="82" spans="1:21" x14ac:dyDescent="0.25">
      <c r="B82" s="69"/>
      <c r="G82" s="42" t="s">
        <v>12</v>
      </c>
      <c r="H82" s="114">
        <f>ROUND(C81/H81,6)</f>
        <v>4.1790000000000004E-3</v>
      </c>
      <c r="I82" s="115"/>
      <c r="N82" s="601"/>
      <c r="O82" s="601"/>
      <c r="P82" s="601"/>
      <c r="Q82" s="601"/>
      <c r="R82" s="601"/>
      <c r="S82" s="601"/>
      <c r="T82" s="605">
        <f>ROUND(P81/T81,6)</f>
        <v>0</v>
      </c>
      <c r="U82" s="605"/>
    </row>
    <row r="83" spans="1:21" x14ac:dyDescent="0.25">
      <c r="A83" s="242"/>
      <c r="G83" s="42"/>
      <c r="H83" s="114"/>
      <c r="I83" s="114"/>
      <c r="N83" s="446"/>
      <c r="O83" s="446"/>
      <c r="P83" s="446"/>
      <c r="Q83" s="446"/>
      <c r="R83" s="446"/>
      <c r="S83" s="446"/>
      <c r="T83" s="447"/>
      <c r="U83" s="447"/>
    </row>
    <row r="84" spans="1:21" x14ac:dyDescent="0.25">
      <c r="A84" s="242"/>
      <c r="G84" s="42"/>
      <c r="H84" s="114"/>
      <c r="I84" s="114"/>
      <c r="N84" s="446"/>
      <c r="O84" s="446"/>
      <c r="P84" s="446"/>
      <c r="Q84" s="446"/>
      <c r="R84" s="446"/>
      <c r="S84" s="446"/>
      <c r="T84" s="447"/>
      <c r="U84" s="447"/>
    </row>
    <row r="85" spans="1:21" x14ac:dyDescent="0.25">
      <c r="A85" s="442" t="s">
        <v>455</v>
      </c>
      <c r="D85" s="69"/>
      <c r="E85" s="43" t="s">
        <v>299</v>
      </c>
      <c r="F85" s="290">
        <v>46163704</v>
      </c>
      <c r="G85" s="37" t="s">
        <v>6</v>
      </c>
      <c r="H85" s="422">
        <f>H79</f>
        <v>3.7290000000000001E-3</v>
      </c>
      <c r="I85" s="101">
        <f>ROUND(F85*H85,2)</f>
        <v>172144.45</v>
      </c>
      <c r="N85" s="453" t="s">
        <v>455</v>
      </c>
      <c r="O85" s="51"/>
      <c r="P85" s="51"/>
      <c r="Q85" s="44"/>
      <c r="R85" s="419">
        <f>F85</f>
        <v>46163704</v>
      </c>
      <c r="S85" s="38" t="s">
        <v>6</v>
      </c>
      <c r="T85" s="421">
        <f>T79</f>
        <v>0</v>
      </c>
      <c r="U85" s="473">
        <f>ROUND(R85*T85,2)</f>
        <v>0</v>
      </c>
    </row>
    <row r="86" spans="1:21" x14ac:dyDescent="0.25">
      <c r="A86" s="399"/>
      <c r="D86" s="69"/>
      <c r="E86" s="43"/>
      <c r="F86" s="276"/>
      <c r="G86" s="37"/>
      <c r="H86" s="422"/>
      <c r="I86" s="101"/>
      <c r="N86" s="51"/>
      <c r="O86" s="51"/>
      <c r="P86" s="51"/>
      <c r="Q86" s="44"/>
      <c r="R86" s="420"/>
      <c r="S86" s="38"/>
      <c r="T86" s="421"/>
      <c r="U86" s="477"/>
    </row>
    <row r="87" spans="1:21" x14ac:dyDescent="0.25">
      <c r="A87" s="587" t="s">
        <v>71</v>
      </c>
      <c r="B87" s="578"/>
      <c r="C87" s="578"/>
      <c r="D87" s="69"/>
      <c r="E87" s="43"/>
      <c r="F87" s="276"/>
      <c r="G87" s="37"/>
      <c r="H87" s="422"/>
      <c r="I87" s="101"/>
      <c r="N87" s="600" t="s">
        <v>463</v>
      </c>
      <c r="O87" s="601"/>
      <c r="P87" s="601"/>
      <c r="Q87" s="51"/>
      <c r="R87" s="420"/>
      <c r="S87" s="51"/>
      <c r="T87" s="38"/>
      <c r="U87" s="478"/>
    </row>
    <row r="88" spans="1:21" x14ac:dyDescent="0.25">
      <c r="A88" s="587" t="s">
        <v>99</v>
      </c>
      <c r="B88" s="578"/>
      <c r="C88" s="578"/>
      <c r="D88" s="69"/>
      <c r="E88" s="43" t="s">
        <v>3</v>
      </c>
      <c r="F88" s="290">
        <v>0</v>
      </c>
      <c r="G88" s="37" t="s">
        <v>6</v>
      </c>
      <c r="H88" s="422">
        <f>H70</f>
        <v>3.7230000000000002E-3</v>
      </c>
      <c r="I88" s="101">
        <f>ROUND(F88*H88,2)</f>
        <v>0</v>
      </c>
      <c r="N88" s="638" t="s">
        <v>99</v>
      </c>
      <c r="O88" s="601"/>
      <c r="P88" s="601"/>
      <c r="Q88" s="44"/>
      <c r="R88" s="419">
        <f>F88</f>
        <v>0</v>
      </c>
      <c r="S88" s="38" t="s">
        <v>6</v>
      </c>
      <c r="T88" s="421">
        <f>T70</f>
        <v>0</v>
      </c>
      <c r="U88" s="473">
        <f>ROUND(R88*T88,2)</f>
        <v>0</v>
      </c>
    </row>
    <row r="89" spans="1:21" x14ac:dyDescent="0.25">
      <c r="A89" s="431"/>
      <c r="B89" s="69"/>
      <c r="C89" s="69"/>
      <c r="D89" s="69"/>
      <c r="E89" s="43"/>
      <c r="F89" s="276"/>
      <c r="G89" s="37"/>
      <c r="H89" s="422"/>
      <c r="I89" s="101"/>
      <c r="N89" s="434"/>
      <c r="O89" s="45"/>
      <c r="P89" s="45"/>
      <c r="Q89" s="44"/>
      <c r="R89" s="419"/>
      <c r="S89" s="38"/>
      <c r="T89" s="421"/>
      <c r="U89" s="473"/>
    </row>
    <row r="90" spans="1:21" x14ac:dyDescent="0.25">
      <c r="A90" s="451" t="s">
        <v>456</v>
      </c>
      <c r="D90" s="69"/>
      <c r="E90" s="43" t="s">
        <v>421</v>
      </c>
      <c r="F90" s="290">
        <v>19042026</v>
      </c>
      <c r="G90" s="37" t="s">
        <v>6</v>
      </c>
      <c r="H90" s="422">
        <f>H82</f>
        <v>4.1790000000000004E-3</v>
      </c>
      <c r="I90" s="101">
        <f>ROUND(F90*H90,2)</f>
        <v>79576.63</v>
      </c>
      <c r="N90" s="453" t="s">
        <v>456</v>
      </c>
      <c r="O90" s="51"/>
      <c r="P90" s="51"/>
      <c r="Q90" s="44"/>
      <c r="R90" s="419">
        <f>F90</f>
        <v>19042026</v>
      </c>
      <c r="S90" s="38" t="s">
        <v>6</v>
      </c>
      <c r="T90" s="421">
        <f>T82</f>
        <v>0</v>
      </c>
      <c r="U90" s="473">
        <f>ROUND(R90*T90,2)</f>
        <v>0</v>
      </c>
    </row>
    <row r="91" spans="1:21" x14ac:dyDescent="0.25">
      <c r="A91" s="399"/>
      <c r="D91" s="69"/>
      <c r="E91" s="43"/>
      <c r="F91" s="276"/>
      <c r="G91" s="37"/>
      <c r="H91" s="422"/>
      <c r="I91" s="101"/>
      <c r="N91" s="407"/>
      <c r="O91" s="51"/>
      <c r="P91" s="51"/>
      <c r="Q91" s="44"/>
      <c r="R91" s="419"/>
      <c r="S91" s="38"/>
      <c r="T91" s="421"/>
      <c r="U91" s="473"/>
    </row>
    <row r="92" spans="1:21" x14ac:dyDescent="0.25">
      <c r="A92" s="451" t="s">
        <v>457</v>
      </c>
      <c r="D92" s="69"/>
      <c r="E92" s="43" t="s">
        <v>3</v>
      </c>
      <c r="F92" s="290">
        <v>11441151</v>
      </c>
      <c r="G92" s="37" t="s">
        <v>6</v>
      </c>
      <c r="H92" s="422">
        <f>H76</f>
        <v>4.1710000000000002E-3</v>
      </c>
      <c r="I92" s="101">
        <f t="shared" ref="I92:I98" si="14">ROUND(F92*H92,2)</f>
        <v>47721.04</v>
      </c>
      <c r="N92" s="453" t="s">
        <v>457</v>
      </c>
      <c r="O92" s="51"/>
      <c r="P92" s="51"/>
      <c r="Q92" s="44"/>
      <c r="R92" s="419">
        <f t="shared" ref="R92:R96" si="15">F92</f>
        <v>11441151</v>
      </c>
      <c r="S92" s="38" t="s">
        <v>6</v>
      </c>
      <c r="T92" s="421">
        <f>T76</f>
        <v>0</v>
      </c>
      <c r="U92" s="473">
        <f>ROUND(R92*T92,2)</f>
        <v>0</v>
      </c>
    </row>
    <row r="93" spans="1:21" x14ac:dyDescent="0.25">
      <c r="A93" s="81"/>
      <c r="D93" s="69"/>
      <c r="E93" s="43"/>
      <c r="F93" s="276"/>
      <c r="G93" s="37"/>
      <c r="H93" s="422"/>
      <c r="I93" s="101"/>
      <c r="N93" s="383"/>
      <c r="O93" s="51"/>
      <c r="P93" s="51"/>
      <c r="Q93" s="44"/>
      <c r="R93" s="420"/>
      <c r="S93" s="38"/>
      <c r="T93" s="421"/>
      <c r="U93" s="477"/>
    </row>
    <row r="94" spans="1:21" x14ac:dyDescent="0.25">
      <c r="A94" s="584" t="s">
        <v>422</v>
      </c>
      <c r="B94" s="578"/>
      <c r="C94" s="578"/>
      <c r="D94" s="69"/>
      <c r="E94" s="43" t="s">
        <v>4</v>
      </c>
      <c r="F94" s="290">
        <v>247265670</v>
      </c>
      <c r="G94" s="37" t="s">
        <v>6</v>
      </c>
      <c r="H94" s="422">
        <f>H73</f>
        <v>3.336E-3</v>
      </c>
      <c r="I94" s="101">
        <f t="shared" si="14"/>
        <v>824878.28</v>
      </c>
      <c r="N94" s="601" t="s">
        <v>422</v>
      </c>
      <c r="O94" s="601"/>
      <c r="P94" s="601"/>
      <c r="Q94" s="44"/>
      <c r="R94" s="419">
        <f t="shared" si="15"/>
        <v>247265670</v>
      </c>
      <c r="S94" s="38" t="s">
        <v>6</v>
      </c>
      <c r="T94" s="421">
        <f>T73</f>
        <v>0</v>
      </c>
      <c r="U94" s="473">
        <f>ROUND(R94*T94,2)</f>
        <v>0</v>
      </c>
    </row>
    <row r="95" spans="1:21" x14ac:dyDescent="0.25">
      <c r="A95" s="81"/>
      <c r="B95" s="69"/>
      <c r="C95" s="69"/>
      <c r="D95" s="69"/>
      <c r="E95" s="43"/>
      <c r="F95" s="276"/>
      <c r="G95" s="37"/>
      <c r="H95" s="422"/>
      <c r="I95" s="101"/>
      <c r="N95" s="45"/>
      <c r="O95" s="45"/>
      <c r="P95" s="45"/>
      <c r="Q95" s="44"/>
      <c r="R95" s="419"/>
      <c r="S95" s="38"/>
      <c r="T95" s="421"/>
      <c r="U95" s="473"/>
    </row>
    <row r="96" spans="1:21" x14ac:dyDescent="0.25">
      <c r="A96" s="584" t="s">
        <v>423</v>
      </c>
      <c r="B96" s="578"/>
      <c r="C96" s="578"/>
      <c r="D96" s="69"/>
      <c r="E96" s="43" t="s">
        <v>4</v>
      </c>
      <c r="F96" s="290">
        <v>0</v>
      </c>
      <c r="G96" s="37" t="s">
        <v>6</v>
      </c>
      <c r="H96" s="422">
        <f>H73</f>
        <v>3.336E-3</v>
      </c>
      <c r="I96" s="101">
        <f t="shared" si="14"/>
        <v>0</v>
      </c>
      <c r="N96" s="600" t="s">
        <v>423</v>
      </c>
      <c r="O96" s="600"/>
      <c r="P96" s="600"/>
      <c r="Q96" s="44"/>
      <c r="R96" s="419">
        <f t="shared" si="15"/>
        <v>0</v>
      </c>
      <c r="S96" s="38" t="s">
        <v>6</v>
      </c>
      <c r="T96" s="421">
        <f>T73</f>
        <v>0</v>
      </c>
      <c r="U96" s="473">
        <f>ROUND(R96*T96,2)</f>
        <v>0</v>
      </c>
    </row>
    <row r="97" spans="1:21" x14ac:dyDescent="0.25">
      <c r="A97" s="530"/>
      <c r="B97" s="529"/>
      <c r="C97" s="529"/>
      <c r="D97" s="529"/>
      <c r="E97" s="527"/>
      <c r="F97" s="276"/>
      <c r="G97" s="528"/>
      <c r="H97" s="422"/>
      <c r="I97" s="101"/>
      <c r="N97" s="533"/>
      <c r="O97" s="533"/>
      <c r="P97" s="533"/>
      <c r="Q97" s="44"/>
      <c r="R97" s="535"/>
      <c r="S97" s="534"/>
      <c r="T97" s="421"/>
      <c r="U97" s="477"/>
    </row>
    <row r="98" spans="1:21" x14ac:dyDescent="0.25">
      <c r="A98" s="530" t="s">
        <v>497</v>
      </c>
      <c r="B98" s="529"/>
      <c r="C98" s="529"/>
      <c r="D98" s="529"/>
      <c r="E98" s="527" t="s">
        <v>3</v>
      </c>
      <c r="F98" s="290">
        <v>0</v>
      </c>
      <c r="G98" s="528" t="s">
        <v>6</v>
      </c>
      <c r="H98" s="422">
        <f>H70</f>
        <v>3.7230000000000002E-3</v>
      </c>
      <c r="I98" s="101">
        <f t="shared" si="14"/>
        <v>0</v>
      </c>
      <c r="N98" s="533" t="s">
        <v>497</v>
      </c>
      <c r="O98" s="533"/>
      <c r="P98" s="533"/>
      <c r="Q98" s="44"/>
      <c r="R98" s="536">
        <f>F98</f>
        <v>0</v>
      </c>
      <c r="S98" s="534" t="s">
        <v>6</v>
      </c>
      <c r="T98" s="421">
        <f>T70</f>
        <v>0</v>
      </c>
      <c r="U98" s="473">
        <f>ROUND(R98*T98,2)</f>
        <v>0</v>
      </c>
    </row>
    <row r="99" spans="1:21" x14ac:dyDescent="0.25">
      <c r="A99" s="530"/>
      <c r="B99" s="529"/>
      <c r="C99" s="529"/>
      <c r="D99" s="529"/>
      <c r="E99" s="527"/>
      <c r="F99" s="276"/>
      <c r="G99" s="528"/>
      <c r="H99" s="422"/>
      <c r="I99" s="101"/>
      <c r="N99" s="533"/>
      <c r="O99" s="533"/>
      <c r="P99" s="533"/>
      <c r="Q99" s="44"/>
      <c r="R99" s="535"/>
      <c r="S99" s="534"/>
      <c r="T99" s="421"/>
      <c r="U99" s="477"/>
    </row>
    <row r="100" spans="1:21" x14ac:dyDescent="0.25">
      <c r="A100" s="81"/>
      <c r="B100" s="69"/>
      <c r="C100" s="69"/>
      <c r="D100" s="69"/>
      <c r="E100" s="43"/>
      <c r="F100" s="276"/>
      <c r="G100" s="37"/>
      <c r="H100" s="422"/>
      <c r="I100" s="101"/>
      <c r="N100" s="383"/>
      <c r="O100" s="383"/>
      <c r="P100" s="383"/>
      <c r="Q100" s="44"/>
      <c r="R100" s="420"/>
      <c r="S100" s="38"/>
      <c r="T100" s="421"/>
      <c r="U100" s="103"/>
    </row>
    <row r="101" spans="1:21" ht="15" customHeight="1" x14ac:dyDescent="0.25">
      <c r="A101" s="399" t="s">
        <v>498</v>
      </c>
      <c r="N101" s="407" t="s">
        <v>498</v>
      </c>
      <c r="O101" s="51"/>
      <c r="P101" s="51"/>
      <c r="Q101" s="51"/>
      <c r="R101" s="51"/>
      <c r="S101" s="51"/>
      <c r="T101" s="51"/>
      <c r="U101" s="51"/>
    </row>
    <row r="102" spans="1:21" x14ac:dyDescent="0.25">
      <c r="B102" s="69"/>
      <c r="C102" s="563" t="s">
        <v>60</v>
      </c>
      <c r="D102" s="563"/>
      <c r="E102" s="69"/>
      <c r="F102" s="39" t="s">
        <v>28</v>
      </c>
      <c r="G102" s="69"/>
      <c r="H102" s="69"/>
      <c r="I102" s="69"/>
      <c r="N102" s="45"/>
      <c r="O102" s="45"/>
      <c r="P102" s="45"/>
      <c r="Q102" s="45"/>
      <c r="R102" s="45"/>
      <c r="S102" s="45"/>
      <c r="T102" s="45"/>
      <c r="U102" s="45"/>
    </row>
    <row r="103" spans="1:21" x14ac:dyDescent="0.25">
      <c r="A103" s="3"/>
      <c r="B103" s="118"/>
      <c r="C103" s="564" t="s">
        <v>101</v>
      </c>
      <c r="D103" s="564"/>
      <c r="E103" s="119" t="s">
        <v>425</v>
      </c>
      <c r="F103" s="120" t="s">
        <v>106</v>
      </c>
      <c r="G103" s="121"/>
      <c r="H103" s="121"/>
      <c r="I103" s="121"/>
      <c r="N103" s="631" t="s">
        <v>35</v>
      </c>
      <c r="O103" s="631"/>
      <c r="P103" s="632" t="s">
        <v>427</v>
      </c>
      <c r="Q103" s="633"/>
      <c r="R103" s="604" t="s">
        <v>31</v>
      </c>
      <c r="S103" s="604"/>
      <c r="T103" s="604"/>
      <c r="U103" s="604"/>
    </row>
    <row r="104" spans="1:21" x14ac:dyDescent="0.25">
      <c r="A104" s="26"/>
      <c r="B104" s="52" t="s">
        <v>105</v>
      </c>
      <c r="C104" s="596">
        <f>H14+H15+H20+H23+H26</f>
        <v>0</v>
      </c>
      <c r="D104" s="596"/>
      <c r="E104" s="46">
        <f>H8</f>
        <v>1.0407999999999999</v>
      </c>
      <c r="F104" s="291">
        <v>950.92</v>
      </c>
      <c r="G104" s="39" t="s">
        <v>12</v>
      </c>
      <c r="H104" s="101">
        <f>ROUND(C104*E104*F104,2)</f>
        <v>0</v>
      </c>
      <c r="I104" s="104"/>
      <c r="N104" s="28" t="s">
        <v>17</v>
      </c>
      <c r="O104" s="47">
        <f>T14+T15+T20+T23+T26</f>
        <v>0</v>
      </c>
      <c r="P104" s="611">
        <f>T8</f>
        <v>1.0407999999999999</v>
      </c>
      <c r="Q104" s="611"/>
      <c r="R104" s="48">
        <f>F104</f>
        <v>950.92</v>
      </c>
      <c r="S104" s="40" t="s">
        <v>12</v>
      </c>
      <c r="T104" s="479">
        <f>ROUND(O104*P104*R104,2)</f>
        <v>0</v>
      </c>
      <c r="U104" s="102"/>
    </row>
    <row r="105" spans="1:21" x14ac:dyDescent="0.25">
      <c r="A105" s="49"/>
      <c r="B105" s="49" t="s">
        <v>104</v>
      </c>
      <c r="C105" s="596">
        <f>H16+H17+H21+H24+H27</f>
        <v>0</v>
      </c>
      <c r="D105" s="596"/>
      <c r="E105" s="46">
        <f>H8</f>
        <v>1.0407999999999999</v>
      </c>
      <c r="F105" s="291">
        <v>907.92</v>
      </c>
      <c r="G105" s="39" t="s">
        <v>12</v>
      </c>
      <c r="H105" s="101">
        <f>ROUND(C105*E105*F105,2)</f>
        <v>0</v>
      </c>
      <c r="N105" s="50" t="s">
        <v>13</v>
      </c>
      <c r="O105" s="47">
        <f>T16+T17+T21+T24+T27</f>
        <v>0</v>
      </c>
      <c r="P105" s="611">
        <f>T8</f>
        <v>1.0407999999999999</v>
      </c>
      <c r="Q105" s="611"/>
      <c r="R105" s="48">
        <f>F105</f>
        <v>907.92</v>
      </c>
      <c r="S105" s="40" t="s">
        <v>12</v>
      </c>
      <c r="T105" s="479">
        <f>ROUND(O105*P105*R105,2)</f>
        <v>0</v>
      </c>
      <c r="U105" s="51"/>
    </row>
    <row r="106" spans="1:21" ht="16.5" thickBot="1" x14ac:dyDescent="0.3">
      <c r="A106" s="52"/>
      <c r="B106" s="52" t="s">
        <v>103</v>
      </c>
      <c r="C106" s="596">
        <f>H18+H19+H22+H25+H28+H29</f>
        <v>783.71069999999997</v>
      </c>
      <c r="D106" s="596"/>
      <c r="E106" s="46">
        <f>H8</f>
        <v>1.0407999999999999</v>
      </c>
      <c r="F106" s="291">
        <v>910.12</v>
      </c>
      <c r="G106" s="39" t="s">
        <v>12</v>
      </c>
      <c r="H106" s="94">
        <f>ROUND(C106*E106*F106,2)</f>
        <v>742372.23</v>
      </c>
      <c r="N106" s="53" t="s">
        <v>14</v>
      </c>
      <c r="O106" s="54">
        <f>T18+T19+T22+T25+T28+T29</f>
        <v>0</v>
      </c>
      <c r="P106" s="611">
        <f>T8</f>
        <v>1.0407999999999999</v>
      </c>
      <c r="Q106" s="611"/>
      <c r="R106" s="48">
        <f>F106</f>
        <v>910.12</v>
      </c>
      <c r="S106" s="40" t="s">
        <v>12</v>
      </c>
      <c r="T106" s="479">
        <f>ROUND(O106*P106*R106,2)</f>
        <v>0</v>
      </c>
      <c r="U106" s="51"/>
    </row>
    <row r="107" spans="1:21" ht="16.5" thickBot="1" x14ac:dyDescent="0.3">
      <c r="A107" s="55"/>
      <c r="B107" s="122" t="s">
        <v>102</v>
      </c>
      <c r="C107" s="586">
        <f>SUM(C104:C106)</f>
        <v>783.71069999999997</v>
      </c>
      <c r="D107" s="586"/>
      <c r="E107" s="123"/>
      <c r="F107" s="123"/>
      <c r="G107" s="123"/>
      <c r="H107" s="124" t="s">
        <v>100</v>
      </c>
      <c r="I107" s="101">
        <f>IF(A1=75,0,H106+H105+H104)</f>
        <v>742372.23</v>
      </c>
      <c r="N107" s="56" t="s">
        <v>89</v>
      </c>
      <c r="O107" s="57">
        <f>SUM(O104:O106)</f>
        <v>0</v>
      </c>
      <c r="P107" s="612" t="s">
        <v>16</v>
      </c>
      <c r="Q107" s="613"/>
      <c r="R107" s="613"/>
      <c r="S107" s="613"/>
      <c r="T107" s="613"/>
      <c r="U107" s="473">
        <f>IF(N1=75,0,T106+T105+T104)</f>
        <v>0</v>
      </c>
    </row>
    <row r="108" spans="1:21" ht="16.5" thickTop="1" x14ac:dyDescent="0.25">
      <c r="A108" s="555" t="s">
        <v>65</v>
      </c>
      <c r="B108" s="555"/>
      <c r="C108" s="555"/>
      <c r="D108" s="555"/>
      <c r="E108" s="555"/>
      <c r="F108" s="555"/>
      <c r="G108" s="555"/>
      <c r="H108" s="555"/>
      <c r="I108" s="555"/>
      <c r="N108" s="614" t="s">
        <v>65</v>
      </c>
      <c r="O108" s="614"/>
      <c r="P108" s="614"/>
      <c r="Q108" s="614"/>
      <c r="R108" s="614"/>
      <c r="S108" s="614"/>
      <c r="T108" s="614"/>
      <c r="U108" s="614"/>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0" t="s">
        <v>499</v>
      </c>
      <c r="C110" s="43"/>
      <c r="D110" s="69"/>
      <c r="E110" s="43" t="s">
        <v>32</v>
      </c>
      <c r="F110" s="556"/>
      <c r="G110" s="556"/>
      <c r="H110" s="556"/>
      <c r="I110" s="556"/>
      <c r="N110" s="600" t="s">
        <v>499</v>
      </c>
      <c r="O110" s="601"/>
      <c r="P110" s="601"/>
      <c r="Q110" s="615"/>
      <c r="R110" s="615"/>
      <c r="S110" s="615"/>
      <c r="T110" s="615"/>
      <c r="U110" s="103"/>
    </row>
    <row r="111" spans="1:21" x14ac:dyDescent="0.25">
      <c r="B111" s="69"/>
      <c r="C111" s="88" t="s">
        <v>494</v>
      </c>
      <c r="D111" s="333" t="s">
        <v>495</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90" t="s">
        <v>2</v>
      </c>
      <c r="F112" s="43"/>
      <c r="G112" s="43"/>
      <c r="H112" s="43"/>
      <c r="I112" s="43"/>
      <c r="N112" s="45"/>
      <c r="O112" s="45"/>
      <c r="P112" s="45"/>
      <c r="Q112" s="125"/>
      <c r="R112" s="125"/>
      <c r="S112" s="125"/>
      <c r="T112" s="125"/>
      <c r="U112" s="103"/>
    </row>
    <row r="113" spans="1:21" x14ac:dyDescent="0.25">
      <c r="A113" s="557" t="s">
        <v>381</v>
      </c>
      <c r="B113" s="558"/>
      <c r="C113" s="143">
        <v>474</v>
      </c>
      <c r="D113" s="143">
        <v>457</v>
      </c>
      <c r="E113" s="116">
        <f>(C113+D113)/2</f>
        <v>465.5</v>
      </c>
      <c r="F113" s="126" t="s">
        <v>30</v>
      </c>
      <c r="G113" s="292">
        <v>576</v>
      </c>
      <c r="I113" s="101">
        <f>ROUND(G113*E113,2)</f>
        <v>268128</v>
      </c>
      <c r="N113" s="630" t="s">
        <v>52</v>
      </c>
      <c r="O113" s="630"/>
      <c r="P113" s="610">
        <f>IF(H133=1,E113,0)</f>
        <v>0</v>
      </c>
      <c r="Q113" s="610"/>
      <c r="R113" s="610"/>
      <c r="S113" s="83" t="s">
        <v>30</v>
      </c>
      <c r="T113" s="58">
        <f>G113</f>
        <v>576</v>
      </c>
      <c r="U113" s="473">
        <f>ROUND(T113*P113,2)</f>
        <v>0</v>
      </c>
    </row>
    <row r="114" spans="1:21" x14ac:dyDescent="0.25">
      <c r="A114" s="557" t="s">
        <v>382</v>
      </c>
      <c r="B114" s="558"/>
      <c r="C114" s="143">
        <v>0</v>
      </c>
      <c r="D114" s="143">
        <v>0</v>
      </c>
      <c r="E114" s="116">
        <f>(C114+D114)/2</f>
        <v>0</v>
      </c>
      <c r="F114" s="126" t="s">
        <v>30</v>
      </c>
      <c r="G114" s="292">
        <v>1823</v>
      </c>
      <c r="I114" s="101">
        <f>ROUND(G114*E114,2)</f>
        <v>0</v>
      </c>
      <c r="N114" s="630" t="s">
        <v>64</v>
      </c>
      <c r="O114" s="630"/>
      <c r="P114" s="608"/>
      <c r="Q114" s="608"/>
      <c r="R114" s="608"/>
      <c r="S114" s="83" t="s">
        <v>30</v>
      </c>
      <c r="T114" s="58">
        <f>G114</f>
        <v>1823</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4" t="s">
        <v>500</v>
      </c>
      <c r="B117" s="578"/>
      <c r="C117" s="578"/>
      <c r="D117" s="69"/>
      <c r="E117" s="39" t="s">
        <v>300</v>
      </c>
      <c r="F117" s="563"/>
      <c r="G117" s="563"/>
      <c r="H117" s="563"/>
      <c r="I117" s="563"/>
      <c r="N117" s="600" t="s">
        <v>501</v>
      </c>
      <c r="O117" s="601"/>
      <c r="P117" s="601"/>
      <c r="Q117" s="601"/>
      <c r="R117" s="601"/>
      <c r="S117" s="601"/>
      <c r="T117" s="601"/>
      <c r="U117" s="601"/>
    </row>
    <row r="118" spans="1:21" hidden="1" x14ac:dyDescent="0.25">
      <c r="B118" s="69"/>
      <c r="C118" s="564" t="s">
        <v>66</v>
      </c>
      <c r="D118" s="564"/>
      <c r="E118" s="564"/>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5" t="s">
        <v>109</v>
      </c>
      <c r="G119" s="563"/>
      <c r="H119" s="37" t="s">
        <v>29</v>
      </c>
      <c r="I119" s="37"/>
      <c r="N119" s="45"/>
      <c r="O119" s="45"/>
      <c r="P119" s="45"/>
      <c r="Q119" s="45"/>
      <c r="R119" s="45"/>
      <c r="S119" s="45"/>
      <c r="T119" s="45"/>
      <c r="U119" s="45"/>
    </row>
    <row r="120" spans="1:21" hidden="1" x14ac:dyDescent="0.25">
      <c r="A120" s="564" t="s">
        <v>69</v>
      </c>
      <c r="B120" s="564"/>
      <c r="C120" s="90" t="s">
        <v>2</v>
      </c>
      <c r="D120" s="90" t="s">
        <v>2</v>
      </c>
      <c r="E120" s="59" t="s">
        <v>2</v>
      </c>
      <c r="F120" s="564" t="s">
        <v>28</v>
      </c>
      <c r="G120" s="564"/>
      <c r="H120" s="59" t="s">
        <v>28</v>
      </c>
      <c r="I120" s="59" t="s">
        <v>8</v>
      </c>
      <c r="N120" s="609" t="s">
        <v>53</v>
      </c>
      <c r="O120" s="609"/>
      <c r="P120" s="610" t="s">
        <v>66</v>
      </c>
      <c r="Q120" s="610"/>
      <c r="R120" s="609" t="s">
        <v>54</v>
      </c>
      <c r="S120" s="609"/>
      <c r="T120" s="60" t="s">
        <v>55</v>
      </c>
      <c r="U120" s="60" t="s">
        <v>8</v>
      </c>
    </row>
    <row r="121" spans="1:21" hidden="1" x14ac:dyDescent="0.25">
      <c r="A121" s="561" t="s">
        <v>56</v>
      </c>
      <c r="B121" s="561"/>
      <c r="C121" s="141">
        <v>0</v>
      </c>
      <c r="D121" s="141">
        <v>0</v>
      </c>
      <c r="E121" s="187">
        <f>IF(D30=0,C121*2,C121+D121)</f>
        <v>0</v>
      </c>
      <c r="F121" s="562">
        <v>0</v>
      </c>
      <c r="G121" s="562"/>
      <c r="H121" s="224">
        <f>IF(C121=0,0,125)</f>
        <v>0</v>
      </c>
      <c r="I121" s="101">
        <f>ROUND((H121+F121)*E121,2)</f>
        <v>0</v>
      </c>
      <c r="N121" s="601" t="s">
        <v>56</v>
      </c>
      <c r="O121" s="601"/>
      <c r="P121" s="608">
        <f>IF(H$133=1,C121,0)</f>
        <v>0</v>
      </c>
      <c r="Q121" s="608"/>
      <c r="R121" s="628">
        <f>F121</f>
        <v>0</v>
      </c>
      <c r="S121" s="628"/>
      <c r="T121" s="62">
        <f>H121</f>
        <v>0</v>
      </c>
      <c r="U121" s="96">
        <f>ROUND((T121+R121)*P121,0)</f>
        <v>0</v>
      </c>
    </row>
    <row r="122" spans="1:21" hidden="1" x14ac:dyDescent="0.25">
      <c r="A122" s="581" t="s">
        <v>57</v>
      </c>
      <c r="B122" s="581"/>
      <c r="C122" s="143">
        <v>0</v>
      </c>
      <c r="D122" s="143">
        <v>0</v>
      </c>
      <c r="E122" s="116">
        <f>IF(D31=0,C122*2,C122+D122)</f>
        <v>0</v>
      </c>
      <c r="F122" s="598">
        <f>ROUND(F121/2,2)</f>
        <v>0</v>
      </c>
      <c r="G122" s="598"/>
      <c r="H122" s="224">
        <f>IF(C122=0,0,62.5)</f>
        <v>0</v>
      </c>
      <c r="I122" s="101">
        <f>ROUND((H122+F122)*E122,2)</f>
        <v>0</v>
      </c>
      <c r="N122" s="601" t="s">
        <v>57</v>
      </c>
      <c r="O122" s="601"/>
      <c r="P122" s="608">
        <f>IF(H$133=1,C122,0)</f>
        <v>0</v>
      </c>
      <c r="Q122" s="608"/>
      <c r="R122" s="629">
        <f>ROUND(R121/2,2)</f>
        <v>0</v>
      </c>
      <c r="S122" s="629"/>
      <c r="T122" s="62">
        <f>H122</f>
        <v>0</v>
      </c>
      <c r="U122" s="96">
        <f>ROUND((T122+R122)*P122,0)</f>
        <v>0</v>
      </c>
    </row>
    <row r="123" spans="1:21" ht="16.5" hidden="1" thickBot="1" x14ac:dyDescent="0.3">
      <c r="A123" s="581" t="s">
        <v>58</v>
      </c>
      <c r="B123" s="581"/>
      <c r="C123" s="143">
        <v>0</v>
      </c>
      <c r="D123" s="143">
        <v>0</v>
      </c>
      <c r="E123" s="116">
        <f>IF(D32=0,C123*2,C123+D123)</f>
        <v>0</v>
      </c>
      <c r="F123" s="599"/>
      <c r="G123" s="599"/>
      <c r="H123" s="225">
        <f>IF(H121&gt;0,436,0)</f>
        <v>0</v>
      </c>
      <c r="I123" s="101">
        <f>ROUND(H123*E123,2)</f>
        <v>0</v>
      </c>
      <c r="N123" s="616" t="s">
        <v>58</v>
      </c>
      <c r="O123" s="616"/>
      <c r="P123" s="608">
        <f>IF(H$133=1,C123,0)</f>
        <v>0</v>
      </c>
      <c r="Q123" s="608"/>
      <c r="R123" s="609"/>
      <c r="S123" s="609"/>
      <c r="T123" s="64">
        <f>H123</f>
        <v>0</v>
      </c>
      <c r="U123" s="103">
        <f>ROUND(T123*P123,0)</f>
        <v>0</v>
      </c>
    </row>
    <row r="124" spans="1:21" ht="16.5" hidden="1" thickBot="1" x14ac:dyDescent="0.3">
      <c r="A124" s="563" t="s">
        <v>8</v>
      </c>
      <c r="B124" s="563"/>
      <c r="C124" s="65"/>
      <c r="D124" s="65"/>
      <c r="E124" s="65"/>
      <c r="F124" s="65"/>
      <c r="G124" s="65"/>
      <c r="H124" s="65"/>
      <c r="I124" s="97">
        <f>SUM(I121:I123)</f>
        <v>0</v>
      </c>
      <c r="N124" s="627" t="s">
        <v>8</v>
      </c>
      <c r="O124" s="627"/>
      <c r="P124" s="66"/>
      <c r="Q124" s="66"/>
      <c r="R124" s="66"/>
      <c r="S124" s="66"/>
      <c r="T124" s="66"/>
      <c r="U124" s="67">
        <f>SUM(U121:U123)</f>
        <v>0</v>
      </c>
    </row>
    <row r="125" spans="1:21" x14ac:dyDescent="0.25">
      <c r="A125" s="37"/>
      <c r="B125" s="37"/>
      <c r="C125" s="65"/>
      <c r="D125" s="65"/>
      <c r="E125" s="65"/>
      <c r="F125" s="65"/>
      <c r="G125" s="65"/>
      <c r="H125" s="65"/>
      <c r="I125" s="101"/>
      <c r="N125" s="38"/>
      <c r="O125" s="38"/>
      <c r="P125" s="66"/>
      <c r="Q125" s="66"/>
      <c r="R125" s="66"/>
      <c r="S125" s="66"/>
      <c r="T125" s="66"/>
      <c r="U125" s="138"/>
    </row>
    <row r="126" spans="1:21" x14ac:dyDescent="0.25">
      <c r="A126" s="584" t="s">
        <v>432</v>
      </c>
      <c r="B126" s="578"/>
      <c r="C126" s="578"/>
      <c r="D126" s="69"/>
      <c r="E126" s="68" t="s">
        <v>34</v>
      </c>
      <c r="F126" s="597"/>
      <c r="G126" s="597"/>
      <c r="H126" s="597"/>
      <c r="I126" s="154">
        <v>0</v>
      </c>
      <c r="N126" s="600" t="s">
        <v>432</v>
      </c>
      <c r="O126" s="601"/>
      <c r="P126" s="601"/>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90" t="s">
        <v>8</v>
      </c>
      <c r="B128" s="590"/>
      <c r="C128" s="590"/>
      <c r="D128" s="590"/>
      <c r="E128" s="590"/>
      <c r="F128" s="590"/>
      <c r="G128" s="590"/>
      <c r="H128" s="590"/>
      <c r="I128" s="94">
        <f>SUM(I46,I66,I85,I88,I90,I92,I94,I96,I107,I113,I114,I124,I126)</f>
        <v>6557656.7799999993</v>
      </c>
      <c r="J128" s="251"/>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J129" s="251"/>
      <c r="N129" s="453"/>
      <c r="O129" s="452"/>
      <c r="P129" s="452"/>
      <c r="Q129" s="306"/>
      <c r="R129" s="306"/>
      <c r="S129" s="306"/>
      <c r="T129" s="306"/>
      <c r="U129" s="103"/>
    </row>
    <row r="130" spans="1:21" ht="16.5" thickBot="1" x14ac:dyDescent="0.3">
      <c r="A130" s="530" t="s">
        <v>434</v>
      </c>
      <c r="B130" s="26"/>
      <c r="C130" s="26"/>
      <c r="D130" s="26"/>
      <c r="E130" s="26"/>
      <c r="F130" s="26"/>
      <c r="G130" s="26"/>
      <c r="H130" s="26"/>
      <c r="I130" s="101">
        <f>I128-I53</f>
        <v>6268052.919999999</v>
      </c>
      <c r="J130" s="251"/>
      <c r="N130" s="601" t="s">
        <v>434</v>
      </c>
      <c r="O130" s="601"/>
      <c r="P130" s="601"/>
      <c r="Q130" s="601"/>
      <c r="R130" s="601"/>
      <c r="S130" s="601"/>
      <c r="T130" s="601"/>
      <c r="U130" s="132">
        <f>U128-U53</f>
        <v>0</v>
      </c>
    </row>
    <row r="131" spans="1:21" ht="16.5" thickTop="1" x14ac:dyDescent="0.25">
      <c r="A131" s="26"/>
      <c r="B131" s="26"/>
      <c r="C131" s="26"/>
      <c r="D131" s="26"/>
      <c r="E131" s="26"/>
      <c r="F131" s="26"/>
      <c r="G131" s="26"/>
      <c r="H131" s="26"/>
      <c r="I131" s="101"/>
      <c r="J131" s="251"/>
      <c r="N131" s="28"/>
      <c r="O131" s="28"/>
      <c r="P131" s="28"/>
      <c r="Q131" s="28"/>
      <c r="R131" s="28"/>
      <c r="S131" s="28"/>
      <c r="T131" s="28"/>
      <c r="U131" s="138"/>
    </row>
    <row r="132" spans="1:21" x14ac:dyDescent="0.25">
      <c r="A132" s="584" t="s">
        <v>502</v>
      </c>
      <c r="B132" s="578"/>
      <c r="C132" s="578"/>
      <c r="D132" s="578"/>
      <c r="E132" s="578"/>
      <c r="F132" s="578"/>
      <c r="G132" s="578"/>
      <c r="H132" s="81" t="s">
        <v>333</v>
      </c>
      <c r="I132" s="134"/>
      <c r="J132" s="251"/>
      <c r="N132" s="600" t="s">
        <v>503</v>
      </c>
      <c r="O132" s="601"/>
      <c r="P132" s="601"/>
      <c r="Q132" s="601"/>
      <c r="R132" s="601"/>
      <c r="S132" s="601"/>
      <c r="T132" s="601"/>
      <c r="U132" s="138"/>
    </row>
    <row r="133" spans="1:21" x14ac:dyDescent="0.25">
      <c r="A133" s="578" t="s">
        <v>70</v>
      </c>
      <c r="B133" s="578"/>
      <c r="C133" s="578"/>
      <c r="D133" s="578"/>
      <c r="E133" s="578"/>
      <c r="F133" s="578"/>
      <c r="G133" s="578"/>
      <c r="H133" s="70" t="str">
        <f>IF(E30=0,"",IF((E15+E17+SUM(E19:E25))/E30&gt;0.75,1,""))</f>
        <v/>
      </c>
      <c r="I133" s="116">
        <f>U130</f>
        <v>0</v>
      </c>
      <c r="N133" s="28"/>
      <c r="O133" s="28"/>
      <c r="P133" s="28"/>
      <c r="Q133" s="28"/>
      <c r="R133" s="28"/>
      <c r="S133" s="28"/>
      <c r="T133" s="28"/>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8" t="s">
        <v>240</v>
      </c>
      <c r="H135" s="139">
        <f>IF(H133=1,I133,I130)</f>
        <v>6268052.919999999</v>
      </c>
      <c r="I135" s="94">
        <f>ROUND(IF(E30=0,0,IF(E30&gt;250,-(((250/E30)*H135)*IF(G135="H",0.02,0.05)),IF(G135="H",-0.02*H135,-0.05*H135))),2)</f>
        <v>-40037.64</v>
      </c>
      <c r="N135" s="626"/>
      <c r="O135" s="626"/>
      <c r="P135" s="626"/>
      <c r="Q135" s="626"/>
      <c r="R135" s="626"/>
      <c r="S135" s="626"/>
      <c r="T135" s="626"/>
      <c r="U135" s="626"/>
    </row>
    <row r="136" spans="1:21" x14ac:dyDescent="0.25">
      <c r="B136" s="69"/>
      <c r="C136" s="69"/>
      <c r="D136" s="69"/>
      <c r="E136" s="69"/>
      <c r="F136" s="69"/>
      <c r="G136" s="69"/>
      <c r="H136" s="65"/>
      <c r="I136" s="101"/>
      <c r="N136" s="624" t="s">
        <v>7</v>
      </c>
      <c r="O136" s="624"/>
      <c r="P136" s="624"/>
      <c r="Q136" s="624"/>
      <c r="R136" s="624"/>
      <c r="S136" s="624"/>
      <c r="T136" s="624"/>
      <c r="U136" s="624"/>
    </row>
    <row r="137" spans="1:21" x14ac:dyDescent="0.25">
      <c r="A137" s="309" t="s">
        <v>74</v>
      </c>
      <c r="B137" s="310"/>
      <c r="C137" s="310"/>
      <c r="D137" s="310"/>
      <c r="E137" s="310"/>
      <c r="F137" s="310"/>
      <c r="G137" s="310"/>
      <c r="H137" s="311"/>
      <c r="I137" s="312">
        <f>I128+I135</f>
        <v>6517619.1399999997</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Payments'!Q68</f>
        <v>0</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3" t="s">
        <v>247</v>
      </c>
      <c r="B141" s="69"/>
      <c r="C141" s="69"/>
      <c r="D141" s="69"/>
      <c r="E141" s="69"/>
      <c r="F141" s="69"/>
      <c r="G141" s="69"/>
      <c r="H141" s="65"/>
      <c r="I141" s="101">
        <f>I137+I139</f>
        <v>6517619.1399999997</v>
      </c>
      <c r="N141" s="73"/>
      <c r="O141" s="73"/>
      <c r="P141" s="73"/>
      <c r="Q141" s="73"/>
      <c r="R141" s="73"/>
      <c r="S141" s="73"/>
      <c r="T141" s="73"/>
      <c r="U141" s="73"/>
    </row>
    <row r="142" spans="1:21" x14ac:dyDescent="0.25">
      <c r="A142" s="3"/>
      <c r="B142" s="69"/>
      <c r="C142" s="69"/>
      <c r="D142" s="69"/>
      <c r="E142" s="69"/>
      <c r="F142" s="69"/>
      <c r="G142" s="69"/>
      <c r="H142" s="65"/>
      <c r="I142" s="101"/>
      <c r="N142" s="73"/>
      <c r="O142" s="73"/>
      <c r="P142" s="73"/>
      <c r="Q142" s="73"/>
      <c r="R142" s="73"/>
      <c r="S142" s="73"/>
      <c r="T142" s="73"/>
      <c r="U142" s="73"/>
    </row>
    <row r="143" spans="1:21" x14ac:dyDescent="0.25">
      <c r="A143" s="3" t="s">
        <v>248</v>
      </c>
      <c r="B143" s="69"/>
      <c r="C143" s="69"/>
      <c r="D143" s="69"/>
      <c r="E143" s="69"/>
      <c r="F143" s="69"/>
      <c r="G143" s="69"/>
      <c r="H143" s="65"/>
      <c r="I143" s="273">
        <v>12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543134.93000000005</v>
      </c>
      <c r="K145" s="418"/>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85323.42</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ht="12.75" customHeight="1" x14ac:dyDescent="0.25">
      <c r="A151" s="344" t="s">
        <v>7</v>
      </c>
      <c r="B151" s="344"/>
      <c r="C151" s="344"/>
      <c r="D151" s="344"/>
      <c r="E151" s="344"/>
      <c r="F151" s="344"/>
      <c r="G151" s="344"/>
      <c r="H151" s="344"/>
      <c r="I151" s="344"/>
      <c r="J151" s="134"/>
      <c r="N151" s="73"/>
      <c r="O151" s="73"/>
      <c r="P151" s="73"/>
      <c r="Q151" s="73"/>
      <c r="R151" s="73"/>
      <c r="S151" s="73"/>
      <c r="T151" s="73"/>
      <c r="U151" s="73"/>
    </row>
    <row r="152" spans="1:21" ht="12.75" customHeight="1" x14ac:dyDescent="0.25">
      <c r="A152" s="345" t="s">
        <v>260</v>
      </c>
      <c r="B152" s="346"/>
      <c r="C152" s="346"/>
      <c r="D152" s="346"/>
      <c r="E152" s="346"/>
      <c r="F152" s="346"/>
      <c r="G152" s="346"/>
      <c r="H152" s="346"/>
      <c r="I152" s="346"/>
      <c r="J152" s="77"/>
      <c r="K152" s="323"/>
      <c r="L152" s="76"/>
      <c r="M152" s="76"/>
      <c r="N152" s="73"/>
      <c r="O152" s="73"/>
      <c r="P152" s="73"/>
      <c r="Q152" s="73"/>
      <c r="R152" s="73"/>
      <c r="S152" s="73"/>
      <c r="T152" s="73"/>
      <c r="U152" s="73"/>
    </row>
    <row r="153" spans="1:21" ht="12.75" customHeight="1" x14ac:dyDescent="0.25">
      <c r="A153" s="351" t="s">
        <v>372</v>
      </c>
      <c r="B153" s="346"/>
      <c r="C153" s="346"/>
      <c r="D153" s="346"/>
      <c r="E153" s="346"/>
      <c r="F153" s="346"/>
      <c r="G153" s="346"/>
      <c r="H153" s="346"/>
      <c r="I153" s="346"/>
      <c r="J153" s="77"/>
      <c r="K153" s="323"/>
      <c r="L153" s="76"/>
      <c r="M153" s="76"/>
      <c r="N153" s="73"/>
      <c r="O153" s="73"/>
      <c r="P153" s="73"/>
      <c r="Q153" s="73"/>
      <c r="R153" s="73"/>
      <c r="S153" s="73"/>
      <c r="T153" s="73"/>
      <c r="U153" s="73"/>
    </row>
    <row r="154" spans="1:21" ht="12.75" customHeight="1" x14ac:dyDescent="0.25">
      <c r="A154" s="348" t="s">
        <v>373</v>
      </c>
      <c r="B154" s="347"/>
      <c r="C154" s="347"/>
      <c r="D154" s="347"/>
      <c r="E154" s="347"/>
      <c r="F154" s="347"/>
      <c r="G154" s="347"/>
      <c r="H154" s="347"/>
      <c r="I154" s="347"/>
      <c r="J154" s="76"/>
      <c r="K154" s="76"/>
      <c r="L154" s="76"/>
      <c r="M154" s="76"/>
      <c r="N154" s="73"/>
      <c r="O154" s="73"/>
      <c r="P154" s="73"/>
      <c r="Q154" s="73"/>
      <c r="R154" s="73"/>
      <c r="S154" s="73"/>
      <c r="T154" s="73"/>
      <c r="U154" s="73"/>
    </row>
    <row r="155" spans="1:21" s="76" customFormat="1" ht="12.75" customHeight="1" x14ac:dyDescent="0.2">
      <c r="A155" s="348" t="s">
        <v>374</v>
      </c>
      <c r="B155" s="347"/>
      <c r="C155" s="347"/>
      <c r="D155" s="347"/>
      <c r="E155" s="347"/>
      <c r="F155" s="347"/>
      <c r="G155" s="347"/>
      <c r="H155" s="347"/>
      <c r="I155" s="347"/>
      <c r="N155" s="625"/>
      <c r="O155" s="625"/>
      <c r="P155" s="625"/>
      <c r="Q155" s="625"/>
      <c r="R155" s="625"/>
      <c r="S155" s="625"/>
      <c r="T155" s="625"/>
      <c r="U155" s="625"/>
    </row>
    <row r="156" spans="1:21" s="76" customFormat="1" ht="12.75" customHeight="1" x14ac:dyDescent="0.2">
      <c r="A156" s="348" t="s">
        <v>375</v>
      </c>
      <c r="B156" s="347"/>
      <c r="C156" s="347"/>
      <c r="D156" s="347"/>
      <c r="E156" s="347"/>
      <c r="F156" s="347"/>
      <c r="G156" s="347"/>
      <c r="H156" s="347"/>
      <c r="I156" s="347"/>
      <c r="N156" s="73"/>
      <c r="O156" s="73"/>
      <c r="P156" s="73"/>
      <c r="Q156" s="73"/>
      <c r="R156" s="73"/>
      <c r="S156" s="73"/>
      <c r="T156" s="73"/>
      <c r="U156" s="73"/>
    </row>
    <row r="157" spans="1:21" s="76" customFormat="1" ht="12.75" customHeight="1" x14ac:dyDescent="0.2">
      <c r="A157" s="348" t="s">
        <v>376</v>
      </c>
      <c r="B157" s="347"/>
      <c r="C157" s="347"/>
      <c r="D157" s="347"/>
      <c r="E157" s="347"/>
      <c r="F157" s="347"/>
      <c r="G157" s="347"/>
      <c r="H157" s="347"/>
      <c r="I157" s="347"/>
      <c r="N157" s="78"/>
      <c r="O157" s="79"/>
      <c r="P157" s="79"/>
      <c r="Q157" s="79"/>
      <c r="R157" s="79"/>
      <c r="S157" s="79"/>
      <c r="T157" s="79"/>
      <c r="U157" s="79"/>
    </row>
    <row r="158" spans="1:21" s="76" customFormat="1" ht="12.75" customHeight="1" x14ac:dyDescent="0.2">
      <c r="A158" s="348" t="s">
        <v>377</v>
      </c>
      <c r="B158" s="347"/>
      <c r="C158" s="347"/>
      <c r="D158" s="347"/>
      <c r="E158" s="347"/>
      <c r="F158" s="347"/>
      <c r="G158" s="347"/>
      <c r="H158" s="347"/>
      <c r="I158" s="347"/>
      <c r="N158" s="78"/>
    </row>
    <row r="159" spans="1:21" s="76" customFormat="1" ht="12.75" customHeight="1" x14ac:dyDescent="0.2">
      <c r="A159" s="348" t="s">
        <v>379</v>
      </c>
      <c r="B159" s="347"/>
      <c r="C159" s="347"/>
      <c r="D159" s="347"/>
      <c r="E159" s="347"/>
      <c r="F159" s="347"/>
      <c r="G159" s="347"/>
      <c r="H159" s="347"/>
      <c r="I159" s="347"/>
      <c r="K159" s="347"/>
      <c r="N159" s="78"/>
    </row>
    <row r="160" spans="1:21" s="76" customFormat="1" ht="12.75" customHeight="1" x14ac:dyDescent="0.2">
      <c r="A160" s="353" t="s">
        <v>378</v>
      </c>
      <c r="B160" s="347"/>
      <c r="C160" s="347"/>
      <c r="D160" s="347"/>
      <c r="E160" s="347"/>
      <c r="F160" s="347"/>
      <c r="G160" s="347"/>
      <c r="H160" s="347"/>
      <c r="I160" s="347"/>
      <c r="N160" s="78"/>
    </row>
    <row r="161" spans="1:14" s="76" customFormat="1" ht="12.75" customHeight="1" x14ac:dyDescent="0.2">
      <c r="A161" s="348" t="s">
        <v>380</v>
      </c>
      <c r="B161" s="347"/>
      <c r="C161" s="347"/>
      <c r="D161" s="347"/>
      <c r="E161" s="347"/>
      <c r="F161" s="347"/>
      <c r="G161" s="347"/>
      <c r="H161" s="347"/>
      <c r="I161" s="347"/>
      <c r="N161" s="78"/>
    </row>
    <row r="162" spans="1:14" s="76" customFormat="1" ht="12.75" customHeight="1" x14ac:dyDescent="0.2">
      <c r="A162" s="352" t="s">
        <v>261</v>
      </c>
      <c r="B162" s="347"/>
      <c r="C162" s="347"/>
      <c r="D162" s="347"/>
      <c r="E162" s="347"/>
      <c r="F162" s="347"/>
      <c r="G162" s="347"/>
      <c r="H162" s="347"/>
      <c r="I162" s="347"/>
      <c r="N162" s="78"/>
    </row>
    <row r="163" spans="1:14" s="76" customFormat="1" ht="12.75" customHeight="1" x14ac:dyDescent="0.2">
      <c r="A163" s="348" t="s">
        <v>383</v>
      </c>
      <c r="B163" s="347"/>
      <c r="C163" s="347"/>
      <c r="D163" s="347"/>
      <c r="E163" s="347"/>
      <c r="F163" s="347"/>
      <c r="G163" s="347"/>
      <c r="H163" s="347"/>
      <c r="I163" s="347"/>
      <c r="N163" s="78"/>
    </row>
    <row r="164" spans="1:14" s="76" customFormat="1" ht="12.75" customHeight="1" x14ac:dyDescent="0.2">
      <c r="A164" s="348" t="s">
        <v>288</v>
      </c>
      <c r="B164" s="347"/>
      <c r="C164" s="347"/>
      <c r="D164" s="347"/>
      <c r="E164" s="347"/>
      <c r="F164" s="347"/>
      <c r="G164" s="347"/>
      <c r="H164" s="347"/>
      <c r="I164" s="347"/>
      <c r="N164" s="78"/>
    </row>
    <row r="165" spans="1:14" s="76" customFormat="1" ht="12.75" customHeight="1" x14ac:dyDescent="0.2">
      <c r="A165" s="348" t="s">
        <v>385</v>
      </c>
      <c r="B165" s="347"/>
      <c r="C165" s="347"/>
      <c r="D165" s="347"/>
      <c r="E165" s="347"/>
      <c r="F165" s="347"/>
      <c r="G165" s="347"/>
      <c r="H165" s="347"/>
      <c r="I165" s="347"/>
      <c r="N165" s="78"/>
    </row>
    <row r="166" spans="1:14" s="76" customFormat="1" ht="12.75" customHeight="1" x14ac:dyDescent="0.2">
      <c r="A166" s="353" t="s">
        <v>384</v>
      </c>
      <c r="B166" s="347"/>
      <c r="C166" s="347"/>
      <c r="D166" s="347"/>
      <c r="E166" s="347"/>
      <c r="F166" s="347"/>
      <c r="G166" s="347"/>
      <c r="H166" s="347"/>
      <c r="I166" s="347"/>
      <c r="N166" s="78"/>
    </row>
    <row r="167" spans="1:14" s="76" customFormat="1" ht="12.75" customHeight="1" x14ac:dyDescent="0.2">
      <c r="A167" s="348" t="s">
        <v>386</v>
      </c>
      <c r="B167" s="347"/>
      <c r="C167" s="347"/>
      <c r="D167" s="347"/>
      <c r="E167" s="347"/>
      <c r="F167" s="347"/>
      <c r="G167" s="347"/>
      <c r="H167" s="347"/>
      <c r="I167" s="347"/>
      <c r="N167" s="78"/>
    </row>
    <row r="168" spans="1:14" s="76" customFormat="1" ht="12.75" customHeight="1" x14ac:dyDescent="0.2">
      <c r="A168" s="353" t="s">
        <v>262</v>
      </c>
      <c r="B168" s="347"/>
      <c r="C168" s="347"/>
      <c r="D168" s="347"/>
      <c r="E168" s="347"/>
      <c r="F168" s="347"/>
      <c r="G168" s="347"/>
      <c r="H168" s="347"/>
      <c r="I168" s="347"/>
      <c r="N168" s="78"/>
    </row>
    <row r="169" spans="1:14" s="76" customFormat="1" ht="12.75" customHeight="1" x14ac:dyDescent="0.2">
      <c r="A169" s="348" t="s">
        <v>388</v>
      </c>
      <c r="B169" s="347"/>
      <c r="C169" s="347"/>
      <c r="D169" s="347"/>
      <c r="E169" s="347"/>
      <c r="F169" s="347"/>
      <c r="G169" s="347"/>
      <c r="H169" s="347"/>
      <c r="I169" s="347"/>
      <c r="N169" s="78"/>
    </row>
    <row r="170" spans="1:14" s="76" customFormat="1" ht="12.75" customHeight="1" x14ac:dyDescent="0.2">
      <c r="A170" s="353" t="s">
        <v>387</v>
      </c>
      <c r="B170" s="347"/>
      <c r="C170" s="347"/>
      <c r="D170" s="347"/>
      <c r="E170" s="347"/>
      <c r="F170" s="347"/>
      <c r="G170" s="347"/>
      <c r="H170" s="347"/>
      <c r="I170" s="347"/>
      <c r="N170" s="78"/>
    </row>
    <row r="171" spans="1:14" s="76" customFormat="1" ht="12.75" customHeight="1" x14ac:dyDescent="0.2">
      <c r="A171" s="348"/>
      <c r="B171" s="347"/>
      <c r="C171" s="347"/>
      <c r="D171" s="347"/>
      <c r="E171" s="347"/>
      <c r="F171" s="347"/>
      <c r="G171" s="347"/>
      <c r="H171" s="347"/>
      <c r="I171" s="347"/>
      <c r="N171" s="78"/>
    </row>
    <row r="172" spans="1:14" s="76" customFormat="1" ht="12.75" customHeight="1" x14ac:dyDescent="0.2">
      <c r="A172" s="356" t="s">
        <v>67</v>
      </c>
      <c r="B172" s="347"/>
      <c r="C172" s="347"/>
      <c r="D172" s="347"/>
      <c r="E172" s="347"/>
      <c r="F172" s="347"/>
      <c r="G172" s="347"/>
      <c r="H172" s="347"/>
      <c r="I172" s="347"/>
      <c r="N172" s="78"/>
    </row>
    <row r="173" spans="1:14" s="76" customFormat="1" ht="12.75" customHeight="1" x14ac:dyDescent="0.2">
      <c r="A173" s="349" t="s">
        <v>263</v>
      </c>
      <c r="B173" s="350"/>
      <c r="C173" s="350"/>
      <c r="D173" s="350"/>
      <c r="E173" s="350"/>
      <c r="F173" s="350"/>
      <c r="G173" s="350"/>
      <c r="H173" s="350"/>
      <c r="I173" s="350"/>
      <c r="N173" s="78"/>
    </row>
    <row r="174" spans="1:14" s="76" customFormat="1" ht="12.75" customHeight="1" x14ac:dyDescent="0.2">
      <c r="A174" s="354" t="s">
        <v>301</v>
      </c>
      <c r="B174" s="357"/>
      <c r="C174" s="357"/>
      <c r="D174" s="357"/>
      <c r="E174" s="357"/>
      <c r="F174" s="357"/>
      <c r="G174" s="357"/>
      <c r="H174" s="357"/>
      <c r="I174" s="357"/>
      <c r="N174" s="78"/>
    </row>
    <row r="175" spans="1:14" s="76" customFormat="1" ht="12.75" customHeight="1" x14ac:dyDescent="0.2">
      <c r="A175" s="354" t="s">
        <v>389</v>
      </c>
      <c r="B175" s="357"/>
      <c r="C175" s="357"/>
      <c r="D175" s="357"/>
      <c r="E175" s="357"/>
      <c r="F175" s="357"/>
      <c r="G175" s="357"/>
      <c r="H175" s="357"/>
      <c r="I175" s="357"/>
      <c r="N175" s="78"/>
    </row>
    <row r="176" spans="1:14" s="76" customFormat="1" ht="12.75" customHeight="1" x14ac:dyDescent="0.2">
      <c r="A176" s="354" t="s">
        <v>390</v>
      </c>
      <c r="B176" s="357"/>
      <c r="C176" s="357"/>
      <c r="D176" s="357"/>
      <c r="E176" s="357"/>
      <c r="F176" s="357"/>
      <c r="G176" s="357"/>
      <c r="H176" s="357"/>
      <c r="I176" s="357"/>
      <c r="N176" s="78"/>
    </row>
    <row r="177" spans="1:21" s="76" customFormat="1" ht="12.75" customHeight="1" x14ac:dyDescent="0.2">
      <c r="A177" s="349"/>
      <c r="B177" s="357"/>
      <c r="C177" s="357"/>
      <c r="D177" s="357"/>
      <c r="E177" s="357"/>
      <c r="F177" s="357"/>
      <c r="G177" s="357"/>
      <c r="H177" s="357"/>
      <c r="I177" s="357"/>
      <c r="N177" s="78"/>
    </row>
    <row r="178" spans="1:21" s="76" customFormat="1" ht="12.75" customHeight="1" x14ac:dyDescent="0.25">
      <c r="A178" s="349" t="s">
        <v>302</v>
      </c>
      <c r="B178" s="350"/>
      <c r="C178" s="350"/>
      <c r="D178" s="350"/>
      <c r="E178" s="350"/>
      <c r="F178" s="350"/>
      <c r="G178" s="350"/>
      <c r="H178" s="350"/>
      <c r="I178" s="350"/>
      <c r="J178" s="3"/>
      <c r="K178" s="3"/>
      <c r="L178" s="3"/>
      <c r="M178" s="3"/>
      <c r="N178" s="78"/>
    </row>
    <row r="179" spans="1:21" s="76" customFormat="1" ht="12.75" customHeight="1" x14ac:dyDescent="0.25">
      <c r="A179" s="354" t="s">
        <v>301</v>
      </c>
      <c r="B179" s="350"/>
      <c r="C179" s="350"/>
      <c r="D179" s="350"/>
      <c r="E179" s="350"/>
      <c r="F179" s="350"/>
      <c r="G179" s="350"/>
      <c r="H179" s="350"/>
      <c r="I179" s="350"/>
      <c r="J179" s="3"/>
      <c r="K179" s="3"/>
      <c r="L179" s="3"/>
      <c r="M179" s="3"/>
      <c r="N179" s="78"/>
    </row>
    <row r="180" spans="1:21" s="76" customFormat="1" ht="12.75" customHeight="1" x14ac:dyDescent="0.25">
      <c r="A180" s="354" t="s">
        <v>303</v>
      </c>
      <c r="B180" s="350"/>
      <c r="C180" s="350"/>
      <c r="D180" s="350"/>
      <c r="E180" s="350"/>
      <c r="F180" s="350"/>
      <c r="G180" s="350"/>
      <c r="H180" s="350"/>
      <c r="I180" s="350"/>
      <c r="J180" s="3"/>
      <c r="K180" s="3"/>
      <c r="L180" s="3"/>
      <c r="M180" s="3"/>
      <c r="N180" s="78"/>
    </row>
    <row r="181" spans="1:21" s="76" customFormat="1" ht="12.75" customHeight="1" x14ac:dyDescent="0.25">
      <c r="A181" s="350"/>
      <c r="B181" s="350"/>
      <c r="C181" s="350"/>
      <c r="D181" s="350"/>
      <c r="E181" s="350"/>
      <c r="F181" s="350"/>
      <c r="G181" s="350"/>
      <c r="H181" s="350"/>
      <c r="I181" s="350"/>
      <c r="J181" s="3"/>
      <c r="K181" s="3"/>
      <c r="L181" s="3"/>
      <c r="M181" s="3"/>
      <c r="N181" s="78"/>
    </row>
    <row r="182" spans="1:21" s="76" customFormat="1" ht="12.75" customHeight="1" x14ac:dyDescent="0.2">
      <c r="A182" s="356" t="s">
        <v>68</v>
      </c>
      <c r="B182" s="356"/>
      <c r="C182" s="356"/>
      <c r="D182" s="356"/>
      <c r="E182" s="356"/>
      <c r="F182" s="356"/>
      <c r="G182" s="356"/>
      <c r="H182" s="356"/>
      <c r="I182" s="356"/>
      <c r="N182" s="78"/>
    </row>
    <row r="183" spans="1:21" ht="12.75" customHeight="1" x14ac:dyDescent="0.25">
      <c r="A183" s="349" t="s">
        <v>264</v>
      </c>
      <c r="B183" s="350"/>
      <c r="C183" s="350"/>
      <c r="D183" s="350"/>
      <c r="E183" s="350"/>
      <c r="F183" s="350"/>
      <c r="G183" s="350"/>
      <c r="H183" s="350"/>
      <c r="I183" s="350"/>
      <c r="J183" s="76"/>
      <c r="K183" s="76"/>
      <c r="L183" s="76"/>
      <c r="M183" s="76"/>
      <c r="N183" s="78"/>
      <c r="O183" s="76"/>
      <c r="P183" s="76"/>
      <c r="Q183" s="76"/>
      <c r="R183" s="76"/>
      <c r="S183" s="76"/>
      <c r="T183" s="76"/>
      <c r="U183" s="76"/>
    </row>
    <row r="184" spans="1:21" ht="12.75" customHeight="1" x14ac:dyDescent="0.25">
      <c r="A184" s="354" t="s">
        <v>265</v>
      </c>
      <c r="B184" s="357"/>
      <c r="C184" s="357"/>
      <c r="D184" s="357"/>
      <c r="E184" s="357"/>
      <c r="F184" s="357"/>
      <c r="G184" s="357"/>
      <c r="H184" s="357"/>
      <c r="I184" s="357"/>
      <c r="J184" s="76"/>
      <c r="K184" s="76"/>
      <c r="L184" s="76"/>
      <c r="M184" s="76"/>
      <c r="N184" s="78"/>
      <c r="O184" s="76"/>
      <c r="P184" s="76"/>
      <c r="Q184" s="76"/>
      <c r="R184" s="76"/>
      <c r="S184" s="76"/>
      <c r="T184" s="76"/>
      <c r="U184" s="76"/>
    </row>
    <row r="185" spans="1:21" s="76" customFormat="1" ht="12.75" customHeight="1" x14ac:dyDescent="0.25">
      <c r="A185" s="350" t="s">
        <v>11</v>
      </c>
      <c r="B185" s="350"/>
      <c r="C185" s="350"/>
      <c r="D185" s="350"/>
      <c r="E185" s="350"/>
      <c r="F185" s="350"/>
      <c r="G185" s="350"/>
      <c r="H185" s="350"/>
      <c r="I185" s="350"/>
      <c r="N185" s="74"/>
      <c r="O185" s="3"/>
      <c r="P185" s="3"/>
      <c r="Q185" s="3"/>
      <c r="R185" s="3"/>
      <c r="S185" s="3"/>
      <c r="T185" s="3"/>
      <c r="U185" s="3"/>
    </row>
    <row r="186" spans="1:21" s="76" customFormat="1" ht="15.75" customHeight="1" x14ac:dyDescent="0.25">
      <c r="A186" s="293"/>
      <c r="B186" s="293"/>
      <c r="C186" s="293"/>
      <c r="D186" s="293"/>
      <c r="E186" s="293"/>
      <c r="F186" s="293"/>
      <c r="G186" s="293"/>
      <c r="H186" s="293"/>
      <c r="I186" s="293"/>
      <c r="J186" s="3"/>
      <c r="K186" s="3"/>
      <c r="L186" s="3"/>
      <c r="M186" s="3"/>
      <c r="N186" s="78"/>
    </row>
    <row r="187" spans="1:21" s="76" customFormat="1" ht="15.75" customHeight="1" x14ac:dyDescent="0.25">
      <c r="A187" s="74"/>
      <c r="B187" s="3"/>
      <c r="C187" s="3"/>
      <c r="D187" s="3"/>
      <c r="E187" s="3"/>
      <c r="F187" s="3"/>
      <c r="G187" s="3"/>
      <c r="H187" s="3"/>
      <c r="I187" s="3"/>
      <c r="J187" s="3"/>
      <c r="K187" s="3"/>
      <c r="L187" s="3"/>
      <c r="M187" s="3"/>
      <c r="N187" s="78"/>
    </row>
    <row r="188" spans="1:21" ht="15.75" customHeight="1" x14ac:dyDescent="0.25">
      <c r="A188" s="74"/>
      <c r="N188" s="78"/>
      <c r="O188" s="76"/>
      <c r="P188" s="76"/>
      <c r="Q188" s="76"/>
      <c r="R188" s="76"/>
      <c r="S188" s="76"/>
      <c r="T188" s="76"/>
      <c r="U188" s="76"/>
    </row>
    <row r="189" spans="1:21" ht="15.75" customHeight="1" x14ac:dyDescent="0.25">
      <c r="A189" s="74"/>
      <c r="N189" s="78"/>
      <c r="O189" s="76"/>
      <c r="P189" s="76"/>
      <c r="Q189" s="76"/>
      <c r="R189" s="76"/>
      <c r="S189" s="76"/>
      <c r="T189" s="76"/>
      <c r="U189" s="76"/>
    </row>
    <row r="190" spans="1:21" ht="15.75" customHeight="1" x14ac:dyDescent="0.25">
      <c r="A190" s="74"/>
      <c r="B190" s="135"/>
      <c r="C190" s="135"/>
      <c r="D190" s="135"/>
      <c r="E190" s="135"/>
      <c r="F190" s="135"/>
      <c r="G190" s="135"/>
      <c r="H190" s="135"/>
      <c r="I190" s="135"/>
      <c r="N190" s="74"/>
    </row>
    <row r="191" spans="1:21" ht="15.75" customHeight="1" x14ac:dyDescent="0.25">
      <c r="A191" s="74"/>
      <c r="N191" s="74"/>
    </row>
    <row r="192" spans="1:21" ht="15.75" customHeight="1" x14ac:dyDescent="0.25">
      <c r="A192" s="74"/>
      <c r="N192" s="74"/>
    </row>
    <row r="193" spans="1:14" ht="15.75" customHeight="1" x14ac:dyDescent="0.25">
      <c r="A193" s="74"/>
      <c r="N193" s="74"/>
    </row>
    <row r="194" spans="1:14" ht="15.75" customHeight="1" x14ac:dyDescent="0.25">
      <c r="A194" s="74"/>
      <c r="N194" s="74"/>
    </row>
    <row r="195" spans="1:14" ht="15.75" customHeight="1" x14ac:dyDescent="0.25">
      <c r="A195" s="74"/>
      <c r="N195" s="74"/>
    </row>
    <row r="196" spans="1:14" ht="15.75" customHeight="1" x14ac:dyDescent="0.25">
      <c r="A196" s="74"/>
      <c r="N196" s="74"/>
    </row>
    <row r="197" spans="1:14" ht="15.75" customHeight="1" x14ac:dyDescent="0.25">
      <c r="A197" s="74"/>
      <c r="N197" s="74"/>
    </row>
    <row r="198" spans="1:14" ht="15.75" customHeight="1" x14ac:dyDescent="0.25">
      <c r="A198" s="74"/>
      <c r="N198" s="74"/>
    </row>
    <row r="199" spans="1:14" ht="15.75" customHeight="1" x14ac:dyDescent="0.25">
      <c r="A199" s="74"/>
      <c r="N199" s="74"/>
    </row>
    <row r="200" spans="1:14" ht="15.75" customHeight="1" x14ac:dyDescent="0.25">
      <c r="A200" s="74"/>
      <c r="N200" s="74"/>
    </row>
    <row r="201" spans="1:14" ht="15.75" customHeight="1" x14ac:dyDescent="0.25">
      <c r="A201" s="74"/>
      <c r="N201" s="74"/>
    </row>
    <row r="202" spans="1:14" ht="15.75" customHeight="1" x14ac:dyDescent="0.25">
      <c r="A202" s="74"/>
      <c r="N202" s="74"/>
    </row>
    <row r="203" spans="1:14" ht="15.75" customHeight="1" x14ac:dyDescent="0.25">
      <c r="A203" s="74"/>
      <c r="N203" s="74"/>
    </row>
    <row r="204" spans="1:14" ht="15.75" customHeight="1" x14ac:dyDescent="0.25">
      <c r="A204" s="74"/>
      <c r="N204" s="74"/>
    </row>
    <row r="205" spans="1:14" x14ac:dyDescent="0.25">
      <c r="A205" s="74"/>
      <c r="N205" s="74"/>
    </row>
    <row r="206" spans="1:14" x14ac:dyDescent="0.25">
      <c r="A206" s="74"/>
      <c r="N206" s="74"/>
    </row>
    <row r="207" spans="1:14" x14ac:dyDescent="0.25">
      <c r="A207" s="74"/>
      <c r="N207" s="74"/>
    </row>
    <row r="208" spans="1:14" x14ac:dyDescent="0.25">
      <c r="A208" s="74"/>
      <c r="N208" s="74"/>
    </row>
    <row r="209" spans="1:14" x14ac:dyDescent="0.25">
      <c r="A209" s="74"/>
      <c r="N209" s="74"/>
    </row>
    <row r="210" spans="1:14" x14ac:dyDescent="0.25">
      <c r="A210" s="74"/>
      <c r="N210" s="74"/>
    </row>
    <row r="211" spans="1:14" x14ac:dyDescent="0.25">
      <c r="A211" s="74"/>
      <c r="N211" s="74"/>
    </row>
    <row r="212" spans="1:14" x14ac:dyDescent="0.25">
      <c r="A212" s="74"/>
      <c r="N212" s="74"/>
    </row>
    <row r="213" spans="1:14" x14ac:dyDescent="0.25">
      <c r="A213" s="74"/>
      <c r="N213" s="74"/>
    </row>
    <row r="214" spans="1:14" x14ac:dyDescent="0.25">
      <c r="A214" s="74"/>
      <c r="N214" s="74"/>
    </row>
    <row r="215" spans="1:14" x14ac:dyDescent="0.25">
      <c r="A215" s="74"/>
      <c r="N215" s="74"/>
    </row>
    <row r="216" spans="1:14" x14ac:dyDescent="0.25">
      <c r="A216" s="74"/>
      <c r="N216" s="74"/>
    </row>
    <row r="217" spans="1:14" x14ac:dyDescent="0.25">
      <c r="A217" s="74"/>
      <c r="N217" s="74"/>
    </row>
    <row r="218" spans="1:14" x14ac:dyDescent="0.25">
      <c r="A218" s="74"/>
      <c r="N218" s="74"/>
    </row>
    <row r="219" spans="1:14" x14ac:dyDescent="0.25">
      <c r="A219" s="74"/>
      <c r="N219" s="74"/>
    </row>
    <row r="220" spans="1:14" x14ac:dyDescent="0.25">
      <c r="A220" s="74"/>
      <c r="N220" s="74"/>
    </row>
    <row r="221" spans="1:14" x14ac:dyDescent="0.25">
      <c r="A221" s="74"/>
      <c r="N221" s="74"/>
    </row>
    <row r="222" spans="1:14" x14ac:dyDescent="0.25">
      <c r="A222" s="74"/>
      <c r="N222" s="74"/>
    </row>
    <row r="223" spans="1:14" x14ac:dyDescent="0.25">
      <c r="A223" s="74"/>
      <c r="N223" s="74"/>
    </row>
    <row r="224" spans="1:14" x14ac:dyDescent="0.25">
      <c r="A224" s="74"/>
      <c r="N224" s="74"/>
    </row>
    <row r="225" spans="1:14" x14ac:dyDescent="0.25">
      <c r="A225" s="74"/>
      <c r="N225" s="74"/>
    </row>
    <row r="226" spans="1:14" x14ac:dyDescent="0.25">
      <c r="A226" s="74"/>
      <c r="N226" s="74"/>
    </row>
    <row r="227" spans="1:14" x14ac:dyDescent="0.25">
      <c r="A227" s="74"/>
      <c r="N227" s="74"/>
    </row>
    <row r="228" spans="1:14" x14ac:dyDescent="0.25">
      <c r="A228" s="74"/>
      <c r="N228" s="74"/>
    </row>
    <row r="229" spans="1:14" x14ac:dyDescent="0.25">
      <c r="A229" s="74"/>
      <c r="N229" s="74"/>
    </row>
    <row r="230" spans="1:14" x14ac:dyDescent="0.25">
      <c r="A230" s="74"/>
      <c r="N230" s="74"/>
    </row>
    <row r="231" spans="1:14" x14ac:dyDescent="0.25">
      <c r="A231" s="74"/>
    </row>
    <row r="232" spans="1:14" x14ac:dyDescent="0.25">
      <c r="A232" s="74"/>
    </row>
    <row r="233" spans="1:14" x14ac:dyDescent="0.25">
      <c r="A233" s="74"/>
    </row>
    <row r="234" spans="1:14" x14ac:dyDescent="0.25">
      <c r="A234" s="74"/>
    </row>
    <row r="235" spans="1:14" x14ac:dyDescent="0.25">
      <c r="A235" s="74"/>
    </row>
    <row r="236" spans="1:14" x14ac:dyDescent="0.25">
      <c r="A236" s="74"/>
    </row>
    <row r="237" spans="1:14" x14ac:dyDescent="0.25">
      <c r="A237" s="74"/>
    </row>
    <row r="238" spans="1:14" x14ac:dyDescent="0.25">
      <c r="A238" s="74"/>
    </row>
    <row r="239" spans="1:14" x14ac:dyDescent="0.25">
      <c r="A239" s="74"/>
    </row>
    <row r="240" spans="1:14" x14ac:dyDescent="0.25">
      <c r="A240" s="74"/>
    </row>
    <row r="241" spans="1:1" x14ac:dyDescent="0.25">
      <c r="A241" s="74"/>
    </row>
    <row r="242" spans="1:1" x14ac:dyDescent="0.25">
      <c r="A242" s="74"/>
    </row>
    <row r="243" spans="1:1" x14ac:dyDescent="0.25">
      <c r="A243" s="74"/>
    </row>
    <row r="244" spans="1:1" x14ac:dyDescent="0.25">
      <c r="A244" s="74"/>
    </row>
    <row r="245" spans="1:1" x14ac:dyDescent="0.25">
      <c r="A245" s="74"/>
    </row>
    <row r="246" spans="1:1" x14ac:dyDescent="0.25">
      <c r="A246" s="74"/>
    </row>
  </sheetData>
  <mergeCells count="258">
    <mergeCell ref="A128:H128"/>
    <mergeCell ref="A133:G133"/>
    <mergeCell ref="A132:G132"/>
    <mergeCell ref="F126:H126"/>
    <mergeCell ref="A40:B40"/>
    <mergeCell ref="A41:B41"/>
    <mergeCell ref="A124:B124"/>
    <mergeCell ref="A123:B123"/>
    <mergeCell ref="A122:B122"/>
    <mergeCell ref="A108:I108"/>
    <mergeCell ref="F121:G121"/>
    <mergeCell ref="A88:C88"/>
    <mergeCell ref="C107:D107"/>
    <mergeCell ref="A120:B120"/>
    <mergeCell ref="F110:I110"/>
    <mergeCell ref="F120:G120"/>
    <mergeCell ref="A126:C126"/>
    <mergeCell ref="A42:B42"/>
    <mergeCell ref="A94:C94"/>
    <mergeCell ref="C104:D104"/>
    <mergeCell ref="A78:B78"/>
    <mergeCell ref="D78:G78"/>
    <mergeCell ref="A81:B81"/>
    <mergeCell ref="D81:G81"/>
    <mergeCell ref="F29:G29"/>
    <mergeCell ref="A25:B25"/>
    <mergeCell ref="A26:B26"/>
    <mergeCell ref="A38:B38"/>
    <mergeCell ref="F123:G123"/>
    <mergeCell ref="C106:D106"/>
    <mergeCell ref="A72:B72"/>
    <mergeCell ref="C105:D105"/>
    <mergeCell ref="F34:H37"/>
    <mergeCell ref="A37:B37"/>
    <mergeCell ref="F122:G122"/>
    <mergeCell ref="A87:C87"/>
    <mergeCell ref="A121:B121"/>
    <mergeCell ref="A117:C117"/>
    <mergeCell ref="F117:I117"/>
    <mergeCell ref="A113:B113"/>
    <mergeCell ref="A114:B114"/>
    <mergeCell ref="F30:G30"/>
    <mergeCell ref="A69:B69"/>
    <mergeCell ref="A96:C96"/>
    <mergeCell ref="A75:B75"/>
    <mergeCell ref="D75:G75"/>
    <mergeCell ref="A57:B65"/>
    <mergeCell ref="F66:H66"/>
    <mergeCell ref="A4:B4"/>
    <mergeCell ref="C4:E4"/>
    <mergeCell ref="F11:G11"/>
    <mergeCell ref="A15:B15"/>
    <mergeCell ref="F15:G15"/>
    <mergeCell ref="F12:G12"/>
    <mergeCell ref="F13:G13"/>
    <mergeCell ref="A13:B13"/>
    <mergeCell ref="A29:B29"/>
    <mergeCell ref="A27:B27"/>
    <mergeCell ref="A28:B28"/>
    <mergeCell ref="F14:G14"/>
    <mergeCell ref="A20:B20"/>
    <mergeCell ref="A19:B19"/>
    <mergeCell ref="A14:B14"/>
    <mergeCell ref="A16:B16"/>
    <mergeCell ref="F19:G19"/>
    <mergeCell ref="A18:B18"/>
    <mergeCell ref="F25:G25"/>
    <mergeCell ref="F26:G26"/>
    <mergeCell ref="A23:B23"/>
    <mergeCell ref="F24:G24"/>
    <mergeCell ref="F27:G27"/>
    <mergeCell ref="F28:G28"/>
    <mergeCell ref="O1:U1"/>
    <mergeCell ref="N2:U2"/>
    <mergeCell ref="N3:U3"/>
    <mergeCell ref="N4:O4"/>
    <mergeCell ref="P4:Q4"/>
    <mergeCell ref="A43:B43"/>
    <mergeCell ref="N7:U7"/>
    <mergeCell ref="A39:B39"/>
    <mergeCell ref="A30:B30"/>
    <mergeCell ref="A24:B24"/>
    <mergeCell ref="A22:B22"/>
    <mergeCell ref="F22:G22"/>
    <mergeCell ref="F23:G23"/>
    <mergeCell ref="A17:B17"/>
    <mergeCell ref="F16:G16"/>
    <mergeCell ref="F18:G18"/>
    <mergeCell ref="F17:G17"/>
    <mergeCell ref="F20:G20"/>
    <mergeCell ref="F21:G21"/>
    <mergeCell ref="A21:B21"/>
    <mergeCell ref="B1:I1"/>
    <mergeCell ref="A7:I7"/>
    <mergeCell ref="N8:O8"/>
    <mergeCell ref="P8:Q8"/>
    <mergeCell ref="N16:O16"/>
    <mergeCell ref="P16:Q16"/>
    <mergeCell ref="R16:S16"/>
    <mergeCell ref="N13:O13"/>
    <mergeCell ref="P13:Q13"/>
    <mergeCell ref="R13:S13"/>
    <mergeCell ref="N14:O14"/>
    <mergeCell ref="P14:Q14"/>
    <mergeCell ref="R14:S14"/>
    <mergeCell ref="R8:S8"/>
    <mergeCell ref="T8:U8"/>
    <mergeCell ref="R11:S11"/>
    <mergeCell ref="N12:O12"/>
    <mergeCell ref="P12:Q12"/>
    <mergeCell ref="R12:S12"/>
    <mergeCell ref="N15:O15"/>
    <mergeCell ref="P15:Q15"/>
    <mergeCell ref="R15:S15"/>
    <mergeCell ref="T9:U9"/>
    <mergeCell ref="R20:S20"/>
    <mergeCell ref="N17:O17"/>
    <mergeCell ref="P17:Q17"/>
    <mergeCell ref="R17:S17"/>
    <mergeCell ref="N18:O18"/>
    <mergeCell ref="P18:Q18"/>
    <mergeCell ref="R18:S18"/>
    <mergeCell ref="N20:O20"/>
    <mergeCell ref="P20:Q20"/>
    <mergeCell ref="N19:O19"/>
    <mergeCell ref="P19:Q19"/>
    <mergeCell ref="R19:S19"/>
    <mergeCell ref="N24:O24"/>
    <mergeCell ref="P24:Q24"/>
    <mergeCell ref="R24:S24"/>
    <mergeCell ref="N21:O21"/>
    <mergeCell ref="P21:Q21"/>
    <mergeCell ref="R21:S21"/>
    <mergeCell ref="N22:O22"/>
    <mergeCell ref="P22:Q22"/>
    <mergeCell ref="R22:S22"/>
    <mergeCell ref="N23:O23"/>
    <mergeCell ref="P23:Q23"/>
    <mergeCell ref="R23:S23"/>
    <mergeCell ref="N27:O27"/>
    <mergeCell ref="P27:Q27"/>
    <mergeCell ref="R27:S27"/>
    <mergeCell ref="N28:O28"/>
    <mergeCell ref="P28:Q28"/>
    <mergeCell ref="R28:S28"/>
    <mergeCell ref="N25:O25"/>
    <mergeCell ref="P25:Q25"/>
    <mergeCell ref="R25:S25"/>
    <mergeCell ref="N26:O26"/>
    <mergeCell ref="P26:Q26"/>
    <mergeCell ref="R26:S26"/>
    <mergeCell ref="P42:T42"/>
    <mergeCell ref="N35:T35"/>
    <mergeCell ref="N37:O37"/>
    <mergeCell ref="P37:T37"/>
    <mergeCell ref="N38:O38"/>
    <mergeCell ref="P38:T38"/>
    <mergeCell ref="N39:O39"/>
    <mergeCell ref="P39:T39"/>
    <mergeCell ref="N29:O29"/>
    <mergeCell ref="P29:Q29"/>
    <mergeCell ref="R29:S29"/>
    <mergeCell ref="N30:O30"/>
    <mergeCell ref="P30:Q30"/>
    <mergeCell ref="R30:S30"/>
    <mergeCell ref="N40:O40"/>
    <mergeCell ref="P40:T40"/>
    <mergeCell ref="N41:O41"/>
    <mergeCell ref="P41:T41"/>
    <mergeCell ref="N42:O42"/>
    <mergeCell ref="N94:P94"/>
    <mergeCell ref="N103:O103"/>
    <mergeCell ref="P103:Q103"/>
    <mergeCell ref="R103:U103"/>
    <mergeCell ref="Q72:S72"/>
    <mergeCell ref="N73:S73"/>
    <mergeCell ref="T73:U73"/>
    <mergeCell ref="N87:P87"/>
    <mergeCell ref="N78:O78"/>
    <mergeCell ref="Q78:S78"/>
    <mergeCell ref="T78:U78"/>
    <mergeCell ref="N79:S79"/>
    <mergeCell ref="T79:U79"/>
    <mergeCell ref="N72:O72"/>
    <mergeCell ref="T72:U72"/>
    <mergeCell ref="N81:O81"/>
    <mergeCell ref="Q81:S81"/>
    <mergeCell ref="T81:U81"/>
    <mergeCell ref="N82:S82"/>
    <mergeCell ref="T82:U82"/>
    <mergeCell ref="N88:P88"/>
    <mergeCell ref="N75:O75"/>
    <mergeCell ref="Q75:S75"/>
    <mergeCell ref="N136:U136"/>
    <mergeCell ref="N155:U155"/>
    <mergeCell ref="D69:G69"/>
    <mergeCell ref="D72:G72"/>
    <mergeCell ref="C102:D102"/>
    <mergeCell ref="C103:D103"/>
    <mergeCell ref="F119:G119"/>
    <mergeCell ref="C118:E118"/>
    <mergeCell ref="N126:P126"/>
    <mergeCell ref="N130:T130"/>
    <mergeCell ref="N135:U135"/>
    <mergeCell ref="N123:O123"/>
    <mergeCell ref="P123:Q123"/>
    <mergeCell ref="R123:S123"/>
    <mergeCell ref="N124:O124"/>
    <mergeCell ref="N121:O121"/>
    <mergeCell ref="P121:Q121"/>
    <mergeCell ref="R121:S121"/>
    <mergeCell ref="N122:O122"/>
    <mergeCell ref="P122:Q122"/>
    <mergeCell ref="R122:S122"/>
    <mergeCell ref="N113:O113"/>
    <mergeCell ref="P113:R113"/>
    <mergeCell ref="N114:O114"/>
    <mergeCell ref="N43:O43"/>
    <mergeCell ref="P43:T43"/>
    <mergeCell ref="N44:Q44"/>
    <mergeCell ref="S44:T44"/>
    <mergeCell ref="N46:Q46"/>
    <mergeCell ref="S46:T46"/>
    <mergeCell ref="N57:O65"/>
    <mergeCell ref="P56:Q56"/>
    <mergeCell ref="P57:Q57"/>
    <mergeCell ref="P58:Q58"/>
    <mergeCell ref="P59:Q59"/>
    <mergeCell ref="P60:Q60"/>
    <mergeCell ref="P61:Q61"/>
    <mergeCell ref="P62:Q62"/>
    <mergeCell ref="P63:Q63"/>
    <mergeCell ref="P64:Q64"/>
    <mergeCell ref="P65:Q65"/>
    <mergeCell ref="N132:T132"/>
    <mergeCell ref="P66:Q66"/>
    <mergeCell ref="R66:T66"/>
    <mergeCell ref="T75:U75"/>
    <mergeCell ref="N76:S76"/>
    <mergeCell ref="T76:U76"/>
    <mergeCell ref="N70:S70"/>
    <mergeCell ref="T70:U70"/>
    <mergeCell ref="N69:O69"/>
    <mergeCell ref="Q69:S69"/>
    <mergeCell ref="T69:U69"/>
    <mergeCell ref="P114:R114"/>
    <mergeCell ref="N117:U117"/>
    <mergeCell ref="N120:O120"/>
    <mergeCell ref="P120:Q120"/>
    <mergeCell ref="R120:S120"/>
    <mergeCell ref="P104:Q104"/>
    <mergeCell ref="P105:Q105"/>
    <mergeCell ref="P106:Q106"/>
    <mergeCell ref="P107:T107"/>
    <mergeCell ref="N108:U108"/>
    <mergeCell ref="N110:P110"/>
    <mergeCell ref="Q110:T110"/>
    <mergeCell ref="N96:P96"/>
  </mergeCells>
  <phoneticPr fontId="4" type="noConversion"/>
  <printOptions horizontalCentered="1" headings="1"/>
  <pageMargins left="0.1" right="0.1" top="0.25" bottom="0.5" header="0" footer="0.1"/>
  <pageSetup scale="77" fitToHeight="2" orientation="portrait" r:id="rId1"/>
  <headerFooter alignWithMargins="0">
    <oddFooter>&amp;R&amp;P of &amp;N</oddFooter>
  </headerFooter>
  <rowBreaks count="1" manualBreakCount="1">
    <brk id="76" max="16383" man="1"/>
  </rowBreaks>
  <colBreaks count="1" manualBreakCount="1">
    <brk id="9" max="1048575"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62">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6" t="s">
        <v>15</v>
      </c>
      <c r="C1" s="567"/>
      <c r="D1" s="567"/>
      <c r="E1" s="567"/>
      <c r="F1" s="567"/>
      <c r="G1" s="567"/>
      <c r="H1" s="567"/>
      <c r="I1" s="567"/>
      <c r="J1" s="135"/>
      <c r="K1" s="135"/>
      <c r="L1" s="135"/>
      <c r="N1" s="82">
        <f>A1</f>
        <v>0</v>
      </c>
      <c r="O1" s="658" t="s">
        <v>15</v>
      </c>
      <c r="P1" s="659"/>
      <c r="Q1" s="659"/>
      <c r="R1" s="659"/>
      <c r="S1" s="659"/>
      <c r="T1" s="659"/>
      <c r="U1" s="659"/>
    </row>
    <row r="2" spans="1:21" ht="21" x14ac:dyDescent="0.35">
      <c r="A2" s="1" t="s">
        <v>315</v>
      </c>
      <c r="B2" s="2"/>
      <c r="C2" s="2"/>
      <c r="D2" s="2"/>
      <c r="E2" s="2"/>
      <c r="F2" s="2"/>
      <c r="G2" s="2"/>
      <c r="H2" s="2"/>
      <c r="I2" s="2"/>
      <c r="N2" s="660" t="s">
        <v>18</v>
      </c>
      <c r="O2" s="660"/>
      <c r="P2" s="660"/>
      <c r="Q2" s="660"/>
      <c r="R2" s="660"/>
      <c r="S2" s="660"/>
      <c r="T2" s="660"/>
      <c r="U2" s="660"/>
    </row>
    <row r="3" spans="1:21" x14ac:dyDescent="0.25">
      <c r="A3" s="81" t="str">
        <f>'1461'!A3</f>
        <v>Based on the FLDOE 2024-25 Conference Calculation</v>
      </c>
      <c r="N3" s="627" t="str">
        <f>A3</f>
        <v>Based on the FLDOE 2024-25 Conference Calculation</v>
      </c>
      <c r="O3" s="627"/>
      <c r="P3" s="627"/>
      <c r="Q3" s="627"/>
      <c r="R3" s="627"/>
      <c r="S3" s="627"/>
      <c r="T3" s="627"/>
      <c r="U3" s="627"/>
    </row>
    <row r="4" spans="1:21" x14ac:dyDescent="0.25">
      <c r="A4" s="568" t="s">
        <v>0</v>
      </c>
      <c r="B4" s="568"/>
      <c r="C4" s="569" t="s">
        <v>9</v>
      </c>
      <c r="D4" s="569"/>
      <c r="E4" s="569"/>
      <c r="F4" s="4" t="str">
        <f>'1461'!F4</f>
        <v>July 2024</v>
      </c>
      <c r="G4" s="4"/>
      <c r="H4" s="4"/>
      <c r="I4" s="4"/>
      <c r="N4" s="661" t="s">
        <v>0</v>
      </c>
      <c r="O4" s="661"/>
      <c r="P4" s="662" t="str">
        <f>C4</f>
        <v>Palm Beach</v>
      </c>
      <c r="Q4" s="662"/>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70" t="s">
        <v>433</v>
      </c>
      <c r="B7" s="664"/>
      <c r="C7" s="664"/>
      <c r="D7" s="664"/>
      <c r="E7" s="664"/>
      <c r="F7" s="664"/>
      <c r="G7" s="664"/>
      <c r="H7" s="664"/>
      <c r="I7" s="664"/>
      <c r="N7" s="661" t="str">
        <f>A7</f>
        <v>1A.   2023-24 FEFP State and Local Funding</v>
      </c>
      <c r="O7" s="661"/>
      <c r="P7" s="661"/>
      <c r="Q7" s="661"/>
      <c r="R7" s="661"/>
      <c r="S7" s="661"/>
      <c r="T7" s="661"/>
      <c r="U7" s="661"/>
    </row>
    <row r="8" spans="1:21" x14ac:dyDescent="0.25">
      <c r="A8" s="84"/>
      <c r="B8" s="85" t="s">
        <v>92</v>
      </c>
      <c r="C8" s="299">
        <f>'1461'!C8</f>
        <v>5330.98</v>
      </c>
      <c r="D8" s="86"/>
      <c r="E8" s="87"/>
      <c r="F8" s="84"/>
      <c r="G8" s="85" t="s">
        <v>393</v>
      </c>
      <c r="H8" s="287">
        <f>'1461'!H8</f>
        <v>1.0407999999999999</v>
      </c>
      <c r="I8" s="75"/>
      <c r="N8" s="665" t="s">
        <v>10</v>
      </c>
      <c r="O8" s="665"/>
      <c r="P8" s="666">
        <f>C8</f>
        <v>5330.98</v>
      </c>
      <c r="Q8" s="666"/>
      <c r="R8" s="648" t="s">
        <v>394</v>
      </c>
      <c r="S8" s="649"/>
      <c r="T8" s="650">
        <f>H8</f>
        <v>1.0407999999999999</v>
      </c>
      <c r="U8" s="650"/>
    </row>
    <row r="9" spans="1:21" x14ac:dyDescent="0.25">
      <c r="A9" s="84"/>
      <c r="B9" s="85"/>
      <c r="C9" s="222"/>
      <c r="D9" s="86"/>
      <c r="E9" s="87"/>
      <c r="F9" s="84"/>
      <c r="G9" s="85" t="s">
        <v>391</v>
      </c>
      <c r="H9" s="287">
        <f>'1461'!H9</f>
        <v>1</v>
      </c>
      <c r="I9" s="75"/>
      <c r="N9" s="12"/>
      <c r="O9" s="12"/>
      <c r="P9" s="13"/>
      <c r="Q9" s="13"/>
      <c r="R9" s="387" t="s">
        <v>392</v>
      </c>
      <c r="S9" s="384"/>
      <c r="T9" s="650">
        <f>H9</f>
        <v>1</v>
      </c>
      <c r="U9" s="650"/>
    </row>
    <row r="10" spans="1:21" x14ac:dyDescent="0.25">
      <c r="A10" s="7"/>
      <c r="B10" s="42" t="s">
        <v>310</v>
      </c>
      <c r="C10" s="334" t="str">
        <f>'1461'!C10</f>
        <v xml:space="preserve"> </v>
      </c>
      <c r="D10" s="334" t="str">
        <f>'1461'!D10</f>
        <v xml:space="preserve"> </v>
      </c>
      <c r="E10" s="8"/>
      <c r="F10" s="9"/>
      <c r="G10" s="9"/>
      <c r="H10" s="10"/>
      <c r="I10" s="305" t="str">
        <f>'1461'!I10</f>
        <v>2024-25</v>
      </c>
      <c r="N10" s="12"/>
      <c r="O10" s="12"/>
      <c r="P10" s="13"/>
      <c r="Q10" s="13"/>
      <c r="R10" s="14"/>
      <c r="S10" s="14"/>
      <c r="T10" s="15"/>
      <c r="U10" s="366" t="str">
        <f>I10</f>
        <v>2024-25</v>
      </c>
    </row>
    <row r="11" spans="1:21" x14ac:dyDescent="0.25">
      <c r="A11" s="7"/>
      <c r="B11" s="7"/>
      <c r="C11" s="88" t="str">
        <f>'1461'!C11</f>
        <v>Oct 2023</v>
      </c>
      <c r="D11" s="333" t="str">
        <f>'1461'!D11</f>
        <v>Feb 2024</v>
      </c>
      <c r="E11" s="89" t="s">
        <v>8</v>
      </c>
      <c r="F11" s="571" t="s">
        <v>1</v>
      </c>
      <c r="G11" s="571"/>
      <c r="H11" s="10" t="s">
        <v>60</v>
      </c>
      <c r="I11" s="11" t="s">
        <v>27</v>
      </c>
      <c r="N11" s="12"/>
      <c r="O11" s="12"/>
      <c r="P11" s="13"/>
      <c r="Q11" s="13"/>
      <c r="R11" s="651" t="s">
        <v>1</v>
      </c>
      <c r="S11" s="651"/>
      <c r="T11" s="15" t="s">
        <v>60</v>
      </c>
      <c r="U11" s="16" t="s">
        <v>27</v>
      </c>
    </row>
    <row r="12" spans="1:21" ht="15.75" customHeight="1" x14ac:dyDescent="0.25">
      <c r="A12" s="572" t="s">
        <v>1</v>
      </c>
      <c r="B12" s="572"/>
      <c r="C12" s="326" t="str">
        <f>'1461'!C12</f>
        <v>FTE</v>
      </c>
      <c r="D12" s="324" t="str">
        <f>'1461'!D12</f>
        <v>FTE</v>
      </c>
      <c r="E12" s="324" t="s">
        <v>2</v>
      </c>
      <c r="F12" s="573" t="s">
        <v>63</v>
      </c>
      <c r="G12" s="573"/>
      <c r="H12" s="17" t="s">
        <v>59</v>
      </c>
      <c r="I12" s="388" t="s">
        <v>395</v>
      </c>
      <c r="N12" s="639" t="s">
        <v>1</v>
      </c>
      <c r="O12" s="639"/>
      <c r="P12" s="652" t="s">
        <v>19</v>
      </c>
      <c r="Q12" s="652"/>
      <c r="R12" s="653" t="s">
        <v>63</v>
      </c>
      <c r="S12" s="653"/>
      <c r="T12" s="18" t="s">
        <v>59</v>
      </c>
      <c r="U12" s="19" t="str">
        <f>I12</f>
        <v>(WFTE x BSA x CWF x SDF)</v>
      </c>
    </row>
    <row r="13" spans="1:21" x14ac:dyDescent="0.25">
      <c r="A13" s="574" t="s">
        <v>36</v>
      </c>
      <c r="B13" s="574"/>
      <c r="C13" s="91"/>
      <c r="D13" s="91"/>
      <c r="E13" s="92" t="s">
        <v>37</v>
      </c>
      <c r="F13" s="575" t="s">
        <v>38</v>
      </c>
      <c r="G13" s="575"/>
      <c r="H13" s="20" t="s">
        <v>39</v>
      </c>
      <c r="I13" s="21" t="s">
        <v>40</v>
      </c>
      <c r="N13" s="654" t="s">
        <v>36</v>
      </c>
      <c r="O13" s="654"/>
      <c r="P13" s="655" t="s">
        <v>37</v>
      </c>
      <c r="Q13" s="655"/>
      <c r="R13" s="656" t="s">
        <v>38</v>
      </c>
      <c r="S13" s="656"/>
      <c r="T13" s="22" t="s">
        <v>39</v>
      </c>
      <c r="U13" s="23" t="s">
        <v>40</v>
      </c>
    </row>
    <row r="14" spans="1:21" x14ac:dyDescent="0.25">
      <c r="A14" s="576" t="s">
        <v>20</v>
      </c>
      <c r="B14" s="576"/>
      <c r="C14" s="143">
        <v>0</v>
      </c>
      <c r="D14" s="141">
        <v>0</v>
      </c>
      <c r="E14" s="187">
        <f>IF(D$30=0,C14*2,C14+D14)</f>
        <v>0</v>
      </c>
      <c r="F14" s="667">
        <f>'1461'!F14:G14</f>
        <v>1.1180000000000001</v>
      </c>
      <c r="G14" s="667"/>
      <c r="H14" s="145">
        <f>ROUND(E14*F14,4)</f>
        <v>0</v>
      </c>
      <c r="I14" s="111">
        <f>ROUND(ROUND(ROUND(H14*$C$8,4)*($H$8),2)*(MAX($H$9,1)),2)</f>
        <v>0</v>
      </c>
      <c r="N14" s="641" t="s">
        <v>20</v>
      </c>
      <c r="O14" s="641"/>
      <c r="P14" s="642">
        <f t="shared" ref="P14:P29" si="0">IF($H$133=1,E14,0)</f>
        <v>0</v>
      </c>
      <c r="Q14" s="642"/>
      <c r="R14" s="657">
        <v>1</v>
      </c>
      <c r="S14" s="657"/>
      <c r="T14" s="95">
        <f>ROUND(P14*R14,4)</f>
        <v>0</v>
      </c>
      <c r="U14" s="473">
        <f>ROUND(ROUND(ROUND(T14*$C$8,4)*($H$8),2)*(MAX($H$9,1)),2)</f>
        <v>0</v>
      </c>
    </row>
    <row r="15" spans="1:21" x14ac:dyDescent="0.25">
      <c r="A15" s="578" t="s">
        <v>21</v>
      </c>
      <c r="B15" s="578"/>
      <c r="C15" s="143">
        <v>0</v>
      </c>
      <c r="D15" s="143">
        <v>0</v>
      </c>
      <c r="E15" s="116">
        <f t="shared" ref="E15:E29" si="1">IF(D$30=0,C15*2,C15+D15)</f>
        <v>0</v>
      </c>
      <c r="F15" s="663">
        <f>'1461'!F15:G15</f>
        <v>1.1180000000000001</v>
      </c>
      <c r="G15" s="663"/>
      <c r="H15" s="80">
        <f t="shared" ref="H15:H29" si="2">ROUND(E15*F15,4)</f>
        <v>0</v>
      </c>
      <c r="I15" s="101">
        <f t="shared" ref="I15:I29" si="3">ROUND(ROUND(ROUND(H15*$C$8,4)*($H$8),2)*(MAX($H$9,1)),2)</f>
        <v>0</v>
      </c>
      <c r="J15" s="65" t="str">
        <f>IF(ROUND(E15,2)=ROUND(SUM(E57:E59),2)," ","CHECK PK-3 LINES BELOW")</f>
        <v xml:space="preserve"> </v>
      </c>
      <c r="N15" s="601" t="s">
        <v>21</v>
      </c>
      <c r="O15" s="601"/>
      <c r="P15" s="642">
        <f t="shared" si="0"/>
        <v>0</v>
      </c>
      <c r="Q15" s="642"/>
      <c r="R15" s="647">
        <v>1</v>
      </c>
      <c r="S15" s="647"/>
      <c r="T15" s="95">
        <f t="shared" ref="T15:T29" si="4">ROUND(P15*R15,4)</f>
        <v>0</v>
      </c>
      <c r="U15" s="473">
        <f t="shared" ref="U15:U29" si="5">ROUND(ROUND(ROUND(T15*$C$8,4)*($H$8),2)*(MAX($H$9,1)),2)</f>
        <v>0</v>
      </c>
    </row>
    <row r="16" spans="1:21" x14ac:dyDescent="0.25">
      <c r="A16" s="578" t="s">
        <v>22</v>
      </c>
      <c r="B16" s="578"/>
      <c r="C16" s="143">
        <v>0</v>
      </c>
      <c r="D16" s="143">
        <v>0</v>
      </c>
      <c r="E16" s="116">
        <f t="shared" si="1"/>
        <v>0</v>
      </c>
      <c r="F16" s="663">
        <f>'1461'!F16:G16</f>
        <v>1</v>
      </c>
      <c r="G16" s="663"/>
      <c r="H16" s="80">
        <f t="shared" si="2"/>
        <v>0</v>
      </c>
      <c r="I16" s="101">
        <f t="shared" si="3"/>
        <v>0</v>
      </c>
      <c r="N16" s="601" t="s">
        <v>22</v>
      </c>
      <c r="O16" s="601"/>
      <c r="P16" s="642">
        <f t="shared" si="0"/>
        <v>0</v>
      </c>
      <c r="Q16" s="642"/>
      <c r="R16" s="647">
        <v>1</v>
      </c>
      <c r="S16" s="647"/>
      <c r="T16" s="95">
        <f t="shared" si="4"/>
        <v>0</v>
      </c>
      <c r="U16" s="473">
        <f t="shared" si="5"/>
        <v>0</v>
      </c>
    </row>
    <row r="17" spans="1:21" x14ac:dyDescent="0.25">
      <c r="A17" s="578" t="s">
        <v>23</v>
      </c>
      <c r="B17" s="578"/>
      <c r="C17" s="143">
        <v>0</v>
      </c>
      <c r="D17" s="143">
        <v>0</v>
      </c>
      <c r="E17" s="116">
        <f t="shared" si="1"/>
        <v>0</v>
      </c>
      <c r="F17" s="663">
        <f>'1461'!F17:G17</f>
        <v>1</v>
      </c>
      <c r="G17" s="663"/>
      <c r="H17" s="80">
        <f t="shared" si="2"/>
        <v>0</v>
      </c>
      <c r="I17" s="101">
        <f t="shared" si="3"/>
        <v>0</v>
      </c>
      <c r="J17" s="65" t="str">
        <f>IF(ROUND(E17,2)=ROUND(SUM(E60:E62),2)," ","CHECK 4-8 LINES BELOW")</f>
        <v xml:space="preserve"> </v>
      </c>
      <c r="N17" s="601" t="s">
        <v>23</v>
      </c>
      <c r="O17" s="601"/>
      <c r="P17" s="642">
        <f t="shared" si="0"/>
        <v>0</v>
      </c>
      <c r="Q17" s="642"/>
      <c r="R17" s="647">
        <v>1</v>
      </c>
      <c r="S17" s="647"/>
      <c r="T17" s="95">
        <f t="shared" si="4"/>
        <v>0</v>
      </c>
      <c r="U17" s="473">
        <f t="shared" si="5"/>
        <v>0</v>
      </c>
    </row>
    <row r="18" spans="1:21" x14ac:dyDescent="0.25">
      <c r="A18" s="578" t="s">
        <v>24</v>
      </c>
      <c r="B18" s="578"/>
      <c r="C18" s="143">
        <v>105.51</v>
      </c>
      <c r="D18" s="143">
        <v>107.27</v>
      </c>
      <c r="E18" s="116">
        <f t="shared" si="1"/>
        <v>212.78</v>
      </c>
      <c r="F18" s="663">
        <f>'1461'!F18:G18</f>
        <v>0.97799999999999998</v>
      </c>
      <c r="G18" s="663"/>
      <c r="H18" s="80">
        <f t="shared" si="2"/>
        <v>208.09880000000001</v>
      </c>
      <c r="I18" s="101">
        <f t="shared" si="3"/>
        <v>1154632.8600000001</v>
      </c>
      <c r="N18" s="601" t="s">
        <v>24</v>
      </c>
      <c r="O18" s="601"/>
      <c r="P18" s="642">
        <f t="shared" si="0"/>
        <v>0</v>
      </c>
      <c r="Q18" s="642"/>
      <c r="R18" s="647">
        <v>1</v>
      </c>
      <c r="S18" s="647"/>
      <c r="T18" s="95">
        <f t="shared" si="4"/>
        <v>0</v>
      </c>
      <c r="U18" s="473">
        <f t="shared" si="5"/>
        <v>0</v>
      </c>
    </row>
    <row r="19" spans="1:21" x14ac:dyDescent="0.25">
      <c r="A19" s="578" t="s">
        <v>25</v>
      </c>
      <c r="B19" s="578"/>
      <c r="C19" s="143">
        <v>23</v>
      </c>
      <c r="D19" s="143">
        <v>21.83</v>
      </c>
      <c r="E19" s="116">
        <f t="shared" si="1"/>
        <v>44.83</v>
      </c>
      <c r="F19" s="663">
        <f>'1461'!F19:G19</f>
        <v>0.97799999999999998</v>
      </c>
      <c r="G19" s="663"/>
      <c r="H19" s="80">
        <f t="shared" si="2"/>
        <v>43.843699999999998</v>
      </c>
      <c r="I19" s="101">
        <f t="shared" si="3"/>
        <v>243266.07</v>
      </c>
      <c r="J19" s="65" t="str">
        <f>IF(ROUND(E19,2)=ROUND(SUM(E63:E65),2)," ","CHECK 4-8 LINES BELOW")</f>
        <v xml:space="preserve"> </v>
      </c>
      <c r="N19" s="601" t="s">
        <v>25</v>
      </c>
      <c r="O19" s="601"/>
      <c r="P19" s="642">
        <f t="shared" si="0"/>
        <v>0</v>
      </c>
      <c r="Q19" s="642"/>
      <c r="R19" s="647">
        <v>1</v>
      </c>
      <c r="S19" s="647"/>
      <c r="T19" s="95">
        <f t="shared" si="4"/>
        <v>0</v>
      </c>
      <c r="U19" s="472">
        <f t="shared" si="5"/>
        <v>0</v>
      </c>
    </row>
    <row r="20" spans="1:21" x14ac:dyDescent="0.25">
      <c r="A20" s="578" t="s">
        <v>79</v>
      </c>
      <c r="B20" s="578"/>
      <c r="C20" s="143">
        <v>0</v>
      </c>
      <c r="D20" s="143">
        <v>0</v>
      </c>
      <c r="E20" s="116">
        <f t="shared" si="1"/>
        <v>0</v>
      </c>
      <c r="F20" s="663">
        <f>'1461'!F20:G20</f>
        <v>3.6970000000000001</v>
      </c>
      <c r="G20" s="663"/>
      <c r="H20" s="80">
        <f t="shared" si="2"/>
        <v>0</v>
      </c>
      <c r="I20" s="101">
        <f t="shared" si="3"/>
        <v>0</v>
      </c>
      <c r="N20" s="601" t="s">
        <v>79</v>
      </c>
      <c r="O20" s="601"/>
      <c r="P20" s="642">
        <f t="shared" si="0"/>
        <v>0</v>
      </c>
      <c r="Q20" s="642"/>
      <c r="R20" s="647">
        <v>1</v>
      </c>
      <c r="S20" s="647"/>
      <c r="T20" s="95">
        <f t="shared" si="4"/>
        <v>0</v>
      </c>
      <c r="U20" s="473">
        <f t="shared" si="5"/>
        <v>0</v>
      </c>
    </row>
    <row r="21" spans="1:21" x14ac:dyDescent="0.25">
      <c r="A21" s="578" t="s">
        <v>80</v>
      </c>
      <c r="B21" s="578"/>
      <c r="C21" s="143">
        <v>0</v>
      </c>
      <c r="D21" s="143">
        <v>0</v>
      </c>
      <c r="E21" s="116">
        <f t="shared" si="1"/>
        <v>0</v>
      </c>
      <c r="F21" s="663">
        <f>'1461'!F21:G21</f>
        <v>3.6970000000000001</v>
      </c>
      <c r="G21" s="663"/>
      <c r="H21" s="80">
        <f t="shared" si="2"/>
        <v>0</v>
      </c>
      <c r="I21" s="101">
        <f t="shared" si="3"/>
        <v>0</v>
      </c>
      <c r="N21" s="601" t="s">
        <v>80</v>
      </c>
      <c r="O21" s="601"/>
      <c r="P21" s="642">
        <f t="shared" si="0"/>
        <v>0</v>
      </c>
      <c r="Q21" s="642"/>
      <c r="R21" s="647">
        <v>1</v>
      </c>
      <c r="S21" s="647"/>
      <c r="T21" s="95">
        <f t="shared" si="4"/>
        <v>0</v>
      </c>
      <c r="U21" s="473">
        <f t="shared" si="5"/>
        <v>0</v>
      </c>
    </row>
    <row r="22" spans="1:21" x14ac:dyDescent="0.25">
      <c r="A22" s="578" t="s">
        <v>81</v>
      </c>
      <c r="B22" s="578"/>
      <c r="C22" s="143">
        <v>0</v>
      </c>
      <c r="D22" s="143">
        <v>0</v>
      </c>
      <c r="E22" s="116">
        <f t="shared" si="1"/>
        <v>0</v>
      </c>
      <c r="F22" s="663">
        <f>'1461'!F22:G22</f>
        <v>3.6970000000000001</v>
      </c>
      <c r="G22" s="663"/>
      <c r="H22" s="80">
        <f t="shared" si="2"/>
        <v>0</v>
      </c>
      <c r="I22" s="101">
        <f t="shared" si="3"/>
        <v>0</v>
      </c>
      <c r="N22" s="601" t="s">
        <v>81</v>
      </c>
      <c r="O22" s="601"/>
      <c r="P22" s="642">
        <f t="shared" si="0"/>
        <v>0</v>
      </c>
      <c r="Q22" s="642"/>
      <c r="R22" s="647">
        <v>1</v>
      </c>
      <c r="S22" s="647"/>
      <c r="T22" s="95">
        <f t="shared" si="4"/>
        <v>0</v>
      </c>
      <c r="U22" s="473">
        <f t="shared" si="5"/>
        <v>0</v>
      </c>
    </row>
    <row r="23" spans="1:21" x14ac:dyDescent="0.25">
      <c r="A23" s="578" t="s">
        <v>82</v>
      </c>
      <c r="B23" s="578"/>
      <c r="C23" s="143">
        <v>0</v>
      </c>
      <c r="D23" s="143">
        <v>0</v>
      </c>
      <c r="E23" s="116">
        <f t="shared" si="1"/>
        <v>0</v>
      </c>
      <c r="F23" s="663">
        <f>'1461'!F23:G23</f>
        <v>5.992</v>
      </c>
      <c r="G23" s="663"/>
      <c r="H23" s="80">
        <f t="shared" si="2"/>
        <v>0</v>
      </c>
      <c r="I23" s="101">
        <f t="shared" si="3"/>
        <v>0</v>
      </c>
      <c r="N23" s="601" t="s">
        <v>82</v>
      </c>
      <c r="O23" s="601"/>
      <c r="P23" s="642">
        <f t="shared" si="0"/>
        <v>0</v>
      </c>
      <c r="Q23" s="642"/>
      <c r="R23" s="647">
        <v>1</v>
      </c>
      <c r="S23" s="647"/>
      <c r="T23" s="95">
        <f t="shared" si="4"/>
        <v>0</v>
      </c>
      <c r="U23" s="473">
        <f t="shared" si="5"/>
        <v>0</v>
      </c>
    </row>
    <row r="24" spans="1:21" x14ac:dyDescent="0.25">
      <c r="A24" s="578" t="s">
        <v>83</v>
      </c>
      <c r="B24" s="578"/>
      <c r="C24" s="143">
        <v>0</v>
      </c>
      <c r="D24" s="143">
        <v>0</v>
      </c>
      <c r="E24" s="116">
        <f t="shared" si="1"/>
        <v>0</v>
      </c>
      <c r="F24" s="663">
        <f>'1461'!F24:G24</f>
        <v>5.992</v>
      </c>
      <c r="G24" s="663"/>
      <c r="H24" s="80">
        <f t="shared" si="2"/>
        <v>0</v>
      </c>
      <c r="I24" s="101">
        <f t="shared" si="3"/>
        <v>0</v>
      </c>
      <c r="N24" s="601" t="s">
        <v>83</v>
      </c>
      <c r="O24" s="601"/>
      <c r="P24" s="642">
        <f t="shared" si="0"/>
        <v>0</v>
      </c>
      <c r="Q24" s="642"/>
      <c r="R24" s="647">
        <v>1</v>
      </c>
      <c r="S24" s="647"/>
      <c r="T24" s="95">
        <f t="shared" si="4"/>
        <v>0</v>
      </c>
      <c r="U24" s="473">
        <f t="shared" si="5"/>
        <v>0</v>
      </c>
    </row>
    <row r="25" spans="1:21" x14ac:dyDescent="0.25">
      <c r="A25" s="578" t="s">
        <v>84</v>
      </c>
      <c r="B25" s="578"/>
      <c r="C25" s="143">
        <v>0</v>
      </c>
      <c r="D25" s="143">
        <v>0</v>
      </c>
      <c r="E25" s="116">
        <f t="shared" si="1"/>
        <v>0</v>
      </c>
      <c r="F25" s="663">
        <f>'1461'!F25:G25</f>
        <v>5.992</v>
      </c>
      <c r="G25" s="663"/>
      <c r="H25" s="80">
        <f t="shared" si="2"/>
        <v>0</v>
      </c>
      <c r="I25" s="101">
        <f t="shared" si="3"/>
        <v>0</v>
      </c>
      <c r="N25" s="601" t="s">
        <v>84</v>
      </c>
      <c r="O25" s="601"/>
      <c r="P25" s="642">
        <f t="shared" si="0"/>
        <v>0</v>
      </c>
      <c r="Q25" s="642"/>
      <c r="R25" s="647">
        <v>1</v>
      </c>
      <c r="S25" s="647"/>
      <c r="T25" s="95">
        <f t="shared" si="4"/>
        <v>0</v>
      </c>
      <c r="U25" s="473">
        <f t="shared" si="5"/>
        <v>0</v>
      </c>
    </row>
    <row r="26" spans="1:21" x14ac:dyDescent="0.25">
      <c r="A26" s="578" t="s">
        <v>85</v>
      </c>
      <c r="B26" s="578"/>
      <c r="C26" s="143">
        <v>0</v>
      </c>
      <c r="D26" s="143">
        <v>0</v>
      </c>
      <c r="E26" s="116">
        <f t="shared" si="1"/>
        <v>0</v>
      </c>
      <c r="F26" s="663">
        <f>'1461'!F26:G26</f>
        <v>1.1919999999999999</v>
      </c>
      <c r="G26" s="663"/>
      <c r="H26" s="80">
        <f t="shared" si="2"/>
        <v>0</v>
      </c>
      <c r="I26" s="101">
        <f t="shared" si="3"/>
        <v>0</v>
      </c>
      <c r="N26" s="601" t="s">
        <v>85</v>
      </c>
      <c r="O26" s="601"/>
      <c r="P26" s="642">
        <f t="shared" si="0"/>
        <v>0</v>
      </c>
      <c r="Q26" s="642"/>
      <c r="R26" s="647">
        <v>1</v>
      </c>
      <c r="S26" s="647"/>
      <c r="T26" s="95">
        <f t="shared" si="4"/>
        <v>0</v>
      </c>
      <c r="U26" s="473">
        <f t="shared" si="5"/>
        <v>0</v>
      </c>
    </row>
    <row r="27" spans="1:21" x14ac:dyDescent="0.25">
      <c r="A27" s="578" t="s">
        <v>86</v>
      </c>
      <c r="B27" s="578"/>
      <c r="C27" s="143">
        <v>0</v>
      </c>
      <c r="D27" s="143">
        <v>0</v>
      </c>
      <c r="E27" s="116">
        <f t="shared" si="1"/>
        <v>0</v>
      </c>
      <c r="F27" s="663">
        <f>'1461'!F27:G27</f>
        <v>1.1919999999999999</v>
      </c>
      <c r="G27" s="663"/>
      <c r="H27" s="80">
        <f t="shared" si="2"/>
        <v>0</v>
      </c>
      <c r="I27" s="101">
        <f t="shared" si="3"/>
        <v>0</v>
      </c>
      <c r="N27" s="601" t="s">
        <v>86</v>
      </c>
      <c r="O27" s="601"/>
      <c r="P27" s="642">
        <f t="shared" si="0"/>
        <v>0</v>
      </c>
      <c r="Q27" s="642"/>
      <c r="R27" s="647">
        <v>1</v>
      </c>
      <c r="S27" s="647"/>
      <c r="T27" s="95">
        <f t="shared" si="4"/>
        <v>0</v>
      </c>
      <c r="U27" s="473">
        <f t="shared" si="5"/>
        <v>0</v>
      </c>
    </row>
    <row r="28" spans="1:21" x14ac:dyDescent="0.25">
      <c r="A28" s="578" t="s">
        <v>87</v>
      </c>
      <c r="B28" s="578"/>
      <c r="C28" s="143">
        <v>19.649999999999999</v>
      </c>
      <c r="D28" s="143">
        <v>18.899999999999999</v>
      </c>
      <c r="E28" s="116">
        <f t="shared" si="1"/>
        <v>38.549999999999997</v>
      </c>
      <c r="F28" s="663">
        <f>'1461'!F28:G28</f>
        <v>1.1919999999999999</v>
      </c>
      <c r="G28" s="663"/>
      <c r="H28" s="80">
        <f t="shared" si="2"/>
        <v>45.951599999999999</v>
      </c>
      <c r="I28" s="101">
        <f t="shared" si="3"/>
        <v>254961.72</v>
      </c>
      <c r="N28" s="601" t="s">
        <v>87</v>
      </c>
      <c r="O28" s="601"/>
      <c r="P28" s="642">
        <f t="shared" si="0"/>
        <v>0</v>
      </c>
      <c r="Q28" s="642"/>
      <c r="R28" s="647">
        <v>1</v>
      </c>
      <c r="S28" s="647"/>
      <c r="T28" s="95">
        <f t="shared" si="4"/>
        <v>0</v>
      </c>
      <c r="U28" s="473">
        <f t="shared" si="5"/>
        <v>0</v>
      </c>
    </row>
    <row r="29" spans="1:21" x14ac:dyDescent="0.25">
      <c r="A29" s="578" t="s">
        <v>88</v>
      </c>
      <c r="B29" s="578"/>
      <c r="C29" s="110">
        <v>7.28</v>
      </c>
      <c r="D29" s="110">
        <v>6.89</v>
      </c>
      <c r="E29" s="116">
        <f t="shared" si="1"/>
        <v>14.17</v>
      </c>
      <c r="F29" s="663">
        <f>'1461'!F29:G29</f>
        <v>1.079</v>
      </c>
      <c r="G29" s="663"/>
      <c r="H29" s="93">
        <f t="shared" si="2"/>
        <v>15.289400000000001</v>
      </c>
      <c r="I29" s="94">
        <f t="shared" si="3"/>
        <v>84832.99</v>
      </c>
      <c r="N29" s="616" t="s">
        <v>88</v>
      </c>
      <c r="O29" s="616"/>
      <c r="P29" s="642">
        <f t="shared" si="0"/>
        <v>0</v>
      </c>
      <c r="Q29" s="642"/>
      <c r="R29" s="643">
        <v>1</v>
      </c>
      <c r="S29" s="643"/>
      <c r="T29" s="95">
        <f t="shared" si="4"/>
        <v>0</v>
      </c>
      <c r="U29" s="473">
        <f t="shared" si="5"/>
        <v>0</v>
      </c>
    </row>
    <row r="30" spans="1:21" x14ac:dyDescent="0.25">
      <c r="A30" s="590" t="s">
        <v>5</v>
      </c>
      <c r="B30" s="590"/>
      <c r="C30" s="94">
        <f>SUM(C14:C29)</f>
        <v>155.44</v>
      </c>
      <c r="D30" s="94">
        <f>SUM(D14:D29)</f>
        <v>154.88999999999999</v>
      </c>
      <c r="E30" s="97">
        <f>SUM(E14:E29)</f>
        <v>310.33000000000004</v>
      </c>
      <c r="F30" s="582"/>
      <c r="G30" s="582"/>
      <c r="H30" s="99">
        <f>SUM(H14:H29)</f>
        <v>313.18349999999998</v>
      </c>
      <c r="I30" s="94">
        <f>SUM(I14:I29)</f>
        <v>1737693.6400000001</v>
      </c>
      <c r="N30" s="644" t="s">
        <v>5</v>
      </c>
      <c r="O30" s="644"/>
      <c r="P30" s="645">
        <f>SUM(P14:P29)</f>
        <v>0</v>
      </c>
      <c r="Q30" s="645"/>
      <c r="R30" s="617"/>
      <c r="S30" s="617"/>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0" t="s">
        <v>233</v>
      </c>
      <c r="G34" s="670"/>
      <c r="H34" s="670"/>
      <c r="I34" s="101"/>
      <c r="N34" s="28"/>
      <c r="O34" s="28"/>
      <c r="P34" s="29"/>
      <c r="Q34" s="29"/>
      <c r="R34" s="30"/>
      <c r="S34" s="30"/>
      <c r="T34" s="102"/>
      <c r="U34" s="103"/>
    </row>
    <row r="35" spans="1:21" hidden="1" x14ac:dyDescent="0.25">
      <c r="A35" s="3"/>
      <c r="B35" s="69"/>
      <c r="C35" s="69"/>
      <c r="D35" s="69"/>
      <c r="E35" s="69"/>
      <c r="F35" s="670"/>
      <c r="G35" s="670"/>
      <c r="H35" s="670"/>
      <c r="I35" s="24" t="s">
        <v>61</v>
      </c>
      <c r="N35" s="627" t="s">
        <v>26</v>
      </c>
      <c r="O35" s="627"/>
      <c r="P35" s="627"/>
      <c r="Q35" s="627"/>
      <c r="R35" s="627"/>
      <c r="S35" s="627"/>
      <c r="T35" s="627"/>
      <c r="U35" s="25" t="str">
        <f>I35</f>
        <v>2015-16</v>
      </c>
    </row>
    <row r="36" spans="1:21" hidden="1" x14ac:dyDescent="0.25">
      <c r="A36" s="26"/>
      <c r="B36" s="26"/>
      <c r="C36" s="88" t="s">
        <v>93</v>
      </c>
      <c r="D36" s="88" t="s">
        <v>94</v>
      </c>
      <c r="E36" s="89" t="s">
        <v>8</v>
      </c>
      <c r="F36" s="670"/>
      <c r="G36" s="670"/>
      <c r="H36" s="670"/>
      <c r="I36" s="24" t="s">
        <v>27</v>
      </c>
      <c r="N36" s="28"/>
      <c r="O36" s="28"/>
      <c r="P36" s="29"/>
      <c r="Q36" s="29"/>
      <c r="R36" s="30"/>
      <c r="S36" s="30"/>
      <c r="T36" s="102"/>
      <c r="U36" s="25" t="s">
        <v>27</v>
      </c>
    </row>
    <row r="37" spans="1:21" ht="26.25" hidden="1" x14ac:dyDescent="0.25">
      <c r="A37" s="572" t="s">
        <v>50</v>
      </c>
      <c r="B37" s="572"/>
      <c r="C37" s="90" t="s">
        <v>2</v>
      </c>
      <c r="D37" s="90" t="s">
        <v>2</v>
      </c>
      <c r="E37" s="90" t="s">
        <v>2</v>
      </c>
      <c r="F37" s="671"/>
      <c r="G37" s="671"/>
      <c r="H37" s="671"/>
      <c r="I37" s="31" t="s">
        <v>395</v>
      </c>
      <c r="N37" s="639" t="s">
        <v>50</v>
      </c>
      <c r="O37" s="639"/>
      <c r="P37" s="640" t="s">
        <v>19</v>
      </c>
      <c r="Q37" s="640"/>
      <c r="R37" s="640"/>
      <c r="S37" s="640"/>
      <c r="T37" s="640"/>
      <c r="U37" s="19" t="str">
        <f>I37</f>
        <v>(WFTE x BSA x CWF x SDF)</v>
      </c>
    </row>
    <row r="38" spans="1:21" hidden="1" x14ac:dyDescent="0.25">
      <c r="A38" s="576" t="s">
        <v>45</v>
      </c>
      <c r="B38" s="576"/>
      <c r="C38" s="147">
        <v>0</v>
      </c>
      <c r="D38" s="147">
        <v>0</v>
      </c>
      <c r="E38" s="142">
        <f t="shared" ref="E38:E43" si="6">IF(D$44=0,C38*2,C38+D38)</f>
        <v>0</v>
      </c>
      <c r="F38" s="148"/>
      <c r="G38" s="148"/>
      <c r="H38" s="148"/>
      <c r="I38" s="111">
        <f>ROUND(ROUND(ROUND(E38*$C$8,4)*($H$8),2)*(MAX($H$9,1)),2)</f>
        <v>0</v>
      </c>
      <c r="N38" s="641" t="s">
        <v>45</v>
      </c>
      <c r="O38" s="641"/>
      <c r="P38" s="608">
        <f t="shared" ref="P38:P43" si="7">IF($H$133=1,E38,0)</f>
        <v>0</v>
      </c>
      <c r="Q38" s="608"/>
      <c r="R38" s="608"/>
      <c r="S38" s="608"/>
      <c r="T38" s="608"/>
      <c r="U38" s="98">
        <f>ROUND(ROUND(ROUND(P38*$C$8,4)*($H$8),2)*(MAX($H$9,1)),2)</f>
        <v>0</v>
      </c>
    </row>
    <row r="39" spans="1:21" hidden="1" x14ac:dyDescent="0.25">
      <c r="A39" s="578" t="s">
        <v>46</v>
      </c>
      <c r="B39" s="578"/>
      <c r="C39" s="150">
        <v>0</v>
      </c>
      <c r="D39" s="150">
        <v>0</v>
      </c>
      <c r="E39" s="144">
        <f t="shared" si="6"/>
        <v>0</v>
      </c>
      <c r="F39" s="151"/>
      <c r="G39" s="151"/>
      <c r="H39" s="151"/>
      <c r="I39" s="101">
        <f t="shared" ref="I39:I43" si="8">ROUND(ROUND(ROUND(E39*$C$8,4)*($H$8),2)*(MAX($H$9,1)),2)</f>
        <v>0</v>
      </c>
      <c r="N39" s="601" t="s">
        <v>46</v>
      </c>
      <c r="O39" s="601"/>
      <c r="P39" s="608">
        <f t="shared" si="7"/>
        <v>0</v>
      </c>
      <c r="Q39" s="608"/>
      <c r="R39" s="608"/>
      <c r="S39" s="608"/>
      <c r="T39" s="608"/>
      <c r="U39" s="98">
        <f t="shared" ref="U39:U43" si="9">ROUND(ROUND(ROUND(P39*$C$8,4)*($H$8),2)*(MAX($H$9,1)),2)</f>
        <v>0</v>
      </c>
    </row>
    <row r="40" spans="1:21" hidden="1" x14ac:dyDescent="0.25">
      <c r="A40" s="583" t="s">
        <v>47</v>
      </c>
      <c r="B40" s="583"/>
      <c r="C40" s="150">
        <v>0</v>
      </c>
      <c r="D40" s="150">
        <v>0</v>
      </c>
      <c r="E40" s="144">
        <f t="shared" si="6"/>
        <v>0</v>
      </c>
      <c r="F40" s="151"/>
      <c r="G40" s="151"/>
      <c r="H40" s="151"/>
      <c r="I40" s="101">
        <f t="shared" si="8"/>
        <v>0</v>
      </c>
      <c r="N40" s="646" t="s">
        <v>47</v>
      </c>
      <c r="O40" s="646"/>
      <c r="P40" s="608">
        <f t="shared" si="7"/>
        <v>0</v>
      </c>
      <c r="Q40" s="608"/>
      <c r="R40" s="608"/>
      <c r="S40" s="608"/>
      <c r="T40" s="608"/>
      <c r="U40" s="98">
        <f t="shared" si="9"/>
        <v>0</v>
      </c>
    </row>
    <row r="41" spans="1:21" hidden="1" x14ac:dyDescent="0.25">
      <c r="A41" s="578" t="s">
        <v>48</v>
      </c>
      <c r="B41" s="578"/>
      <c r="C41" s="150">
        <v>0</v>
      </c>
      <c r="D41" s="150">
        <v>0</v>
      </c>
      <c r="E41" s="144">
        <f t="shared" si="6"/>
        <v>0</v>
      </c>
      <c r="F41" s="151"/>
      <c r="G41" s="151"/>
      <c r="H41" s="151"/>
      <c r="I41" s="101">
        <f t="shared" si="8"/>
        <v>0</v>
      </c>
      <c r="N41" s="601" t="s">
        <v>48</v>
      </c>
      <c r="O41" s="601"/>
      <c r="P41" s="608">
        <f t="shared" si="7"/>
        <v>0</v>
      </c>
      <c r="Q41" s="608"/>
      <c r="R41" s="608"/>
      <c r="S41" s="608"/>
      <c r="T41" s="608"/>
      <c r="U41" s="98">
        <f t="shared" si="9"/>
        <v>0</v>
      </c>
    </row>
    <row r="42" spans="1:21" hidden="1" x14ac:dyDescent="0.25">
      <c r="A42" s="578" t="s">
        <v>49</v>
      </c>
      <c r="B42" s="578"/>
      <c r="C42" s="150">
        <v>0</v>
      </c>
      <c r="D42" s="150">
        <v>0</v>
      </c>
      <c r="E42" s="144">
        <f t="shared" si="6"/>
        <v>0</v>
      </c>
      <c r="F42" s="151"/>
      <c r="G42" s="151"/>
      <c r="H42" s="151"/>
      <c r="I42" s="101">
        <f t="shared" si="8"/>
        <v>0</v>
      </c>
      <c r="N42" s="601" t="s">
        <v>49</v>
      </c>
      <c r="O42" s="601"/>
      <c r="P42" s="608">
        <f t="shared" si="7"/>
        <v>0</v>
      </c>
      <c r="Q42" s="608"/>
      <c r="R42" s="608"/>
      <c r="S42" s="608"/>
      <c r="T42" s="608"/>
      <c r="U42" s="98">
        <f t="shared" si="9"/>
        <v>0</v>
      </c>
    </row>
    <row r="43" spans="1:21" hidden="1" x14ac:dyDescent="0.25">
      <c r="A43" s="578" t="s">
        <v>41</v>
      </c>
      <c r="B43" s="578"/>
      <c r="C43" s="149">
        <v>0</v>
      </c>
      <c r="D43" s="149">
        <v>0</v>
      </c>
      <c r="E43" s="136">
        <f t="shared" si="6"/>
        <v>0</v>
      </c>
      <c r="F43" s="151"/>
      <c r="G43" s="151"/>
      <c r="H43" s="151"/>
      <c r="I43" s="94">
        <f t="shared" si="8"/>
        <v>0</v>
      </c>
      <c r="N43" s="616" t="s">
        <v>41</v>
      </c>
      <c r="O43" s="616"/>
      <c r="P43" s="608">
        <f t="shared" si="7"/>
        <v>0</v>
      </c>
      <c r="Q43" s="608"/>
      <c r="R43" s="608"/>
      <c r="S43" s="608"/>
      <c r="T43" s="60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3" t="s">
        <v>43</v>
      </c>
      <c r="O44" s="603"/>
      <c r="P44" s="603"/>
      <c r="Q44" s="603"/>
      <c r="R44" s="33">
        <f>SUM(P38:R43)</f>
        <v>0</v>
      </c>
      <c r="S44" s="617" t="s">
        <v>51</v>
      </c>
      <c r="T44" s="617"/>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313.18349999999998</v>
      </c>
      <c r="F46" s="34"/>
      <c r="G46" s="106"/>
      <c r="H46" s="107" t="s">
        <v>98</v>
      </c>
      <c r="I46" s="94">
        <f>SUM(I44,I30)</f>
        <v>1737693.6400000001</v>
      </c>
      <c r="N46" s="603" t="s">
        <v>44</v>
      </c>
      <c r="O46" s="603"/>
      <c r="P46" s="603"/>
      <c r="Q46" s="603"/>
      <c r="R46" s="35">
        <f>R44+T30</f>
        <v>0</v>
      </c>
      <c r="S46" s="617" t="s">
        <v>42</v>
      </c>
      <c r="T46" s="617"/>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396</v>
      </c>
      <c r="B48" s="26"/>
      <c r="C48" s="26"/>
      <c r="D48" s="26"/>
      <c r="E48" s="26"/>
      <c r="F48" s="34"/>
      <c r="G48" s="27"/>
      <c r="H48" s="27"/>
      <c r="I48" s="101"/>
      <c r="N48" s="383" t="s">
        <v>396</v>
      </c>
      <c r="O48" s="28"/>
      <c r="P48" s="28"/>
      <c r="Q48" s="28"/>
      <c r="R48" s="35"/>
      <c r="S48" s="30"/>
      <c r="T48" s="30"/>
      <c r="U48" s="402"/>
    </row>
    <row r="49" spans="1:22" s="391" customFormat="1" ht="9" customHeight="1" x14ac:dyDescent="0.2">
      <c r="A49" s="481" t="s">
        <v>397</v>
      </c>
      <c r="F49" s="392"/>
      <c r="G49" s="393"/>
      <c r="H49" s="393"/>
      <c r="I49" s="394"/>
      <c r="N49" s="403" t="s">
        <v>397</v>
      </c>
      <c r="O49" s="395"/>
      <c r="P49" s="395"/>
      <c r="Q49" s="395"/>
      <c r="R49" s="396"/>
      <c r="S49" s="397"/>
      <c r="T49" s="397"/>
      <c r="U49" s="404"/>
    </row>
    <row r="50" spans="1:22" s="391" customFormat="1" ht="11.25" customHeight="1" x14ac:dyDescent="0.2">
      <c r="A50" s="483" t="s">
        <v>398</v>
      </c>
      <c r="F50" s="392"/>
      <c r="G50" s="393"/>
      <c r="H50" s="393"/>
      <c r="I50" s="394"/>
      <c r="N50" s="405" t="s">
        <v>398</v>
      </c>
      <c r="O50" s="395"/>
      <c r="P50" s="395"/>
      <c r="Q50" s="395"/>
      <c r="R50" s="396"/>
      <c r="S50" s="397"/>
      <c r="T50" s="397"/>
      <c r="U50" s="404"/>
    </row>
    <row r="51" spans="1:22" x14ac:dyDescent="0.25">
      <c r="A51" s="389"/>
      <c r="B51" s="399" t="s">
        <v>399</v>
      </c>
      <c r="C51" s="26"/>
      <c r="D51" s="26"/>
      <c r="E51" s="43" t="s">
        <v>400</v>
      </c>
      <c r="F51" s="400">
        <f>I46</f>
        <v>1737693.6400000001</v>
      </c>
      <c r="G51" s="109" t="s">
        <v>6</v>
      </c>
      <c r="H51" s="401">
        <v>4.5199999999999997E-2</v>
      </c>
      <c r="I51" s="101">
        <f>ROUND(F51*H51,2)</f>
        <v>78543.75</v>
      </c>
      <c r="N51" s="406"/>
      <c r="O51" s="407" t="s">
        <v>399</v>
      </c>
      <c r="P51" s="28"/>
      <c r="Q51" s="44" t="s">
        <v>400</v>
      </c>
      <c r="R51" s="408">
        <f>U30</f>
        <v>0</v>
      </c>
      <c r="S51" s="409" t="s">
        <v>6</v>
      </c>
      <c r="T51" s="410">
        <v>4.5199999999999997E-2</v>
      </c>
      <c r="U51" s="402">
        <f>ROUND(R51*T51,2)</f>
        <v>0</v>
      </c>
    </row>
    <row r="52" spans="1:22" x14ac:dyDescent="0.25">
      <c r="A52" s="26"/>
      <c r="B52" s="81" t="s">
        <v>401</v>
      </c>
      <c r="C52" s="26"/>
      <c r="D52" s="26"/>
      <c r="E52" s="43" t="s">
        <v>400</v>
      </c>
      <c r="F52" s="400">
        <f>I46</f>
        <v>1737693.6400000001</v>
      </c>
      <c r="G52" s="109" t="s">
        <v>6</v>
      </c>
      <c r="H52" s="401">
        <v>1.41E-2</v>
      </c>
      <c r="I52" s="101">
        <f>ROUND(F52*H52,2)</f>
        <v>24501.48</v>
      </c>
      <c r="N52" s="28"/>
      <c r="O52" s="383" t="s">
        <v>401</v>
      </c>
      <c r="P52" s="28"/>
      <c r="Q52" s="44" t="s">
        <v>400</v>
      </c>
      <c r="R52" s="408">
        <f>U30</f>
        <v>0</v>
      </c>
      <c r="S52" s="409" t="s">
        <v>6</v>
      </c>
      <c r="T52" s="410">
        <v>1.41E-2</v>
      </c>
      <c r="U52" s="411">
        <f>ROUND(R52*T52,2)</f>
        <v>0</v>
      </c>
    </row>
    <row r="53" spans="1:22" x14ac:dyDescent="0.25">
      <c r="A53" s="26"/>
      <c r="B53" s="81" t="s">
        <v>402</v>
      </c>
      <c r="C53" s="26"/>
      <c r="D53" s="26"/>
      <c r="E53" s="43"/>
      <c r="F53" s="400"/>
      <c r="G53" s="109"/>
      <c r="H53" s="401"/>
      <c r="I53" s="97">
        <f>SUM(I51:I52)</f>
        <v>103045.23</v>
      </c>
      <c r="N53" s="28"/>
      <c r="O53" s="383" t="s">
        <v>402</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440</v>
      </c>
      <c r="G55" s="109" t="s">
        <v>441</v>
      </c>
      <c r="H55" s="454" t="s">
        <v>442</v>
      </c>
      <c r="I55" s="101"/>
      <c r="N55" s="448"/>
      <c r="O55" s="448"/>
      <c r="P55" s="464"/>
      <c r="Q55" s="465"/>
      <c r="R55" s="466"/>
      <c r="S55" s="468" t="s">
        <v>441</v>
      </c>
      <c r="T55" s="469" t="s">
        <v>442</v>
      </c>
      <c r="U55" s="467"/>
      <c r="V55" s="424"/>
    </row>
    <row r="56" spans="1:22" x14ac:dyDescent="0.25">
      <c r="A56" s="36" t="s">
        <v>443</v>
      </c>
      <c r="B56" s="36"/>
      <c r="C56" s="324" t="str">
        <f>'1461'!C56</f>
        <v>FTE</v>
      </c>
      <c r="D56" s="324" t="str">
        <f>'1461'!D56</f>
        <v>FTE</v>
      </c>
      <c r="E56" s="90" t="s">
        <v>2</v>
      </c>
      <c r="F56" s="439" t="s">
        <v>444</v>
      </c>
      <c r="G56" s="441" t="s">
        <v>444</v>
      </c>
      <c r="H56" s="455" t="s">
        <v>445</v>
      </c>
      <c r="I56" s="36"/>
      <c r="N56" s="459" t="s">
        <v>443</v>
      </c>
      <c r="O56" s="459"/>
      <c r="P56" s="620" t="s">
        <v>2</v>
      </c>
      <c r="Q56" s="620"/>
      <c r="R56" s="459" t="s">
        <v>449</v>
      </c>
      <c r="S56" s="450" t="s">
        <v>444</v>
      </c>
      <c r="T56" s="470" t="s">
        <v>445</v>
      </c>
      <c r="U56" s="459"/>
      <c r="V56" s="458"/>
    </row>
    <row r="57" spans="1:22" x14ac:dyDescent="0.25">
      <c r="A57" s="588" t="s">
        <v>447</v>
      </c>
      <c r="B57" s="588"/>
      <c r="C57" s="143">
        <v>0</v>
      </c>
      <c r="D57" s="143">
        <v>0</v>
      </c>
      <c r="E57" s="116">
        <f t="shared" ref="E57:E65" si="10">IF(D$66=0,C57*2,C57+D57)</f>
        <v>0</v>
      </c>
      <c r="F57" s="443" t="s">
        <v>439</v>
      </c>
      <c r="G57" s="443">
        <v>251</v>
      </c>
      <c r="H57" s="457">
        <f>'1461'!H57</f>
        <v>1047</v>
      </c>
      <c r="I57" s="101">
        <f>ROUND(E57*H57,2)</f>
        <v>0</v>
      </c>
      <c r="N57" s="618" t="s">
        <v>447</v>
      </c>
      <c r="O57" s="618"/>
      <c r="P57" s="621"/>
      <c r="Q57" s="621"/>
      <c r="R57" s="449" t="s">
        <v>439</v>
      </c>
      <c r="S57" s="449">
        <v>251</v>
      </c>
      <c r="T57" s="460">
        <f>H57</f>
        <v>1047</v>
      </c>
      <c r="U57" s="474">
        <f>ROUND(P57*T57,2)</f>
        <v>0</v>
      </c>
      <c r="V57" s="424"/>
    </row>
    <row r="58" spans="1:22" x14ac:dyDescent="0.25">
      <c r="A58" s="589"/>
      <c r="B58" s="589"/>
      <c r="C58" s="143">
        <v>0</v>
      </c>
      <c r="D58" s="143">
        <v>0</v>
      </c>
      <c r="E58" s="116">
        <f t="shared" si="10"/>
        <v>0</v>
      </c>
      <c r="F58" s="443" t="s">
        <v>439</v>
      </c>
      <c r="G58" s="443">
        <v>252</v>
      </c>
      <c r="H58" s="457">
        <f>'1461'!H58</f>
        <v>3380</v>
      </c>
      <c r="I58" s="101">
        <f t="shared" ref="I58:I65" si="11">ROUND(E58*H58,2)</f>
        <v>0</v>
      </c>
      <c r="N58" s="619"/>
      <c r="O58" s="619"/>
      <c r="P58" s="622"/>
      <c r="Q58" s="622"/>
      <c r="R58" s="449" t="s">
        <v>439</v>
      </c>
      <c r="S58" s="449">
        <v>252</v>
      </c>
      <c r="T58" s="460">
        <f t="shared" ref="T58:T65" si="12">H58</f>
        <v>3380</v>
      </c>
      <c r="U58" s="474">
        <f t="shared" ref="U58:U65" si="13">ROUND(P58*T58,2)</f>
        <v>0</v>
      </c>
      <c r="V58" s="424"/>
    </row>
    <row r="59" spans="1:22" x14ac:dyDescent="0.25">
      <c r="A59" s="589"/>
      <c r="B59" s="589"/>
      <c r="C59" s="143">
        <v>0</v>
      </c>
      <c r="D59" s="143">
        <v>0</v>
      </c>
      <c r="E59" s="116">
        <f t="shared" si="10"/>
        <v>0</v>
      </c>
      <c r="F59" s="443" t="s">
        <v>439</v>
      </c>
      <c r="G59" s="443">
        <v>253</v>
      </c>
      <c r="H59" s="457">
        <f>'1461'!H59</f>
        <v>6896</v>
      </c>
      <c r="I59" s="101">
        <f t="shared" si="11"/>
        <v>0</v>
      </c>
      <c r="N59" s="619"/>
      <c r="O59" s="619"/>
      <c r="P59" s="622"/>
      <c r="Q59" s="622"/>
      <c r="R59" s="449" t="s">
        <v>439</v>
      </c>
      <c r="S59" s="449">
        <v>253</v>
      </c>
      <c r="T59" s="460">
        <f t="shared" si="12"/>
        <v>6896</v>
      </c>
      <c r="U59" s="474">
        <f t="shared" si="13"/>
        <v>0</v>
      </c>
      <c r="V59" s="424"/>
    </row>
    <row r="60" spans="1:22" x14ac:dyDescent="0.25">
      <c r="A60" s="589"/>
      <c r="B60" s="589"/>
      <c r="C60" s="143">
        <v>0</v>
      </c>
      <c r="D60" s="143">
        <v>0</v>
      </c>
      <c r="E60" s="116">
        <f t="shared" si="10"/>
        <v>0</v>
      </c>
      <c r="F60" s="444" t="s">
        <v>13</v>
      </c>
      <c r="G60" s="443">
        <v>251</v>
      </c>
      <c r="H60" s="457">
        <f>'1461'!H60</f>
        <v>1173</v>
      </c>
      <c r="I60" s="101">
        <f t="shared" si="11"/>
        <v>0</v>
      </c>
      <c r="N60" s="619"/>
      <c r="O60" s="619"/>
      <c r="P60" s="622"/>
      <c r="Q60" s="622"/>
      <c r="R60" s="40" t="s">
        <v>13</v>
      </c>
      <c r="S60" s="449">
        <v>251</v>
      </c>
      <c r="T60" s="460">
        <f t="shared" si="12"/>
        <v>1173</v>
      </c>
      <c r="U60" s="474">
        <f t="shared" si="13"/>
        <v>0</v>
      </c>
      <c r="V60" s="424"/>
    </row>
    <row r="61" spans="1:22" x14ac:dyDescent="0.25">
      <c r="A61" s="589"/>
      <c r="B61" s="589"/>
      <c r="C61" s="143">
        <v>0</v>
      </c>
      <c r="D61" s="143">
        <v>0</v>
      </c>
      <c r="E61" s="116">
        <f t="shared" si="10"/>
        <v>0</v>
      </c>
      <c r="F61" s="444" t="s">
        <v>13</v>
      </c>
      <c r="G61" s="443">
        <v>252</v>
      </c>
      <c r="H61" s="457">
        <f>'1461'!H61</f>
        <v>3506</v>
      </c>
      <c r="I61" s="101">
        <f t="shared" si="11"/>
        <v>0</v>
      </c>
      <c r="N61" s="619"/>
      <c r="O61" s="619"/>
      <c r="P61" s="622"/>
      <c r="Q61" s="622"/>
      <c r="R61" s="40" t="s">
        <v>13</v>
      </c>
      <c r="S61" s="449">
        <v>252</v>
      </c>
      <c r="T61" s="460">
        <f t="shared" si="12"/>
        <v>3506</v>
      </c>
      <c r="U61" s="474">
        <f t="shared" si="13"/>
        <v>0</v>
      </c>
      <c r="V61" s="424"/>
    </row>
    <row r="62" spans="1:22" x14ac:dyDescent="0.25">
      <c r="A62" s="589"/>
      <c r="B62" s="589"/>
      <c r="C62" s="143">
        <v>0</v>
      </c>
      <c r="D62" s="143">
        <v>0</v>
      </c>
      <c r="E62" s="116">
        <f t="shared" si="10"/>
        <v>0</v>
      </c>
      <c r="F62" s="444" t="s">
        <v>13</v>
      </c>
      <c r="G62" s="443">
        <v>253</v>
      </c>
      <c r="H62" s="457">
        <f>'1461'!H62</f>
        <v>7023</v>
      </c>
      <c r="I62" s="101">
        <f t="shared" si="11"/>
        <v>0</v>
      </c>
      <c r="N62" s="619"/>
      <c r="O62" s="619"/>
      <c r="P62" s="622"/>
      <c r="Q62" s="622"/>
      <c r="R62" s="40" t="s">
        <v>13</v>
      </c>
      <c r="S62" s="449">
        <v>253</v>
      </c>
      <c r="T62" s="460">
        <f t="shared" si="12"/>
        <v>7023</v>
      </c>
      <c r="U62" s="474">
        <f t="shared" si="13"/>
        <v>0</v>
      </c>
      <c r="V62" s="424"/>
    </row>
    <row r="63" spans="1:22" x14ac:dyDescent="0.25">
      <c r="A63" s="589"/>
      <c r="B63" s="589"/>
      <c r="C63" s="143">
        <v>22.5</v>
      </c>
      <c r="D63" s="143">
        <v>21.83</v>
      </c>
      <c r="E63" s="116">
        <f t="shared" si="10"/>
        <v>44.33</v>
      </c>
      <c r="F63" s="444" t="s">
        <v>14</v>
      </c>
      <c r="G63" s="443">
        <v>251</v>
      </c>
      <c r="H63" s="457">
        <f>'1461'!H63</f>
        <v>835</v>
      </c>
      <c r="I63" s="101">
        <f t="shared" si="11"/>
        <v>37015.550000000003</v>
      </c>
      <c r="N63" s="619"/>
      <c r="O63" s="619"/>
      <c r="P63" s="622"/>
      <c r="Q63" s="622"/>
      <c r="R63" s="40" t="s">
        <v>14</v>
      </c>
      <c r="S63" s="449">
        <v>251</v>
      </c>
      <c r="T63" s="460">
        <f t="shared" si="12"/>
        <v>835</v>
      </c>
      <c r="U63" s="474">
        <f t="shared" si="13"/>
        <v>0</v>
      </c>
      <c r="V63" s="424"/>
    </row>
    <row r="64" spans="1:22" x14ac:dyDescent="0.25">
      <c r="A64" s="589"/>
      <c r="B64" s="589"/>
      <c r="C64" s="143">
        <v>0.5</v>
      </c>
      <c r="D64" s="143">
        <v>0</v>
      </c>
      <c r="E64" s="116">
        <f t="shared" si="10"/>
        <v>0.5</v>
      </c>
      <c r="F64" s="444" t="s">
        <v>14</v>
      </c>
      <c r="G64" s="443">
        <v>252</v>
      </c>
      <c r="H64" s="457">
        <f>'1461'!H64</f>
        <v>3168</v>
      </c>
      <c r="I64" s="101">
        <f t="shared" si="11"/>
        <v>1584</v>
      </c>
      <c r="N64" s="619"/>
      <c r="O64" s="619"/>
      <c r="P64" s="622"/>
      <c r="Q64" s="622"/>
      <c r="R64" s="40" t="s">
        <v>14</v>
      </c>
      <c r="S64" s="449">
        <v>252</v>
      </c>
      <c r="T64" s="460">
        <f t="shared" si="12"/>
        <v>3168</v>
      </c>
      <c r="U64" s="474">
        <f t="shared" si="13"/>
        <v>0</v>
      </c>
      <c r="V64" s="424"/>
    </row>
    <row r="65" spans="1:22" ht="16.5" thickBot="1" x14ac:dyDescent="0.3">
      <c r="A65" s="589"/>
      <c r="B65" s="589"/>
      <c r="C65" s="143">
        <v>0</v>
      </c>
      <c r="D65" s="143">
        <v>0</v>
      </c>
      <c r="E65" s="116">
        <f t="shared" si="10"/>
        <v>0</v>
      </c>
      <c r="F65" s="444" t="s">
        <v>14</v>
      </c>
      <c r="G65" s="443">
        <v>253</v>
      </c>
      <c r="H65" s="457">
        <f>'1461'!H65</f>
        <v>6685</v>
      </c>
      <c r="I65" s="101">
        <f t="shared" si="11"/>
        <v>0</v>
      </c>
      <c r="N65" s="619"/>
      <c r="O65" s="619"/>
      <c r="P65" s="623"/>
      <c r="Q65" s="623"/>
      <c r="R65" s="40" t="s">
        <v>14</v>
      </c>
      <c r="S65" s="449">
        <v>253</v>
      </c>
      <c r="T65" s="460">
        <f t="shared" si="12"/>
        <v>6685</v>
      </c>
      <c r="U65" s="475">
        <f t="shared" si="13"/>
        <v>0</v>
      </c>
      <c r="V65" s="424"/>
    </row>
    <row r="66" spans="1:22" ht="16.5" thickBot="1" x14ac:dyDescent="0.3">
      <c r="A66" s="440"/>
      <c r="C66" s="97">
        <f>SUM(C57:C65)</f>
        <v>23</v>
      </c>
      <c r="D66" s="97">
        <f>SUM(D57:D65)</f>
        <v>21.83</v>
      </c>
      <c r="E66" s="97">
        <f>SUM(E57:E65)</f>
        <v>44.83</v>
      </c>
      <c r="F66" s="590" t="s">
        <v>448</v>
      </c>
      <c r="G66" s="590"/>
      <c r="H66" s="590"/>
      <c r="I66" s="97">
        <f>SUM(I57:I65)</f>
        <v>38599.550000000003</v>
      </c>
      <c r="N66" s="446"/>
      <c r="O66" s="51"/>
      <c r="P66" s="602">
        <f>SUM(P57:P65)</f>
        <v>0</v>
      </c>
      <c r="Q66" s="602"/>
      <c r="R66" s="603" t="s">
        <v>448</v>
      </c>
      <c r="S66" s="603"/>
      <c r="T66" s="603"/>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450</v>
      </c>
      <c r="N68" s="453" t="s">
        <v>458</v>
      </c>
      <c r="O68" s="51"/>
      <c r="P68" s="51"/>
      <c r="Q68" s="51"/>
      <c r="R68" s="51"/>
      <c r="S68" s="51"/>
      <c r="T68" s="51"/>
      <c r="U68" s="51"/>
    </row>
    <row r="69" spans="1:22" x14ac:dyDescent="0.25">
      <c r="A69" s="584" t="s">
        <v>403</v>
      </c>
      <c r="B69" s="578"/>
      <c r="C69" s="112">
        <f>E30</f>
        <v>310.33000000000004</v>
      </c>
      <c r="D69" s="565" t="s">
        <v>414</v>
      </c>
      <c r="E69" s="565"/>
      <c r="F69" s="565"/>
      <c r="G69" s="565"/>
      <c r="H69" s="300">
        <f>'1461'!H69</f>
        <v>210228.91</v>
      </c>
      <c r="I69" s="113"/>
      <c r="N69" s="600" t="s">
        <v>407</v>
      </c>
      <c r="O69" s="601"/>
      <c r="P69" s="41">
        <f>P30</f>
        <v>0</v>
      </c>
      <c r="Q69" s="606" t="s">
        <v>409</v>
      </c>
      <c r="R69" s="607"/>
      <c r="S69" s="607"/>
      <c r="T69" s="604">
        <f>H69</f>
        <v>210228.91</v>
      </c>
      <c r="U69" s="604"/>
    </row>
    <row r="70" spans="1:22" x14ac:dyDescent="0.25">
      <c r="B70" s="69"/>
      <c r="G70" s="42" t="s">
        <v>12</v>
      </c>
      <c r="H70" s="114">
        <f>ROUND(C69/H69,6)</f>
        <v>1.4760000000000001E-3</v>
      </c>
      <c r="I70" s="115"/>
      <c r="N70" s="601"/>
      <c r="O70" s="601"/>
      <c r="P70" s="601"/>
      <c r="Q70" s="601"/>
      <c r="R70" s="601"/>
      <c r="S70" s="601"/>
      <c r="T70" s="605">
        <f>ROUND(P69/T69,6)</f>
        <v>0</v>
      </c>
      <c r="U70" s="605"/>
    </row>
    <row r="71" spans="1:22" x14ac:dyDescent="0.25">
      <c r="A71" s="442" t="s">
        <v>451</v>
      </c>
      <c r="N71" s="453" t="s">
        <v>459</v>
      </c>
      <c r="O71" s="51"/>
      <c r="P71" s="51"/>
      <c r="Q71" s="51"/>
      <c r="R71" s="51"/>
      <c r="S71" s="51"/>
      <c r="T71" s="51"/>
      <c r="U71" s="51"/>
    </row>
    <row r="72" spans="1:22" x14ac:dyDescent="0.25">
      <c r="A72" s="584" t="s">
        <v>404</v>
      </c>
      <c r="B72" s="578"/>
      <c r="C72" s="112">
        <f>H30</f>
        <v>313.18349999999998</v>
      </c>
      <c r="D72" s="565" t="s">
        <v>415</v>
      </c>
      <c r="E72" s="565"/>
      <c r="F72" s="565"/>
      <c r="G72" s="565"/>
      <c r="H72" s="301">
        <f>'1461'!H72</f>
        <v>234891.44</v>
      </c>
      <c r="I72" s="116"/>
      <c r="N72" s="600" t="s">
        <v>408</v>
      </c>
      <c r="O72" s="601"/>
      <c r="P72" s="41">
        <f>T30</f>
        <v>0</v>
      </c>
      <c r="Q72" s="606" t="s">
        <v>410</v>
      </c>
      <c r="R72" s="607"/>
      <c r="S72" s="607"/>
      <c r="T72" s="604">
        <f>H72</f>
        <v>234891.44</v>
      </c>
      <c r="U72" s="604"/>
    </row>
    <row r="73" spans="1:22" x14ac:dyDescent="0.25">
      <c r="G73" s="42" t="s">
        <v>12</v>
      </c>
      <c r="H73" s="114">
        <f>ROUND(C72/H72,6)</f>
        <v>1.333E-3</v>
      </c>
      <c r="I73" s="114"/>
      <c r="N73" s="601"/>
      <c r="O73" s="601"/>
      <c r="P73" s="601"/>
      <c r="Q73" s="601"/>
      <c r="R73" s="601"/>
      <c r="S73" s="601"/>
      <c r="T73" s="605">
        <f>ROUND(P72/T72,6)</f>
        <v>0</v>
      </c>
      <c r="U73" s="605"/>
    </row>
    <row r="74" spans="1:22" x14ac:dyDescent="0.25">
      <c r="A74" s="417" t="s">
        <v>452</v>
      </c>
      <c r="B74" s="414"/>
      <c r="C74" s="414"/>
      <c r="D74" s="414"/>
      <c r="E74" s="414"/>
      <c r="F74" s="414"/>
      <c r="G74" s="414"/>
      <c r="H74" s="414"/>
      <c r="I74" s="414"/>
      <c r="N74" s="416" t="s">
        <v>460</v>
      </c>
      <c r="O74" s="415"/>
      <c r="P74" s="415"/>
      <c r="Q74" s="415"/>
      <c r="R74" s="415"/>
      <c r="S74" s="415"/>
      <c r="T74" s="415"/>
      <c r="U74" s="415"/>
      <c r="V74" s="414"/>
    </row>
    <row r="75" spans="1:22" x14ac:dyDescent="0.25">
      <c r="A75" s="584" t="s">
        <v>405</v>
      </c>
      <c r="B75" s="578"/>
      <c r="C75" s="112">
        <f>E30</f>
        <v>310.33000000000004</v>
      </c>
      <c r="D75" s="557" t="s">
        <v>416</v>
      </c>
      <c r="E75" s="557"/>
      <c r="F75" s="557"/>
      <c r="G75" s="557"/>
      <c r="H75" s="300">
        <f>'1461'!H75</f>
        <v>187665.41</v>
      </c>
      <c r="I75" s="113"/>
      <c r="N75" s="600" t="s">
        <v>406</v>
      </c>
      <c r="O75" s="601"/>
      <c r="P75" s="41">
        <f>P30</f>
        <v>0</v>
      </c>
      <c r="Q75" s="636" t="s">
        <v>411</v>
      </c>
      <c r="R75" s="637"/>
      <c r="S75" s="637"/>
      <c r="T75" s="604">
        <f>H75</f>
        <v>187665.41</v>
      </c>
      <c r="U75" s="604"/>
    </row>
    <row r="76" spans="1:22" x14ac:dyDescent="0.25">
      <c r="B76" s="69"/>
      <c r="G76" s="42" t="s">
        <v>12</v>
      </c>
      <c r="H76" s="114">
        <f>ROUND(C75/H75,6)</f>
        <v>1.6540000000000001E-3</v>
      </c>
      <c r="I76" s="115"/>
      <c r="N76" s="601"/>
      <c r="O76" s="601"/>
      <c r="P76" s="601"/>
      <c r="Q76" s="601"/>
      <c r="R76" s="601"/>
      <c r="S76" s="601"/>
      <c r="T76" s="605">
        <f>ROUND(P75/T75,6)</f>
        <v>0</v>
      </c>
      <c r="U76" s="605"/>
    </row>
    <row r="77" spans="1:22" x14ac:dyDescent="0.25">
      <c r="A77" s="417" t="s">
        <v>453</v>
      </c>
      <c r="B77" s="414"/>
      <c r="C77" s="414"/>
      <c r="D77" s="414"/>
      <c r="E77" s="414"/>
      <c r="F77" s="414"/>
      <c r="G77" s="414"/>
      <c r="H77" s="414"/>
      <c r="I77" s="414"/>
      <c r="N77" s="416" t="s">
        <v>461</v>
      </c>
      <c r="O77" s="415"/>
      <c r="P77" s="415"/>
      <c r="Q77" s="415"/>
      <c r="R77" s="415"/>
      <c r="S77" s="415"/>
      <c r="T77" s="415"/>
      <c r="U77" s="415"/>
      <c r="V77" s="414"/>
    </row>
    <row r="78" spans="1:22" x14ac:dyDescent="0.25">
      <c r="A78" s="584" t="s">
        <v>405</v>
      </c>
      <c r="B78" s="578"/>
      <c r="C78" s="112">
        <f>E30</f>
        <v>310.33000000000004</v>
      </c>
      <c r="D78" s="585" t="s">
        <v>417</v>
      </c>
      <c r="E78" s="585"/>
      <c r="F78" s="585"/>
      <c r="G78" s="585"/>
      <c r="H78" s="300">
        <f>'1461'!H78</f>
        <v>209892.26</v>
      </c>
      <c r="I78" s="113"/>
      <c r="N78" s="600" t="s">
        <v>406</v>
      </c>
      <c r="O78" s="601"/>
      <c r="P78" s="41">
        <f>P30</f>
        <v>0</v>
      </c>
      <c r="Q78" s="634" t="s">
        <v>412</v>
      </c>
      <c r="R78" s="635"/>
      <c r="S78" s="635"/>
      <c r="T78" s="604">
        <f>H78</f>
        <v>209892.26</v>
      </c>
      <c r="U78" s="604"/>
    </row>
    <row r="79" spans="1:22" x14ac:dyDescent="0.25">
      <c r="B79" s="69"/>
      <c r="G79" s="42" t="s">
        <v>12</v>
      </c>
      <c r="H79" s="114">
        <f>ROUND(C78/H78,6)</f>
        <v>1.4790000000000001E-3</v>
      </c>
      <c r="I79" s="115"/>
      <c r="N79" s="601"/>
      <c r="O79" s="601"/>
      <c r="P79" s="601"/>
      <c r="Q79" s="601"/>
      <c r="R79" s="601"/>
      <c r="S79" s="601"/>
      <c r="T79" s="605">
        <f>ROUND(P78/T78,6)</f>
        <v>0</v>
      </c>
      <c r="U79" s="605"/>
    </row>
    <row r="80" spans="1:22" x14ac:dyDescent="0.25">
      <c r="A80" s="417" t="s">
        <v>454</v>
      </c>
      <c r="B80" s="414"/>
      <c r="C80" s="414"/>
      <c r="D80" s="414"/>
      <c r="E80" s="414"/>
      <c r="F80" s="414"/>
      <c r="G80" s="414"/>
      <c r="H80" s="414"/>
      <c r="I80" s="414"/>
      <c r="N80" s="416" t="s">
        <v>462</v>
      </c>
      <c r="O80" s="415"/>
      <c r="P80" s="415"/>
      <c r="Q80" s="415"/>
      <c r="R80" s="415"/>
      <c r="S80" s="415"/>
      <c r="T80" s="415"/>
      <c r="U80" s="415"/>
      <c r="V80" s="414"/>
    </row>
    <row r="81" spans="1:21" x14ac:dyDescent="0.25">
      <c r="A81" s="584" t="s">
        <v>413</v>
      </c>
      <c r="B81" s="578"/>
      <c r="C81" s="112">
        <f>E30</f>
        <v>310.33000000000004</v>
      </c>
      <c r="D81" s="557" t="s">
        <v>418</v>
      </c>
      <c r="E81" s="557"/>
      <c r="F81" s="557"/>
      <c r="G81" s="557"/>
      <c r="H81" s="300">
        <f>'1461'!H81</f>
        <v>187328.76</v>
      </c>
      <c r="I81" s="113"/>
      <c r="N81" s="600" t="s">
        <v>419</v>
      </c>
      <c r="O81" s="601"/>
      <c r="P81" s="41">
        <f>P30</f>
        <v>0</v>
      </c>
      <c r="Q81" s="636" t="s">
        <v>420</v>
      </c>
      <c r="R81" s="637"/>
      <c r="S81" s="637"/>
      <c r="T81" s="604">
        <f>H81</f>
        <v>187328.76</v>
      </c>
      <c r="U81" s="604"/>
    </row>
    <row r="82" spans="1:21" x14ac:dyDescent="0.25">
      <c r="B82" s="69"/>
      <c r="G82" s="42" t="s">
        <v>12</v>
      </c>
      <c r="H82" s="114">
        <f>ROUND(C81/H81,6)</f>
        <v>1.6570000000000001E-3</v>
      </c>
      <c r="I82" s="115"/>
      <c r="N82" s="601"/>
      <c r="O82" s="601"/>
      <c r="P82" s="601"/>
      <c r="Q82" s="601"/>
      <c r="R82" s="601"/>
      <c r="S82" s="601"/>
      <c r="T82" s="605">
        <f>ROUND(P81/T81,6)</f>
        <v>0</v>
      </c>
      <c r="U82" s="605"/>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455</v>
      </c>
      <c r="D85" s="69"/>
      <c r="E85" s="43" t="s">
        <v>299</v>
      </c>
      <c r="F85" s="302">
        <f>'1461'!F85</f>
        <v>46163704</v>
      </c>
      <c r="G85" s="37" t="s">
        <v>6</v>
      </c>
      <c r="H85" s="422">
        <f>H79</f>
        <v>1.4790000000000001E-3</v>
      </c>
      <c r="I85" s="101">
        <f>ROUND(F85*H85,2)</f>
        <v>68276.12</v>
      </c>
      <c r="N85" s="453" t="s">
        <v>455</v>
      </c>
      <c r="O85" s="51"/>
      <c r="P85" s="51"/>
      <c r="Q85" s="44"/>
      <c r="R85" s="419">
        <f>F85</f>
        <v>46163704</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87" t="s">
        <v>71</v>
      </c>
      <c r="B87" s="578"/>
      <c r="C87" s="578"/>
      <c r="D87" s="69"/>
      <c r="E87" s="43"/>
      <c r="F87" s="153"/>
      <c r="G87" s="37"/>
      <c r="H87" s="422"/>
      <c r="I87" s="101"/>
      <c r="N87" s="600" t="s">
        <v>463</v>
      </c>
      <c r="O87" s="601"/>
      <c r="P87" s="601"/>
      <c r="Q87" s="51"/>
      <c r="R87" s="420"/>
      <c r="S87" s="51"/>
      <c r="T87" s="38"/>
      <c r="U87" s="478"/>
    </row>
    <row r="88" spans="1:21" x14ac:dyDescent="0.25">
      <c r="A88" s="587" t="s">
        <v>99</v>
      </c>
      <c r="B88" s="578"/>
      <c r="C88" s="578"/>
      <c r="D88" s="69"/>
      <c r="E88" s="43" t="s">
        <v>3</v>
      </c>
      <c r="F88" s="302">
        <f>'1461'!F88</f>
        <v>0</v>
      </c>
      <c r="G88" s="37" t="s">
        <v>6</v>
      </c>
      <c r="H88" s="422">
        <f>H70</f>
        <v>1.4760000000000001E-3</v>
      </c>
      <c r="I88" s="101">
        <f>ROUND(F88*H88,2)</f>
        <v>0</v>
      </c>
      <c r="N88" s="638" t="s">
        <v>99</v>
      </c>
      <c r="O88" s="601"/>
      <c r="P88" s="601"/>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456</v>
      </c>
      <c r="D90" s="69"/>
      <c r="E90" s="43" t="s">
        <v>421</v>
      </c>
      <c r="F90" s="302">
        <f>'1461'!F90</f>
        <v>19042026</v>
      </c>
      <c r="G90" s="37" t="s">
        <v>6</v>
      </c>
      <c r="H90" s="422">
        <f>H82</f>
        <v>1.6570000000000001E-3</v>
      </c>
      <c r="I90" s="101">
        <f>ROUND(F90*H90,2)</f>
        <v>31552.639999999999</v>
      </c>
      <c r="N90" s="453" t="s">
        <v>456</v>
      </c>
      <c r="O90" s="51"/>
      <c r="P90" s="51"/>
      <c r="Q90" s="44"/>
      <c r="R90" s="419">
        <f>F90</f>
        <v>19042026</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457</v>
      </c>
      <c r="D92" s="69"/>
      <c r="E92" s="43" t="s">
        <v>3</v>
      </c>
      <c r="F92" s="302">
        <f>'1461'!F92</f>
        <v>11441151</v>
      </c>
      <c r="G92" s="37" t="s">
        <v>6</v>
      </c>
      <c r="H92" s="422">
        <f>H76</f>
        <v>1.6540000000000001E-3</v>
      </c>
      <c r="I92" s="101">
        <f t="shared" ref="I92:I96" si="14">ROUND(F92*H92,2)</f>
        <v>18923.66</v>
      </c>
      <c r="N92" s="453" t="s">
        <v>457</v>
      </c>
      <c r="O92" s="51"/>
      <c r="P92" s="51"/>
      <c r="Q92" s="44"/>
      <c r="R92" s="419">
        <f t="shared" ref="R92:R96" si="15">F92</f>
        <v>11441151</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84" t="s">
        <v>422</v>
      </c>
      <c r="B94" s="578"/>
      <c r="C94" s="578"/>
      <c r="D94" s="69"/>
      <c r="E94" s="43" t="s">
        <v>4</v>
      </c>
      <c r="F94" s="302">
        <f>'1461'!F94</f>
        <v>247265670</v>
      </c>
      <c r="G94" s="37" t="s">
        <v>6</v>
      </c>
      <c r="H94" s="422">
        <f>H73</f>
        <v>1.333E-3</v>
      </c>
      <c r="I94" s="101">
        <f t="shared" si="14"/>
        <v>329605.14</v>
      </c>
      <c r="N94" s="601" t="s">
        <v>422</v>
      </c>
      <c r="O94" s="601"/>
      <c r="P94" s="601"/>
      <c r="Q94" s="44"/>
      <c r="R94" s="419">
        <f t="shared" si="15"/>
        <v>247265670</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4" t="s">
        <v>423</v>
      </c>
      <c r="B96" s="578"/>
      <c r="C96" s="578"/>
      <c r="D96" s="69"/>
      <c r="E96" s="43" t="s">
        <v>4</v>
      </c>
      <c r="F96" s="302">
        <f>'1461'!F96</f>
        <v>0</v>
      </c>
      <c r="G96" s="37" t="s">
        <v>6</v>
      </c>
      <c r="H96" s="422">
        <f>H73</f>
        <v>1.333E-3</v>
      </c>
      <c r="I96" s="101">
        <f t="shared" si="14"/>
        <v>0</v>
      </c>
      <c r="N96" s="600" t="s">
        <v>423</v>
      </c>
      <c r="O96" s="601"/>
      <c r="P96" s="601"/>
      <c r="Q96" s="44"/>
      <c r="R96" s="419">
        <f t="shared" si="15"/>
        <v>0</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530" t="s">
        <v>497</v>
      </c>
      <c r="B98" s="529"/>
      <c r="C98" s="529"/>
      <c r="D98" s="529"/>
      <c r="E98" s="527" t="s">
        <v>3</v>
      </c>
      <c r="F98" s="290">
        <v>0</v>
      </c>
      <c r="G98" s="528" t="s">
        <v>6</v>
      </c>
      <c r="H98" s="422">
        <f>H70</f>
        <v>1.4760000000000001E-3</v>
      </c>
      <c r="I98" s="101">
        <f t="shared" ref="I98" si="16">ROUND(F98*H98,2)</f>
        <v>0</v>
      </c>
      <c r="N98" s="533" t="s">
        <v>497</v>
      </c>
      <c r="O98" s="533"/>
      <c r="P98" s="533"/>
      <c r="Q98" s="44"/>
      <c r="R98" s="536">
        <f>F98</f>
        <v>0</v>
      </c>
      <c r="S98" s="534" t="s">
        <v>6</v>
      </c>
      <c r="T98" s="421">
        <f>T70</f>
        <v>0</v>
      </c>
      <c r="U98" s="473">
        <f>ROUND(R98*T98,2)</f>
        <v>0</v>
      </c>
    </row>
    <row r="99" spans="1:21" x14ac:dyDescent="0.25">
      <c r="A99" s="530"/>
      <c r="B99" s="529"/>
      <c r="C99" s="529"/>
      <c r="D99" s="529"/>
      <c r="E99" s="527"/>
      <c r="F99" s="276"/>
      <c r="G99" s="528"/>
      <c r="H99" s="422"/>
      <c r="I99" s="101"/>
      <c r="N99" s="533"/>
      <c r="O99" s="533"/>
      <c r="P99" s="533"/>
      <c r="Q99" s="44"/>
      <c r="R99" s="535"/>
      <c r="S99" s="534"/>
      <c r="T99" s="421"/>
      <c r="U99" s="477"/>
    </row>
    <row r="100" spans="1:21" x14ac:dyDescent="0.25">
      <c r="A100" s="530"/>
      <c r="B100" s="529"/>
      <c r="C100" s="529"/>
      <c r="D100" s="529"/>
      <c r="E100" s="527"/>
      <c r="F100" s="276"/>
      <c r="G100" s="528"/>
      <c r="H100" s="422"/>
      <c r="I100" s="101"/>
      <c r="N100" s="533"/>
      <c r="O100" s="533"/>
      <c r="P100" s="533"/>
      <c r="Q100" s="44"/>
      <c r="R100" s="420"/>
      <c r="S100" s="534"/>
      <c r="T100" s="421"/>
      <c r="U100" s="103"/>
    </row>
    <row r="101" spans="1:21" x14ac:dyDescent="0.25">
      <c r="A101" s="399" t="s">
        <v>498</v>
      </c>
      <c r="N101" s="407" t="s">
        <v>498</v>
      </c>
      <c r="O101" s="51"/>
      <c r="P101" s="51"/>
      <c r="Q101" s="51"/>
      <c r="R101" s="51"/>
      <c r="S101" s="51"/>
      <c r="T101" s="51"/>
      <c r="U101" s="51"/>
    </row>
    <row r="102" spans="1:21" x14ac:dyDescent="0.25">
      <c r="B102" s="69"/>
      <c r="C102" s="563" t="s">
        <v>60</v>
      </c>
      <c r="D102" s="563"/>
      <c r="E102" s="69"/>
      <c r="F102" s="39" t="s">
        <v>28</v>
      </c>
      <c r="G102" s="69"/>
      <c r="H102" s="69"/>
      <c r="I102" s="69"/>
      <c r="N102" s="45"/>
      <c r="O102" s="45"/>
      <c r="P102" s="45"/>
      <c r="Q102" s="45"/>
      <c r="R102" s="45"/>
      <c r="S102" s="45"/>
      <c r="T102" s="45"/>
      <c r="U102" s="45"/>
    </row>
    <row r="103" spans="1:21" x14ac:dyDescent="0.25">
      <c r="A103" s="3"/>
      <c r="B103" s="118"/>
      <c r="C103" s="564" t="s">
        <v>101</v>
      </c>
      <c r="D103" s="564"/>
      <c r="E103" s="423" t="s">
        <v>426</v>
      </c>
      <c r="F103" s="120" t="s">
        <v>106</v>
      </c>
      <c r="G103" s="121"/>
      <c r="H103" s="121"/>
      <c r="I103" s="121"/>
      <c r="N103" s="631" t="s">
        <v>35</v>
      </c>
      <c r="O103" s="631"/>
      <c r="P103" s="672" t="s">
        <v>428</v>
      </c>
      <c r="Q103" s="633"/>
      <c r="R103" s="604" t="s">
        <v>31</v>
      </c>
      <c r="S103" s="604"/>
      <c r="T103" s="604"/>
      <c r="U103" s="604"/>
    </row>
    <row r="104" spans="1:21" x14ac:dyDescent="0.25">
      <c r="A104" s="26"/>
      <c r="B104" s="52" t="s">
        <v>105</v>
      </c>
      <c r="C104" s="596">
        <f>H14+H15+H20+H23+H26</f>
        <v>0</v>
      </c>
      <c r="D104" s="596"/>
      <c r="E104" s="46">
        <f>H8</f>
        <v>1.0407999999999999</v>
      </c>
      <c r="F104" s="303">
        <f>'1461'!F104</f>
        <v>950.92</v>
      </c>
      <c r="G104" s="39" t="s">
        <v>12</v>
      </c>
      <c r="H104" s="101">
        <f>ROUND(C104*E104*F104,2)</f>
        <v>0</v>
      </c>
      <c r="I104" s="104"/>
      <c r="N104" s="28" t="s">
        <v>17</v>
      </c>
      <c r="O104" s="47">
        <f>T14+T15+T20+T23+T26</f>
        <v>0</v>
      </c>
      <c r="P104" s="611">
        <f>T8</f>
        <v>1.0407999999999999</v>
      </c>
      <c r="Q104" s="611"/>
      <c r="R104" s="48">
        <f>F104</f>
        <v>950.92</v>
      </c>
      <c r="S104" s="40" t="s">
        <v>12</v>
      </c>
      <c r="T104" s="479">
        <f>ROUND(O104*P104*R104,2)</f>
        <v>0</v>
      </c>
      <c r="U104" s="102"/>
    </row>
    <row r="105" spans="1:21" x14ac:dyDescent="0.25">
      <c r="A105" s="49"/>
      <c r="B105" s="49" t="s">
        <v>104</v>
      </c>
      <c r="C105" s="596">
        <f>H16+H17+H21+H24+H27</f>
        <v>0</v>
      </c>
      <c r="D105" s="596"/>
      <c r="E105" s="46">
        <f>H8</f>
        <v>1.0407999999999999</v>
      </c>
      <c r="F105" s="303">
        <f>'1461'!F105</f>
        <v>907.92</v>
      </c>
      <c r="G105" s="39" t="s">
        <v>12</v>
      </c>
      <c r="H105" s="101">
        <f>ROUND(C105*E105*F105,2)</f>
        <v>0</v>
      </c>
      <c r="N105" s="50" t="s">
        <v>13</v>
      </c>
      <c r="O105" s="47">
        <f>T16+T17+T21+T24+T27</f>
        <v>0</v>
      </c>
      <c r="P105" s="611">
        <f>T8</f>
        <v>1.0407999999999999</v>
      </c>
      <c r="Q105" s="611"/>
      <c r="R105" s="48">
        <f>F105</f>
        <v>907.92</v>
      </c>
      <c r="S105" s="40" t="s">
        <v>12</v>
      </c>
      <c r="T105" s="479">
        <f>ROUND(O105*P105*R105,2)</f>
        <v>0</v>
      </c>
      <c r="U105" s="51"/>
    </row>
    <row r="106" spans="1:21" ht="16.5" thickBot="1" x14ac:dyDescent="0.3">
      <c r="A106" s="52"/>
      <c r="B106" s="52" t="s">
        <v>103</v>
      </c>
      <c r="C106" s="596">
        <f>H18+H19+H22+H25+H28+H29</f>
        <v>313.18349999999998</v>
      </c>
      <c r="D106" s="596"/>
      <c r="E106" s="46">
        <f>H8</f>
        <v>1.0407999999999999</v>
      </c>
      <c r="F106" s="303">
        <f>'1461'!F106</f>
        <v>910.12</v>
      </c>
      <c r="G106" s="39" t="s">
        <v>12</v>
      </c>
      <c r="H106" s="94">
        <f>ROUND(C106*E106*F106,2)</f>
        <v>296663.98</v>
      </c>
      <c r="N106" s="53" t="s">
        <v>14</v>
      </c>
      <c r="O106" s="54">
        <f>T18+T19+T22+T25+T28+T29</f>
        <v>0</v>
      </c>
      <c r="P106" s="611">
        <f>T8</f>
        <v>1.0407999999999999</v>
      </c>
      <c r="Q106" s="611"/>
      <c r="R106" s="48">
        <f>F106</f>
        <v>910.12</v>
      </c>
      <c r="S106" s="40" t="s">
        <v>12</v>
      </c>
      <c r="T106" s="479">
        <f>ROUND(O106*P106*R106,2)</f>
        <v>0</v>
      </c>
      <c r="U106" s="51"/>
    </row>
    <row r="107" spans="1:21" ht="16.5" thickBot="1" x14ac:dyDescent="0.3">
      <c r="A107" s="55"/>
      <c r="B107" s="122" t="s">
        <v>102</v>
      </c>
      <c r="C107" s="586">
        <f>SUM(C104:C106)</f>
        <v>313.18349999999998</v>
      </c>
      <c r="D107" s="586"/>
      <c r="E107" s="123"/>
      <c r="F107" s="123"/>
      <c r="G107" s="123"/>
      <c r="H107" s="124" t="s">
        <v>100</v>
      </c>
      <c r="I107" s="101">
        <f>IF(A1=75,0,H106+H105+H104)</f>
        <v>296663.98</v>
      </c>
      <c r="N107" s="56" t="s">
        <v>89</v>
      </c>
      <c r="O107" s="57">
        <f>SUM(O104:O106)</f>
        <v>0</v>
      </c>
      <c r="P107" s="612" t="s">
        <v>16</v>
      </c>
      <c r="Q107" s="613"/>
      <c r="R107" s="613"/>
      <c r="S107" s="613"/>
      <c r="T107" s="613"/>
      <c r="U107" s="473">
        <f>IF(N1=75,0,T106+T105+T104)</f>
        <v>0</v>
      </c>
    </row>
    <row r="108" spans="1:21" ht="16.5" thickTop="1" x14ac:dyDescent="0.25">
      <c r="A108" s="555" t="s">
        <v>65</v>
      </c>
      <c r="B108" s="555"/>
      <c r="C108" s="555"/>
      <c r="D108" s="555"/>
      <c r="E108" s="555"/>
      <c r="F108" s="555"/>
      <c r="G108" s="555"/>
      <c r="H108" s="555"/>
      <c r="I108" s="555"/>
      <c r="N108" s="614" t="s">
        <v>65</v>
      </c>
      <c r="O108" s="614"/>
      <c r="P108" s="614"/>
      <c r="Q108" s="614"/>
      <c r="R108" s="614"/>
      <c r="S108" s="614"/>
      <c r="T108" s="614"/>
      <c r="U108" s="614"/>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0" t="s">
        <v>499</v>
      </c>
      <c r="C110" s="43"/>
      <c r="D110" s="69"/>
      <c r="E110" s="43" t="s">
        <v>32</v>
      </c>
      <c r="F110" s="556"/>
      <c r="G110" s="556"/>
      <c r="H110" s="556"/>
      <c r="I110" s="556"/>
      <c r="N110" s="600" t="s">
        <v>499</v>
      </c>
      <c r="O110" s="601"/>
      <c r="P110" s="601"/>
      <c r="Q110" s="615"/>
      <c r="R110" s="615"/>
      <c r="S110" s="615"/>
      <c r="T110" s="615"/>
      <c r="U110" s="103"/>
    </row>
    <row r="111" spans="1:21" x14ac:dyDescent="0.25">
      <c r="B111" s="69"/>
      <c r="C111" s="88" t="s">
        <v>494</v>
      </c>
      <c r="D111" s="333" t="s">
        <v>495</v>
      </c>
      <c r="E111" s="89" t="s">
        <v>107</v>
      </c>
      <c r="F111" s="43"/>
      <c r="G111" s="43"/>
      <c r="H111" s="43"/>
      <c r="I111" s="43"/>
      <c r="N111" s="45"/>
      <c r="O111" s="45"/>
      <c r="P111" s="45"/>
      <c r="Q111" s="125"/>
      <c r="R111" s="125"/>
      <c r="S111" s="125"/>
      <c r="T111" s="125"/>
      <c r="U111" s="103"/>
    </row>
    <row r="112" spans="1:21" x14ac:dyDescent="0.25">
      <c r="B112" s="69"/>
      <c r="C112" s="326" t="s">
        <v>2</v>
      </c>
      <c r="D112" s="324" t="s">
        <v>2</v>
      </c>
      <c r="E112" s="324" t="s">
        <v>2</v>
      </c>
      <c r="F112" s="43"/>
      <c r="G112" s="43"/>
      <c r="H112" s="43"/>
      <c r="I112" s="43"/>
      <c r="N112" s="45"/>
      <c r="O112" s="45"/>
      <c r="P112" s="45"/>
      <c r="Q112" s="125"/>
      <c r="R112" s="125"/>
      <c r="S112" s="125"/>
      <c r="T112" s="125"/>
      <c r="U112" s="103"/>
    </row>
    <row r="113" spans="1:21" x14ac:dyDescent="0.25">
      <c r="A113" s="557" t="s">
        <v>381</v>
      </c>
      <c r="B113" s="558"/>
      <c r="C113" s="143">
        <v>2</v>
      </c>
      <c r="D113" s="143">
        <v>0</v>
      </c>
      <c r="E113" s="144">
        <f>(C113+D113)/2</f>
        <v>1</v>
      </c>
      <c r="F113" s="126" t="s">
        <v>30</v>
      </c>
      <c r="G113" s="304">
        <f>'1461'!G113</f>
        <v>576</v>
      </c>
      <c r="I113" s="101">
        <f>ROUND(G113*E113,2)</f>
        <v>576</v>
      </c>
      <c r="N113" s="630" t="s">
        <v>52</v>
      </c>
      <c r="O113" s="630"/>
      <c r="P113" s="610">
        <f>IF(H133=1,E113,0)</f>
        <v>0</v>
      </c>
      <c r="Q113" s="610"/>
      <c r="R113" s="610"/>
      <c r="S113" s="83" t="s">
        <v>30</v>
      </c>
      <c r="T113" s="58">
        <f>G113</f>
        <v>576</v>
      </c>
      <c r="U113" s="473">
        <f>ROUND(T113*P113,2)</f>
        <v>0</v>
      </c>
    </row>
    <row r="114" spans="1:21" x14ac:dyDescent="0.25">
      <c r="A114" s="557" t="s">
        <v>382</v>
      </c>
      <c r="B114" s="558"/>
      <c r="C114" s="143">
        <v>0</v>
      </c>
      <c r="D114" s="143">
        <v>0</v>
      </c>
      <c r="E114" s="144">
        <f>C114</f>
        <v>0</v>
      </c>
      <c r="F114" s="126" t="s">
        <v>30</v>
      </c>
      <c r="G114" s="304">
        <f>'1461'!G114</f>
        <v>1823</v>
      </c>
      <c r="I114" s="101">
        <f>ROUND(G114*E114,2)</f>
        <v>0</v>
      </c>
      <c r="N114" s="630" t="s">
        <v>64</v>
      </c>
      <c r="O114" s="630"/>
      <c r="P114" s="608"/>
      <c r="Q114" s="608"/>
      <c r="R114" s="608"/>
      <c r="S114" s="83" t="s">
        <v>30</v>
      </c>
      <c r="T114" s="58">
        <f>G114</f>
        <v>1823</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4" t="s">
        <v>430</v>
      </c>
      <c r="B117" s="578"/>
      <c r="C117" s="578"/>
      <c r="D117" s="69"/>
      <c r="E117" s="39" t="s">
        <v>300</v>
      </c>
      <c r="F117" s="563"/>
      <c r="G117" s="563"/>
      <c r="H117" s="563"/>
      <c r="I117" s="563"/>
      <c r="N117" s="600" t="s">
        <v>431</v>
      </c>
      <c r="O117" s="601"/>
      <c r="P117" s="601"/>
      <c r="Q117" s="601"/>
      <c r="R117" s="601"/>
      <c r="S117" s="601"/>
      <c r="T117" s="601"/>
      <c r="U117" s="601"/>
    </row>
    <row r="118" spans="1:21" hidden="1" x14ac:dyDescent="0.25">
      <c r="B118" s="69"/>
      <c r="C118" s="564" t="s">
        <v>66</v>
      </c>
      <c r="D118" s="564"/>
      <c r="E118" s="564"/>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5" t="s">
        <v>109</v>
      </c>
      <c r="G119" s="563"/>
      <c r="H119" s="37" t="s">
        <v>29</v>
      </c>
      <c r="I119" s="37"/>
      <c r="N119" s="45"/>
      <c r="O119" s="45"/>
      <c r="P119" s="45"/>
      <c r="Q119" s="45"/>
      <c r="R119" s="45"/>
      <c r="S119" s="45"/>
      <c r="T119" s="45"/>
      <c r="U119" s="45"/>
    </row>
    <row r="120" spans="1:21" hidden="1" x14ac:dyDescent="0.25">
      <c r="A120" s="564" t="s">
        <v>69</v>
      </c>
      <c r="B120" s="564"/>
      <c r="C120" s="90" t="s">
        <v>2</v>
      </c>
      <c r="D120" s="90" t="s">
        <v>2</v>
      </c>
      <c r="E120" s="59" t="s">
        <v>2</v>
      </c>
      <c r="F120" s="564" t="s">
        <v>28</v>
      </c>
      <c r="G120" s="564"/>
      <c r="H120" s="59" t="s">
        <v>28</v>
      </c>
      <c r="I120" s="59" t="s">
        <v>8</v>
      </c>
      <c r="N120" s="609" t="s">
        <v>53</v>
      </c>
      <c r="O120" s="609"/>
      <c r="P120" s="610" t="s">
        <v>66</v>
      </c>
      <c r="Q120" s="610"/>
      <c r="R120" s="609" t="s">
        <v>54</v>
      </c>
      <c r="S120" s="609"/>
      <c r="T120" s="60" t="s">
        <v>55</v>
      </c>
      <c r="U120" s="60" t="s">
        <v>8</v>
      </c>
    </row>
    <row r="121" spans="1:21" hidden="1" x14ac:dyDescent="0.25">
      <c r="A121" s="561" t="s">
        <v>56</v>
      </c>
      <c r="B121" s="561"/>
      <c r="C121" s="141">
        <v>0</v>
      </c>
      <c r="D121" s="141">
        <v>0</v>
      </c>
      <c r="E121" s="142">
        <f>IF(D30=0,C121*2,C121+D121)</f>
        <v>0</v>
      </c>
      <c r="F121" s="675">
        <v>0</v>
      </c>
      <c r="G121" s="675"/>
      <c r="H121" s="61">
        <f>IF(C121=0,0,125)</f>
        <v>0</v>
      </c>
      <c r="I121" s="101">
        <f>ROUND((H121+F121)*E121,2)</f>
        <v>0</v>
      </c>
      <c r="N121" s="601" t="s">
        <v>56</v>
      </c>
      <c r="O121" s="601"/>
      <c r="P121" s="608">
        <f>IF(H$133=1,C121,0)</f>
        <v>0</v>
      </c>
      <c r="Q121" s="608"/>
      <c r="R121" s="628">
        <f>F121</f>
        <v>0</v>
      </c>
      <c r="S121" s="628"/>
      <c r="T121" s="62">
        <f>H121</f>
        <v>0</v>
      </c>
      <c r="U121" s="96">
        <f>ROUND((T121+R121)*P121,0)</f>
        <v>0</v>
      </c>
    </row>
    <row r="122" spans="1:21" hidden="1" x14ac:dyDescent="0.25">
      <c r="A122" s="581" t="s">
        <v>57</v>
      </c>
      <c r="B122" s="581"/>
      <c r="C122" s="143">
        <v>0</v>
      </c>
      <c r="D122" s="143">
        <v>0</v>
      </c>
      <c r="E122" s="144">
        <f>IF(D31=0,C122*2,C122+D122)</f>
        <v>0</v>
      </c>
      <c r="F122" s="598">
        <f>ROUND(F121/2,2)</f>
        <v>0</v>
      </c>
      <c r="G122" s="598"/>
      <c r="H122" s="61">
        <f>IF(C122=0,0,62.5)</f>
        <v>0</v>
      </c>
      <c r="I122" s="101">
        <f>ROUND((H122+F122)*E122,2)</f>
        <v>0</v>
      </c>
      <c r="N122" s="601" t="s">
        <v>57</v>
      </c>
      <c r="O122" s="601"/>
      <c r="P122" s="608">
        <f>IF(H$133=1,C122,0)</f>
        <v>0</v>
      </c>
      <c r="Q122" s="608"/>
      <c r="R122" s="629">
        <f>ROUND(R121/2,2)</f>
        <v>0</v>
      </c>
      <c r="S122" s="629"/>
      <c r="T122" s="62">
        <f>H122</f>
        <v>0</v>
      </c>
      <c r="U122" s="96">
        <f>ROUND((T122+R122)*P122,0)</f>
        <v>0</v>
      </c>
    </row>
    <row r="123" spans="1:21" ht="16.5" hidden="1" thickBot="1" x14ac:dyDescent="0.3">
      <c r="A123" s="581" t="s">
        <v>58</v>
      </c>
      <c r="B123" s="581"/>
      <c r="C123" s="143">
        <v>0</v>
      </c>
      <c r="D123" s="143">
        <v>0</v>
      </c>
      <c r="E123" s="144">
        <f>IF(D32=0,C123*2,C123+D123)</f>
        <v>0</v>
      </c>
      <c r="F123" s="599"/>
      <c r="G123" s="599"/>
      <c r="H123" s="63">
        <f>IF(H121&gt;0,436,0)</f>
        <v>0</v>
      </c>
      <c r="I123" s="101">
        <f>ROUND(H123*E123,2)</f>
        <v>0</v>
      </c>
      <c r="N123" s="616" t="s">
        <v>58</v>
      </c>
      <c r="O123" s="616"/>
      <c r="P123" s="608">
        <f>IF(H$133=1,C123,0)</f>
        <v>0</v>
      </c>
      <c r="Q123" s="608"/>
      <c r="R123" s="609"/>
      <c r="S123" s="609"/>
      <c r="T123" s="64">
        <f>H123</f>
        <v>0</v>
      </c>
      <c r="U123" s="103">
        <f>ROUND(T123*P123,0)</f>
        <v>0</v>
      </c>
    </row>
    <row r="124" spans="1:21" ht="16.5" hidden="1" thickBot="1" x14ac:dyDescent="0.3">
      <c r="A124" s="563" t="s">
        <v>8</v>
      </c>
      <c r="B124" s="563"/>
      <c r="C124" s="65"/>
      <c r="D124" s="65"/>
      <c r="E124" s="65"/>
      <c r="F124" s="65"/>
      <c r="G124" s="65"/>
      <c r="H124" s="65"/>
      <c r="I124" s="97">
        <f>SUM(I121:I123)</f>
        <v>0</v>
      </c>
      <c r="N124" s="627" t="s">
        <v>8</v>
      </c>
      <c r="O124" s="627"/>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4" t="s">
        <v>432</v>
      </c>
      <c r="B126" s="578"/>
      <c r="C126" s="578"/>
      <c r="D126" s="69"/>
      <c r="E126" s="68" t="s">
        <v>34</v>
      </c>
      <c r="F126" s="597"/>
      <c r="G126" s="597"/>
      <c r="H126" s="597"/>
      <c r="I126" s="154">
        <v>0</v>
      </c>
      <c r="N126" s="600" t="s">
        <v>432</v>
      </c>
      <c r="O126" s="601"/>
      <c r="P126" s="601"/>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90" t="s">
        <v>8</v>
      </c>
      <c r="B128" s="590"/>
      <c r="C128" s="590"/>
      <c r="D128" s="590"/>
      <c r="E128" s="590"/>
      <c r="F128" s="590"/>
      <c r="G128" s="590"/>
      <c r="H128" s="590"/>
      <c r="I128" s="94">
        <f>SUM(I46,I66,I85,I88,I90,I92,I94,I96,I107,I113,I114,I124,I126)</f>
        <v>2521890.73</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434</v>
      </c>
      <c r="B130" s="26"/>
      <c r="C130" s="26"/>
      <c r="D130" s="26"/>
      <c r="E130" s="26"/>
      <c r="F130" s="26"/>
      <c r="G130" s="26"/>
      <c r="H130" s="26"/>
      <c r="I130" s="101">
        <f>I128-I53</f>
        <v>2418845.5</v>
      </c>
      <c r="N130" s="601" t="s">
        <v>434</v>
      </c>
      <c r="O130" s="601"/>
      <c r="P130" s="601"/>
      <c r="Q130" s="601"/>
      <c r="R130" s="601"/>
      <c r="S130" s="601"/>
      <c r="T130" s="601"/>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4" t="s">
        <v>502</v>
      </c>
      <c r="B132" s="578"/>
      <c r="C132" s="578"/>
      <c r="D132" s="578"/>
      <c r="E132" s="578"/>
      <c r="F132" s="578"/>
      <c r="G132" s="578"/>
      <c r="H132" s="81" t="s">
        <v>333</v>
      </c>
      <c r="I132" s="134"/>
      <c r="N132" s="600" t="s">
        <v>502</v>
      </c>
      <c r="O132" s="601"/>
      <c r="P132" s="601"/>
      <c r="Q132" s="601"/>
      <c r="R132" s="601"/>
      <c r="S132" s="601"/>
      <c r="T132" s="601"/>
      <c r="U132" s="138"/>
    </row>
    <row r="133" spans="1:21" x14ac:dyDescent="0.25">
      <c r="A133" s="578" t="s">
        <v>70</v>
      </c>
      <c r="B133" s="578"/>
      <c r="C133" s="578"/>
      <c r="D133" s="578"/>
      <c r="E133" s="578"/>
      <c r="F133" s="578"/>
      <c r="G133" s="578"/>
      <c r="H133" s="70" t="str">
        <f>IF(E30=0,"",IF((E15+E17+SUM(E19:E25))/E30&gt;0.75,1,""))</f>
        <v/>
      </c>
      <c r="I133" s="116">
        <f>U130</f>
        <v>0</v>
      </c>
      <c r="N133" s="601" t="s">
        <v>70</v>
      </c>
      <c r="O133" s="601"/>
      <c r="P133" s="601"/>
      <c r="Q133" s="601"/>
      <c r="R133" s="601"/>
      <c r="S133" s="601"/>
      <c r="T133" s="601"/>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2418845.5</v>
      </c>
      <c r="I135" s="94">
        <f>ROUND(IF(E30=0,0,IF(E30&gt;250,-(((250/E30)*H135)*IF(G135="H",0.02,0.05)),IF(G135="H",-0.02*H135,-0.05*H135))),2)</f>
        <v>-97430.38</v>
      </c>
      <c r="N135" s="626"/>
      <c r="O135" s="626"/>
      <c r="P135" s="626"/>
      <c r="Q135" s="626"/>
      <c r="R135" s="626"/>
      <c r="S135" s="626"/>
      <c r="T135" s="626"/>
      <c r="U135" s="626"/>
    </row>
    <row r="136" spans="1:21" x14ac:dyDescent="0.25">
      <c r="B136" s="69"/>
      <c r="C136" s="69"/>
      <c r="D136" s="69"/>
      <c r="E136" s="69"/>
      <c r="F136" s="69"/>
      <c r="G136" s="69"/>
      <c r="H136" s="65"/>
      <c r="I136" s="101"/>
      <c r="N136" s="624" t="s">
        <v>7</v>
      </c>
      <c r="O136" s="624"/>
      <c r="P136" s="624"/>
      <c r="Q136" s="624"/>
      <c r="R136" s="624"/>
      <c r="S136" s="624"/>
      <c r="T136" s="624"/>
      <c r="U136" s="624"/>
    </row>
    <row r="137" spans="1:21" x14ac:dyDescent="0.25">
      <c r="A137" s="309" t="s">
        <v>74</v>
      </c>
      <c r="B137" s="310"/>
      <c r="C137" s="310"/>
      <c r="D137" s="310"/>
      <c r="E137" s="310"/>
      <c r="F137" s="310"/>
      <c r="G137" s="310"/>
      <c r="H137" s="311"/>
      <c r="I137" s="312">
        <f>I128+I135</f>
        <v>2424460.35</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Payments'!Q113</f>
        <v>0</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2424460.35</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202038.36</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23511.9</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368"/>
      <c r="Q149" s="73"/>
      <c r="R149" s="73"/>
      <c r="S149" s="73"/>
      <c r="T149" s="73"/>
      <c r="U149" s="73"/>
    </row>
    <row r="150" spans="1:21" x14ac:dyDescent="0.25">
      <c r="B150" s="69"/>
      <c r="C150" s="69"/>
      <c r="D150" s="69"/>
      <c r="E150" s="69"/>
      <c r="F150" s="69"/>
      <c r="G150" s="69"/>
      <c r="H150" s="65"/>
      <c r="I150" s="134"/>
      <c r="N150" s="73"/>
      <c r="O150" s="73"/>
      <c r="P150" s="368"/>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372</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373</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374</v>
      </c>
      <c r="B155" s="252"/>
      <c r="C155" s="252"/>
      <c r="D155" s="252"/>
      <c r="E155" s="252"/>
      <c r="F155" s="252"/>
      <c r="G155" s="252"/>
      <c r="H155" s="252"/>
      <c r="I155" s="252"/>
      <c r="N155" s="625"/>
      <c r="O155" s="625"/>
      <c r="P155" s="625"/>
      <c r="Q155" s="625"/>
      <c r="R155" s="625"/>
      <c r="S155" s="625"/>
      <c r="T155" s="625"/>
      <c r="U155" s="625"/>
    </row>
    <row r="156" spans="1:21" s="76" customFormat="1" x14ac:dyDescent="0.2">
      <c r="A156" s="320" t="s">
        <v>375</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376</v>
      </c>
      <c r="B157" s="252"/>
      <c r="C157" s="252"/>
      <c r="D157" s="252"/>
      <c r="E157" s="252"/>
      <c r="F157" s="252"/>
      <c r="G157" s="252"/>
      <c r="H157" s="252"/>
      <c r="I157" s="252"/>
      <c r="N157" s="78"/>
      <c r="O157" s="79"/>
      <c r="P157" s="79"/>
      <c r="Q157" s="79"/>
      <c r="R157" s="79"/>
      <c r="S157" s="79"/>
      <c r="T157" s="79"/>
      <c r="U157" s="79"/>
    </row>
    <row r="158" spans="1:21" s="76" customFormat="1" x14ac:dyDescent="0.2">
      <c r="A158" s="320" t="s">
        <v>377</v>
      </c>
      <c r="B158" s="252"/>
      <c r="C158" s="252"/>
      <c r="D158" s="252"/>
      <c r="E158" s="252"/>
      <c r="F158" s="252"/>
      <c r="G158" s="252"/>
      <c r="H158" s="252"/>
      <c r="I158" s="252"/>
      <c r="N158" s="78"/>
    </row>
    <row r="159" spans="1:21" s="76" customFormat="1" x14ac:dyDescent="0.2">
      <c r="A159" s="320" t="s">
        <v>379</v>
      </c>
      <c r="B159" s="252"/>
      <c r="C159" s="252"/>
      <c r="D159" s="252"/>
      <c r="E159" s="252"/>
      <c r="F159" s="252"/>
      <c r="G159" s="252"/>
      <c r="H159" s="252"/>
      <c r="I159" s="252"/>
      <c r="N159" s="78"/>
    </row>
    <row r="160" spans="1:21" s="76" customFormat="1" x14ac:dyDescent="0.2">
      <c r="A160" s="385" t="s">
        <v>378</v>
      </c>
      <c r="B160" s="252"/>
      <c r="C160" s="252"/>
      <c r="D160" s="252"/>
      <c r="E160" s="252"/>
      <c r="F160" s="252"/>
      <c r="G160" s="252"/>
      <c r="H160" s="252"/>
      <c r="I160" s="252"/>
      <c r="N160" s="78"/>
    </row>
    <row r="161" spans="1:14" s="76" customFormat="1" x14ac:dyDescent="0.2">
      <c r="A161" s="320" t="s">
        <v>380</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383</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385</v>
      </c>
      <c r="B165" s="293"/>
      <c r="C165" s="293"/>
      <c r="D165" s="293"/>
      <c r="E165" s="293"/>
      <c r="F165" s="293"/>
      <c r="G165" s="293"/>
      <c r="H165" s="293"/>
      <c r="I165" s="293"/>
      <c r="N165" s="78"/>
    </row>
    <row r="166" spans="1:14" s="76" customFormat="1" ht="15.75" customHeight="1" x14ac:dyDescent="0.2">
      <c r="A166" s="351" t="s">
        <v>384</v>
      </c>
      <c r="B166" s="293"/>
      <c r="C166" s="293"/>
      <c r="D166" s="293"/>
      <c r="E166" s="293"/>
      <c r="F166" s="293"/>
      <c r="G166" s="293"/>
      <c r="H166" s="293"/>
      <c r="I166" s="293"/>
      <c r="N166" s="78"/>
    </row>
    <row r="167" spans="1:14" s="76" customFormat="1" ht="15.75" customHeight="1" x14ac:dyDescent="0.2">
      <c r="A167" s="320" t="s">
        <v>386</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388</v>
      </c>
      <c r="B169" s="343"/>
      <c r="C169" s="343"/>
      <c r="D169" s="343"/>
      <c r="E169" s="343"/>
      <c r="F169" s="343"/>
      <c r="G169" s="343"/>
      <c r="H169" s="343"/>
      <c r="I169" s="343"/>
      <c r="N169" s="78"/>
    </row>
    <row r="170" spans="1:14" s="76" customFormat="1" ht="15.75" customHeight="1" x14ac:dyDescent="0.2">
      <c r="A170" s="351" t="s">
        <v>387</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389</v>
      </c>
      <c r="B175" s="293"/>
      <c r="C175" s="293"/>
      <c r="D175" s="293"/>
      <c r="E175" s="293"/>
      <c r="F175" s="293"/>
      <c r="G175" s="293"/>
      <c r="H175" s="293"/>
      <c r="I175" s="293"/>
      <c r="J175" s="3"/>
      <c r="K175" s="3"/>
      <c r="L175" s="3"/>
      <c r="M175" s="3"/>
      <c r="N175" s="78"/>
    </row>
    <row r="176" spans="1:14" s="76" customFormat="1" ht="15.75" customHeight="1" x14ac:dyDescent="0.2">
      <c r="A176" s="361" t="s">
        <v>390</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N130:T130"/>
    <mergeCell ref="A128:H128"/>
    <mergeCell ref="A132:G132"/>
    <mergeCell ref="N135:U135"/>
    <mergeCell ref="A133:G133"/>
    <mergeCell ref="N136:U136"/>
    <mergeCell ref="A123:B123"/>
    <mergeCell ref="F123:G123"/>
    <mergeCell ref="N123:O123"/>
    <mergeCell ref="P123:Q123"/>
    <mergeCell ref="R123:S123"/>
    <mergeCell ref="A124:B124"/>
    <mergeCell ref="N124:O124"/>
    <mergeCell ref="A126:C126"/>
    <mergeCell ref="F126:H126"/>
    <mergeCell ref="N126:P126"/>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T78:U78"/>
    <mergeCell ref="A96:C96"/>
    <mergeCell ref="N96:P96"/>
    <mergeCell ref="C102:D102"/>
    <mergeCell ref="C103:D103"/>
    <mergeCell ref="N103:O103"/>
    <mergeCell ref="P103:Q103"/>
    <mergeCell ref="N88:P88"/>
    <mergeCell ref="R103:U103"/>
    <mergeCell ref="T72:U72"/>
    <mergeCell ref="R66:T66"/>
    <mergeCell ref="A88:C88"/>
    <mergeCell ref="A94:C94"/>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21">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6" t="s">
        <v>15</v>
      </c>
      <c r="C1" s="567"/>
      <c r="D1" s="567"/>
      <c r="E1" s="567"/>
      <c r="F1" s="567"/>
      <c r="G1" s="567"/>
      <c r="H1" s="567"/>
      <c r="I1" s="567"/>
      <c r="J1" s="135"/>
      <c r="K1" s="135"/>
      <c r="L1" s="135"/>
      <c r="N1" s="82">
        <f>A1</f>
        <v>0</v>
      </c>
      <c r="O1" s="658" t="s">
        <v>15</v>
      </c>
      <c r="P1" s="659"/>
      <c r="Q1" s="659"/>
      <c r="R1" s="659"/>
      <c r="S1" s="659"/>
      <c r="T1" s="659"/>
      <c r="U1" s="659"/>
    </row>
    <row r="2" spans="1:21" ht="21" x14ac:dyDescent="0.35">
      <c r="A2" s="1" t="s">
        <v>354</v>
      </c>
      <c r="B2" s="2"/>
      <c r="C2" s="2"/>
      <c r="D2" s="2"/>
      <c r="E2" s="2"/>
      <c r="F2" s="2"/>
      <c r="G2" s="2"/>
      <c r="H2" s="2"/>
      <c r="I2" s="2"/>
      <c r="N2" s="660" t="s">
        <v>18</v>
      </c>
      <c r="O2" s="660"/>
      <c r="P2" s="660"/>
      <c r="Q2" s="660"/>
      <c r="R2" s="660"/>
      <c r="S2" s="660"/>
      <c r="T2" s="660"/>
      <c r="U2" s="660"/>
    </row>
    <row r="3" spans="1:21" x14ac:dyDescent="0.25">
      <c r="A3" s="81" t="str">
        <f>'1461'!A3</f>
        <v>Based on the FLDOE 2024-25 Conference Calculation</v>
      </c>
      <c r="N3" s="627" t="str">
        <f>A3</f>
        <v>Based on the FLDOE 2024-25 Conference Calculation</v>
      </c>
      <c r="O3" s="627"/>
      <c r="P3" s="627"/>
      <c r="Q3" s="627"/>
      <c r="R3" s="627"/>
      <c r="S3" s="627"/>
      <c r="T3" s="627"/>
      <c r="U3" s="627"/>
    </row>
    <row r="4" spans="1:21" x14ac:dyDescent="0.25">
      <c r="A4" s="568" t="s">
        <v>0</v>
      </c>
      <c r="B4" s="568"/>
      <c r="C4" s="569" t="s">
        <v>9</v>
      </c>
      <c r="D4" s="569"/>
      <c r="E4" s="569"/>
      <c r="F4" s="4" t="str">
        <f>'1461'!F4</f>
        <v>July 2024</v>
      </c>
      <c r="G4" s="4"/>
      <c r="H4" s="151"/>
      <c r="I4" s="4"/>
      <c r="N4" s="661" t="s">
        <v>0</v>
      </c>
      <c r="O4" s="661"/>
      <c r="P4" s="662" t="str">
        <f>C4</f>
        <v>Palm Beach</v>
      </c>
      <c r="Q4" s="662"/>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70" t="s">
        <v>433</v>
      </c>
      <c r="B7" s="664"/>
      <c r="C7" s="664"/>
      <c r="D7" s="664"/>
      <c r="E7" s="664"/>
      <c r="F7" s="664"/>
      <c r="G7" s="664"/>
      <c r="H7" s="664"/>
      <c r="I7" s="664"/>
      <c r="N7" s="661" t="str">
        <f>A7</f>
        <v>1A.   2023-24 FEFP State and Local Funding</v>
      </c>
      <c r="O7" s="661"/>
      <c r="P7" s="661"/>
      <c r="Q7" s="661"/>
      <c r="R7" s="661"/>
      <c r="S7" s="661"/>
      <c r="T7" s="661"/>
      <c r="U7" s="661"/>
    </row>
    <row r="8" spans="1:21" x14ac:dyDescent="0.25">
      <c r="A8" s="84"/>
      <c r="B8" s="85" t="s">
        <v>92</v>
      </c>
      <c r="C8" s="299">
        <f>'1461'!C8</f>
        <v>5330.98</v>
      </c>
      <c r="D8" s="86"/>
      <c r="E8" s="87"/>
      <c r="F8" s="84"/>
      <c r="G8" s="85" t="s">
        <v>393</v>
      </c>
      <c r="H8" s="287">
        <f>'1461'!H8</f>
        <v>1.0407999999999999</v>
      </c>
      <c r="I8" s="75"/>
      <c r="N8" s="665" t="s">
        <v>10</v>
      </c>
      <c r="O8" s="665"/>
      <c r="P8" s="666">
        <f>C8</f>
        <v>5330.98</v>
      </c>
      <c r="Q8" s="666"/>
      <c r="R8" s="648" t="s">
        <v>394</v>
      </c>
      <c r="S8" s="649"/>
      <c r="T8" s="650">
        <f>H8</f>
        <v>1.0407999999999999</v>
      </c>
      <c r="U8" s="650"/>
    </row>
    <row r="9" spans="1:21" x14ac:dyDescent="0.25">
      <c r="A9" s="84"/>
      <c r="B9" s="85"/>
      <c r="C9" s="222"/>
      <c r="D9" s="86"/>
      <c r="E9" s="87"/>
      <c r="F9" s="84"/>
      <c r="G9" s="85" t="s">
        <v>391</v>
      </c>
      <c r="H9" s="287">
        <f>'1461'!H9</f>
        <v>1</v>
      </c>
      <c r="I9" s="75"/>
      <c r="N9" s="12"/>
      <c r="O9" s="12"/>
      <c r="P9" s="13"/>
      <c r="Q9" s="13"/>
      <c r="R9" s="387" t="s">
        <v>392</v>
      </c>
      <c r="S9" s="384"/>
      <c r="T9" s="650">
        <f>H9</f>
        <v>1</v>
      </c>
      <c r="U9" s="650"/>
    </row>
    <row r="10" spans="1:21" x14ac:dyDescent="0.25">
      <c r="A10" s="7"/>
      <c r="B10" s="42" t="s">
        <v>310</v>
      </c>
      <c r="C10" s="456" t="str">
        <f>'1461'!C10</f>
        <v xml:space="preserve"> </v>
      </c>
      <c r="D10" s="88" t="str">
        <f>'1461'!D10</f>
        <v xml:space="preserve"> </v>
      </c>
      <c r="E10" s="8"/>
      <c r="F10" s="9"/>
      <c r="G10" s="9"/>
      <c r="H10" s="10"/>
      <c r="I10" s="305" t="str">
        <f>'1461'!I10</f>
        <v>2024-25</v>
      </c>
      <c r="N10" s="12"/>
      <c r="O10" s="12"/>
      <c r="P10" s="13"/>
      <c r="Q10" s="13"/>
      <c r="R10" s="14"/>
      <c r="S10" s="14"/>
      <c r="T10" s="15"/>
      <c r="U10" s="366" t="str">
        <f>I10</f>
        <v>2024-25</v>
      </c>
    </row>
    <row r="11" spans="1:21" x14ac:dyDescent="0.25">
      <c r="A11" s="7"/>
      <c r="B11" s="7"/>
      <c r="C11" s="88" t="str">
        <f>'1461'!C11</f>
        <v>Oct 2023</v>
      </c>
      <c r="D11" s="333" t="str">
        <f>'1461'!D11</f>
        <v>Feb 2024</v>
      </c>
      <c r="E11" s="89" t="s">
        <v>8</v>
      </c>
      <c r="F11" s="571" t="s">
        <v>1</v>
      </c>
      <c r="G11" s="571"/>
      <c r="H11" s="10" t="s">
        <v>60</v>
      </c>
      <c r="I11" s="11" t="s">
        <v>27</v>
      </c>
      <c r="N11" s="12"/>
      <c r="O11" s="12"/>
      <c r="P11" s="13"/>
      <c r="Q11" s="13"/>
      <c r="R11" s="651" t="s">
        <v>1</v>
      </c>
      <c r="S11" s="651"/>
      <c r="T11" s="15" t="s">
        <v>60</v>
      </c>
      <c r="U11" s="16" t="s">
        <v>27</v>
      </c>
    </row>
    <row r="12" spans="1:21" ht="15.75" customHeight="1" x14ac:dyDescent="0.25">
      <c r="A12" s="572" t="s">
        <v>1</v>
      </c>
      <c r="B12" s="572"/>
      <c r="C12" s="326" t="str">
        <f>'1461'!C12</f>
        <v>FTE</v>
      </c>
      <c r="D12" s="324" t="str">
        <f>'1461'!D12</f>
        <v>FTE</v>
      </c>
      <c r="E12" s="324" t="s">
        <v>2</v>
      </c>
      <c r="F12" s="573" t="s">
        <v>63</v>
      </c>
      <c r="G12" s="573"/>
      <c r="H12" s="17" t="s">
        <v>59</v>
      </c>
      <c r="I12" s="388" t="s">
        <v>395</v>
      </c>
      <c r="N12" s="639" t="s">
        <v>1</v>
      </c>
      <c r="O12" s="639"/>
      <c r="P12" s="652" t="s">
        <v>19</v>
      </c>
      <c r="Q12" s="652"/>
      <c r="R12" s="653" t="s">
        <v>63</v>
      </c>
      <c r="S12" s="653"/>
      <c r="T12" s="18" t="s">
        <v>59</v>
      </c>
      <c r="U12" s="19" t="str">
        <f>I12</f>
        <v>(WFTE x BSA x CWF x SDF)</v>
      </c>
    </row>
    <row r="13" spans="1:21" x14ac:dyDescent="0.25">
      <c r="A13" s="574" t="s">
        <v>36</v>
      </c>
      <c r="B13" s="574"/>
      <c r="C13" s="91"/>
      <c r="D13" s="91"/>
      <c r="E13" s="92" t="s">
        <v>37</v>
      </c>
      <c r="F13" s="575" t="s">
        <v>38</v>
      </c>
      <c r="G13" s="575"/>
      <c r="H13" s="20" t="s">
        <v>39</v>
      </c>
      <c r="I13" s="21" t="s">
        <v>40</v>
      </c>
      <c r="N13" s="654" t="s">
        <v>36</v>
      </c>
      <c r="O13" s="654"/>
      <c r="P13" s="655" t="s">
        <v>37</v>
      </c>
      <c r="Q13" s="655"/>
      <c r="R13" s="656" t="s">
        <v>38</v>
      </c>
      <c r="S13" s="656"/>
      <c r="T13" s="22" t="s">
        <v>39</v>
      </c>
      <c r="U13" s="23" t="s">
        <v>40</v>
      </c>
    </row>
    <row r="14" spans="1:21" x14ac:dyDescent="0.25">
      <c r="A14" s="576" t="s">
        <v>20</v>
      </c>
      <c r="B14" s="576"/>
      <c r="C14" s="143">
        <v>0</v>
      </c>
      <c r="D14" s="141">
        <v>0</v>
      </c>
      <c r="E14" s="187">
        <f>IF(D$30=0,C14*2,C14+D14)</f>
        <v>0</v>
      </c>
      <c r="F14" s="667">
        <f>'1461'!F14:G14</f>
        <v>1.1180000000000001</v>
      </c>
      <c r="G14" s="667"/>
      <c r="H14" s="145">
        <f>ROUND(E14*F14,4)</f>
        <v>0</v>
      </c>
      <c r="I14" s="111">
        <f>ROUND(ROUND(ROUND(H14*$C$8,4)*($H$8),2)*(MAX($H$9,1)),2)</f>
        <v>0</v>
      </c>
      <c r="N14" s="641" t="s">
        <v>20</v>
      </c>
      <c r="O14" s="641"/>
      <c r="P14" s="642">
        <f t="shared" ref="P14:P29" si="0">IF($H$133=1,E14,0)</f>
        <v>0</v>
      </c>
      <c r="Q14" s="642"/>
      <c r="R14" s="657">
        <v>1</v>
      </c>
      <c r="S14" s="657"/>
      <c r="T14" s="95">
        <f>ROUND(P14*R14,4)</f>
        <v>0</v>
      </c>
      <c r="U14" s="473">
        <f>ROUND(ROUND(ROUND(T14*$C$8,4)*($H$8),2)*(MAX($H$9,1)),2)</f>
        <v>0</v>
      </c>
    </row>
    <row r="15" spans="1:21" x14ac:dyDescent="0.25">
      <c r="A15" s="578" t="s">
        <v>21</v>
      </c>
      <c r="B15" s="578"/>
      <c r="C15" s="143">
        <v>0</v>
      </c>
      <c r="D15" s="143">
        <v>0</v>
      </c>
      <c r="E15" s="116">
        <f t="shared" ref="E15:E29" si="1">IF(D$30=0,C15*2,C15+D15)</f>
        <v>0</v>
      </c>
      <c r="F15" s="663">
        <f>'1461'!F15:G15</f>
        <v>1.1180000000000001</v>
      </c>
      <c r="G15" s="663"/>
      <c r="H15" s="80">
        <f t="shared" ref="H15:H29" si="2">ROUND(E15*F15,4)</f>
        <v>0</v>
      </c>
      <c r="I15" s="101">
        <f t="shared" ref="I15:I29" si="3">ROUND(ROUND(ROUND(H15*$C$8,4)*($H$8),2)*(MAX($H$9,1)),2)</f>
        <v>0</v>
      </c>
      <c r="J15" s="65" t="str">
        <f>IF(ROUND(E15,2)=ROUND(SUM(E57:E59),2)," ","CHECK PK-3 LINES BELOW")</f>
        <v xml:space="preserve"> </v>
      </c>
      <c r="N15" s="601" t="s">
        <v>21</v>
      </c>
      <c r="O15" s="601"/>
      <c r="P15" s="642">
        <f t="shared" si="0"/>
        <v>0</v>
      </c>
      <c r="Q15" s="642"/>
      <c r="R15" s="647">
        <v>1</v>
      </c>
      <c r="S15" s="647"/>
      <c r="T15" s="95">
        <f t="shared" ref="T15:T29" si="4">ROUND(P15*R15,4)</f>
        <v>0</v>
      </c>
      <c r="U15" s="473">
        <f t="shared" ref="U15:U29" si="5">ROUND(ROUND(ROUND(T15*$C$8,4)*($H$8),2)*(MAX($H$9,1)),2)</f>
        <v>0</v>
      </c>
    </row>
    <row r="16" spans="1:21" x14ac:dyDescent="0.25">
      <c r="A16" s="578" t="s">
        <v>22</v>
      </c>
      <c r="B16" s="578"/>
      <c r="C16" s="143">
        <v>0</v>
      </c>
      <c r="D16" s="143">
        <v>0</v>
      </c>
      <c r="E16" s="116">
        <f t="shared" si="1"/>
        <v>0</v>
      </c>
      <c r="F16" s="663">
        <f>'1461'!F16:G16</f>
        <v>1</v>
      </c>
      <c r="G16" s="663"/>
      <c r="H16" s="80">
        <f t="shared" si="2"/>
        <v>0</v>
      </c>
      <c r="I16" s="101">
        <f t="shared" si="3"/>
        <v>0</v>
      </c>
      <c r="N16" s="601" t="s">
        <v>22</v>
      </c>
      <c r="O16" s="601"/>
      <c r="P16" s="642">
        <f t="shared" si="0"/>
        <v>0</v>
      </c>
      <c r="Q16" s="642"/>
      <c r="R16" s="647">
        <v>1</v>
      </c>
      <c r="S16" s="647"/>
      <c r="T16" s="95">
        <f t="shared" si="4"/>
        <v>0</v>
      </c>
      <c r="U16" s="473">
        <f t="shared" si="5"/>
        <v>0</v>
      </c>
    </row>
    <row r="17" spans="1:21" x14ac:dyDescent="0.25">
      <c r="A17" s="578" t="s">
        <v>23</v>
      </c>
      <c r="B17" s="578"/>
      <c r="C17" s="143">
        <v>0</v>
      </c>
      <c r="D17" s="143">
        <v>0</v>
      </c>
      <c r="E17" s="116">
        <f t="shared" si="1"/>
        <v>0</v>
      </c>
      <c r="F17" s="663">
        <f>'1461'!F17:G17</f>
        <v>1</v>
      </c>
      <c r="G17" s="663"/>
      <c r="H17" s="80">
        <f t="shared" si="2"/>
        <v>0</v>
      </c>
      <c r="I17" s="101">
        <f t="shared" si="3"/>
        <v>0</v>
      </c>
      <c r="J17" s="65" t="str">
        <f>IF(ROUND(E17,2)=ROUND(SUM(E60:E62),2)," ","CHECK 4-8 LINES BELOW")</f>
        <v xml:space="preserve"> </v>
      </c>
      <c r="N17" s="601" t="s">
        <v>23</v>
      </c>
      <c r="O17" s="601"/>
      <c r="P17" s="642">
        <f t="shared" si="0"/>
        <v>0</v>
      </c>
      <c r="Q17" s="642"/>
      <c r="R17" s="647">
        <v>1</v>
      </c>
      <c r="S17" s="647"/>
      <c r="T17" s="95">
        <f t="shared" si="4"/>
        <v>0</v>
      </c>
      <c r="U17" s="473">
        <f t="shared" si="5"/>
        <v>0</v>
      </c>
    </row>
    <row r="18" spans="1:21" x14ac:dyDescent="0.25">
      <c r="A18" s="578" t="s">
        <v>24</v>
      </c>
      <c r="B18" s="578"/>
      <c r="C18" s="143">
        <v>25.88</v>
      </c>
      <c r="D18" s="143">
        <v>25.38</v>
      </c>
      <c r="E18" s="116">
        <f t="shared" si="1"/>
        <v>51.26</v>
      </c>
      <c r="F18" s="663">
        <f>'1461'!F18:G18</f>
        <v>0.97799999999999998</v>
      </c>
      <c r="G18" s="663"/>
      <c r="H18" s="80">
        <f t="shared" si="2"/>
        <v>50.132300000000001</v>
      </c>
      <c r="I18" s="101">
        <f t="shared" si="3"/>
        <v>278158.26</v>
      </c>
      <c r="N18" s="601" t="s">
        <v>24</v>
      </c>
      <c r="O18" s="601"/>
      <c r="P18" s="642">
        <f t="shared" si="0"/>
        <v>0</v>
      </c>
      <c r="Q18" s="642"/>
      <c r="R18" s="647">
        <v>1</v>
      </c>
      <c r="S18" s="647"/>
      <c r="T18" s="95">
        <f t="shared" si="4"/>
        <v>0</v>
      </c>
      <c r="U18" s="473">
        <f t="shared" si="5"/>
        <v>0</v>
      </c>
    </row>
    <row r="19" spans="1:21" x14ac:dyDescent="0.25">
      <c r="A19" s="578" t="s">
        <v>25</v>
      </c>
      <c r="B19" s="578"/>
      <c r="C19" s="143">
        <v>3.5</v>
      </c>
      <c r="D19" s="143">
        <v>3.57</v>
      </c>
      <c r="E19" s="116">
        <f t="shared" si="1"/>
        <v>7.07</v>
      </c>
      <c r="F19" s="663">
        <f>'1461'!F19:G19</f>
        <v>0.97799999999999998</v>
      </c>
      <c r="G19" s="663"/>
      <c r="H19" s="80">
        <f t="shared" si="2"/>
        <v>6.9145000000000003</v>
      </c>
      <c r="I19" s="101">
        <f t="shared" si="3"/>
        <v>38364.99</v>
      </c>
      <c r="J19" s="65" t="str">
        <f>IF(ROUND(E19,2)=ROUND(SUM(E63:E65),2)," ","CHECK 4-8 LINES BELOW")</f>
        <v xml:space="preserve"> </v>
      </c>
      <c r="N19" s="601" t="s">
        <v>25</v>
      </c>
      <c r="O19" s="601"/>
      <c r="P19" s="642">
        <f t="shared" si="0"/>
        <v>0</v>
      </c>
      <c r="Q19" s="642"/>
      <c r="R19" s="647">
        <v>1</v>
      </c>
      <c r="S19" s="647"/>
      <c r="T19" s="95">
        <f t="shared" si="4"/>
        <v>0</v>
      </c>
      <c r="U19" s="472">
        <f t="shared" si="5"/>
        <v>0</v>
      </c>
    </row>
    <row r="20" spans="1:21" x14ac:dyDescent="0.25">
      <c r="A20" s="578" t="s">
        <v>79</v>
      </c>
      <c r="B20" s="578"/>
      <c r="C20" s="143">
        <v>0</v>
      </c>
      <c r="D20" s="143">
        <v>0</v>
      </c>
      <c r="E20" s="116">
        <f t="shared" si="1"/>
        <v>0</v>
      </c>
      <c r="F20" s="663">
        <f>'1461'!F20:G20</f>
        <v>3.6970000000000001</v>
      </c>
      <c r="G20" s="663"/>
      <c r="H20" s="80">
        <f t="shared" si="2"/>
        <v>0</v>
      </c>
      <c r="I20" s="101">
        <f t="shared" si="3"/>
        <v>0</v>
      </c>
      <c r="N20" s="601" t="s">
        <v>79</v>
      </c>
      <c r="O20" s="601"/>
      <c r="P20" s="642">
        <f t="shared" si="0"/>
        <v>0</v>
      </c>
      <c r="Q20" s="642"/>
      <c r="R20" s="647">
        <v>1</v>
      </c>
      <c r="S20" s="647"/>
      <c r="T20" s="95">
        <f t="shared" si="4"/>
        <v>0</v>
      </c>
      <c r="U20" s="473">
        <f t="shared" si="5"/>
        <v>0</v>
      </c>
    </row>
    <row r="21" spans="1:21" x14ac:dyDescent="0.25">
      <c r="A21" s="578" t="s">
        <v>80</v>
      </c>
      <c r="B21" s="578"/>
      <c r="C21" s="143">
        <v>0</v>
      </c>
      <c r="D21" s="143">
        <v>0</v>
      </c>
      <c r="E21" s="116">
        <f t="shared" si="1"/>
        <v>0</v>
      </c>
      <c r="F21" s="663">
        <f>'1461'!F21:G21</f>
        <v>3.6970000000000001</v>
      </c>
      <c r="G21" s="663"/>
      <c r="H21" s="80">
        <f t="shared" si="2"/>
        <v>0</v>
      </c>
      <c r="I21" s="101">
        <f t="shared" si="3"/>
        <v>0</v>
      </c>
      <c r="N21" s="601" t="s">
        <v>80</v>
      </c>
      <c r="O21" s="601"/>
      <c r="P21" s="642">
        <f t="shared" si="0"/>
        <v>0</v>
      </c>
      <c r="Q21" s="642"/>
      <c r="R21" s="647">
        <v>1</v>
      </c>
      <c r="S21" s="647"/>
      <c r="T21" s="95">
        <f t="shared" si="4"/>
        <v>0</v>
      </c>
      <c r="U21" s="473">
        <f t="shared" si="5"/>
        <v>0</v>
      </c>
    </row>
    <row r="22" spans="1:21" x14ac:dyDescent="0.25">
      <c r="A22" s="578" t="s">
        <v>81</v>
      </c>
      <c r="B22" s="578"/>
      <c r="C22" s="143">
        <v>0</v>
      </c>
      <c r="D22" s="143">
        <v>0</v>
      </c>
      <c r="E22" s="116">
        <f t="shared" si="1"/>
        <v>0</v>
      </c>
      <c r="F22" s="663">
        <f>'1461'!F22:G22</f>
        <v>3.6970000000000001</v>
      </c>
      <c r="G22" s="663"/>
      <c r="H22" s="80">
        <f t="shared" si="2"/>
        <v>0</v>
      </c>
      <c r="I22" s="101">
        <f t="shared" si="3"/>
        <v>0</v>
      </c>
      <c r="N22" s="601" t="s">
        <v>81</v>
      </c>
      <c r="O22" s="601"/>
      <c r="P22" s="642">
        <f t="shared" si="0"/>
        <v>0</v>
      </c>
      <c r="Q22" s="642"/>
      <c r="R22" s="647">
        <v>1</v>
      </c>
      <c r="S22" s="647"/>
      <c r="T22" s="95">
        <f t="shared" si="4"/>
        <v>0</v>
      </c>
      <c r="U22" s="473">
        <f t="shared" si="5"/>
        <v>0</v>
      </c>
    </row>
    <row r="23" spans="1:21" x14ac:dyDescent="0.25">
      <c r="A23" s="578" t="s">
        <v>82</v>
      </c>
      <c r="B23" s="578"/>
      <c r="C23" s="143">
        <v>0</v>
      </c>
      <c r="D23" s="143">
        <v>0</v>
      </c>
      <c r="E23" s="116">
        <f t="shared" si="1"/>
        <v>0</v>
      </c>
      <c r="F23" s="663">
        <f>'1461'!F23:G23</f>
        <v>5.992</v>
      </c>
      <c r="G23" s="663"/>
      <c r="H23" s="80">
        <f t="shared" si="2"/>
        <v>0</v>
      </c>
      <c r="I23" s="101">
        <f t="shared" si="3"/>
        <v>0</v>
      </c>
      <c r="N23" s="601" t="s">
        <v>82</v>
      </c>
      <c r="O23" s="601"/>
      <c r="P23" s="642">
        <f t="shared" si="0"/>
        <v>0</v>
      </c>
      <c r="Q23" s="642"/>
      <c r="R23" s="647">
        <v>1</v>
      </c>
      <c r="S23" s="647"/>
      <c r="T23" s="95">
        <f t="shared" si="4"/>
        <v>0</v>
      </c>
      <c r="U23" s="473">
        <f t="shared" si="5"/>
        <v>0</v>
      </c>
    </row>
    <row r="24" spans="1:21" x14ac:dyDescent="0.25">
      <c r="A24" s="578" t="s">
        <v>83</v>
      </c>
      <c r="B24" s="578"/>
      <c r="C24" s="143">
        <v>0</v>
      </c>
      <c r="D24" s="143">
        <v>0</v>
      </c>
      <c r="E24" s="116">
        <f t="shared" si="1"/>
        <v>0</v>
      </c>
      <c r="F24" s="663">
        <f>'1461'!F24:G24</f>
        <v>5.992</v>
      </c>
      <c r="G24" s="663"/>
      <c r="H24" s="80">
        <f t="shared" si="2"/>
        <v>0</v>
      </c>
      <c r="I24" s="101">
        <f t="shared" si="3"/>
        <v>0</v>
      </c>
      <c r="N24" s="601" t="s">
        <v>83</v>
      </c>
      <c r="O24" s="601"/>
      <c r="P24" s="642">
        <f t="shared" si="0"/>
        <v>0</v>
      </c>
      <c r="Q24" s="642"/>
      <c r="R24" s="647">
        <v>1</v>
      </c>
      <c r="S24" s="647"/>
      <c r="T24" s="95">
        <f t="shared" si="4"/>
        <v>0</v>
      </c>
      <c r="U24" s="473">
        <f t="shared" si="5"/>
        <v>0</v>
      </c>
    </row>
    <row r="25" spans="1:21" x14ac:dyDescent="0.25">
      <c r="A25" s="578" t="s">
        <v>84</v>
      </c>
      <c r="B25" s="578"/>
      <c r="C25" s="143">
        <v>0</v>
      </c>
      <c r="D25" s="143">
        <v>0</v>
      </c>
      <c r="E25" s="116">
        <f t="shared" si="1"/>
        <v>0</v>
      </c>
      <c r="F25" s="663">
        <f>'1461'!F25:G25</f>
        <v>5.992</v>
      </c>
      <c r="G25" s="663"/>
      <c r="H25" s="80">
        <f t="shared" si="2"/>
        <v>0</v>
      </c>
      <c r="I25" s="101">
        <f t="shared" si="3"/>
        <v>0</v>
      </c>
      <c r="N25" s="601" t="s">
        <v>84</v>
      </c>
      <c r="O25" s="601"/>
      <c r="P25" s="642">
        <f t="shared" si="0"/>
        <v>0</v>
      </c>
      <c r="Q25" s="642"/>
      <c r="R25" s="647">
        <v>1</v>
      </c>
      <c r="S25" s="647"/>
      <c r="T25" s="95">
        <f t="shared" si="4"/>
        <v>0</v>
      </c>
      <c r="U25" s="473">
        <f t="shared" si="5"/>
        <v>0</v>
      </c>
    </row>
    <row r="26" spans="1:21" x14ac:dyDescent="0.25">
      <c r="A26" s="578" t="s">
        <v>85</v>
      </c>
      <c r="B26" s="578"/>
      <c r="C26" s="143">
        <v>0</v>
      </c>
      <c r="D26" s="143">
        <v>0</v>
      </c>
      <c r="E26" s="116">
        <f t="shared" si="1"/>
        <v>0</v>
      </c>
      <c r="F26" s="663">
        <f>'1461'!F26:G26</f>
        <v>1.1919999999999999</v>
      </c>
      <c r="G26" s="663"/>
      <c r="H26" s="80">
        <f t="shared" si="2"/>
        <v>0</v>
      </c>
      <c r="I26" s="101">
        <f t="shared" si="3"/>
        <v>0</v>
      </c>
      <c r="N26" s="601" t="s">
        <v>85</v>
      </c>
      <c r="O26" s="601"/>
      <c r="P26" s="642">
        <f t="shared" si="0"/>
        <v>0</v>
      </c>
      <c r="Q26" s="642"/>
      <c r="R26" s="647">
        <v>1</v>
      </c>
      <c r="S26" s="647"/>
      <c r="T26" s="95">
        <f t="shared" si="4"/>
        <v>0</v>
      </c>
      <c r="U26" s="473">
        <f t="shared" si="5"/>
        <v>0</v>
      </c>
    </row>
    <row r="27" spans="1:21" x14ac:dyDescent="0.25">
      <c r="A27" s="578" t="s">
        <v>86</v>
      </c>
      <c r="B27" s="578"/>
      <c r="C27" s="143">
        <v>0</v>
      </c>
      <c r="D27" s="143">
        <v>0</v>
      </c>
      <c r="E27" s="116">
        <f t="shared" si="1"/>
        <v>0</v>
      </c>
      <c r="F27" s="663">
        <f>'1461'!F27:G27</f>
        <v>1.1919999999999999</v>
      </c>
      <c r="G27" s="663"/>
      <c r="H27" s="80">
        <f t="shared" si="2"/>
        <v>0</v>
      </c>
      <c r="I27" s="101">
        <f t="shared" si="3"/>
        <v>0</v>
      </c>
      <c r="N27" s="601" t="s">
        <v>86</v>
      </c>
      <c r="O27" s="601"/>
      <c r="P27" s="642">
        <f t="shared" si="0"/>
        <v>0</v>
      </c>
      <c r="Q27" s="642"/>
      <c r="R27" s="647">
        <v>1</v>
      </c>
      <c r="S27" s="647"/>
      <c r="T27" s="95">
        <f t="shared" si="4"/>
        <v>0</v>
      </c>
      <c r="U27" s="473">
        <f t="shared" si="5"/>
        <v>0</v>
      </c>
    </row>
    <row r="28" spans="1:21" x14ac:dyDescent="0.25">
      <c r="A28" s="578" t="s">
        <v>87</v>
      </c>
      <c r="B28" s="578"/>
      <c r="C28" s="143">
        <v>3.17</v>
      </c>
      <c r="D28" s="143">
        <v>4.1100000000000003</v>
      </c>
      <c r="E28" s="116">
        <f t="shared" si="1"/>
        <v>7.28</v>
      </c>
      <c r="F28" s="663">
        <f>'1461'!F28:G28</f>
        <v>1.1919999999999999</v>
      </c>
      <c r="G28" s="663"/>
      <c r="H28" s="80">
        <f t="shared" si="2"/>
        <v>8.6777999999999995</v>
      </c>
      <c r="I28" s="101">
        <f t="shared" si="3"/>
        <v>48148.63</v>
      </c>
      <c r="N28" s="601" t="s">
        <v>87</v>
      </c>
      <c r="O28" s="601"/>
      <c r="P28" s="642">
        <f t="shared" si="0"/>
        <v>0</v>
      </c>
      <c r="Q28" s="642"/>
      <c r="R28" s="647">
        <v>1</v>
      </c>
      <c r="S28" s="647"/>
      <c r="T28" s="95">
        <f t="shared" si="4"/>
        <v>0</v>
      </c>
      <c r="U28" s="473">
        <f t="shared" si="5"/>
        <v>0</v>
      </c>
    </row>
    <row r="29" spans="1:21" x14ac:dyDescent="0.25">
      <c r="A29" s="578" t="s">
        <v>88</v>
      </c>
      <c r="B29" s="578"/>
      <c r="C29" s="110">
        <v>1.78</v>
      </c>
      <c r="D29" s="110">
        <v>1.62</v>
      </c>
      <c r="E29" s="154">
        <f t="shared" si="1"/>
        <v>3.4000000000000004</v>
      </c>
      <c r="F29" s="663">
        <f>'1461'!F29:G29</f>
        <v>1.079</v>
      </c>
      <c r="G29" s="663"/>
      <c r="H29" s="93">
        <f t="shared" si="2"/>
        <v>3.6686000000000001</v>
      </c>
      <c r="I29" s="94">
        <f t="shared" si="3"/>
        <v>20355.169999999998</v>
      </c>
      <c r="N29" s="616" t="s">
        <v>88</v>
      </c>
      <c r="O29" s="616"/>
      <c r="P29" s="642">
        <f t="shared" si="0"/>
        <v>0</v>
      </c>
      <c r="Q29" s="642"/>
      <c r="R29" s="643">
        <v>1</v>
      </c>
      <c r="S29" s="643"/>
      <c r="T29" s="95">
        <f t="shared" si="4"/>
        <v>0</v>
      </c>
      <c r="U29" s="473">
        <f t="shared" si="5"/>
        <v>0</v>
      </c>
    </row>
    <row r="30" spans="1:21" x14ac:dyDescent="0.25">
      <c r="A30" s="590" t="s">
        <v>5</v>
      </c>
      <c r="B30" s="590"/>
      <c r="C30" s="94">
        <f>SUM(C14:C29)</f>
        <v>34.33</v>
      </c>
      <c r="D30" s="94">
        <f>SUM(D14:D29)</f>
        <v>34.68</v>
      </c>
      <c r="E30" s="94">
        <f>SUM(E14:E29)</f>
        <v>69.010000000000005</v>
      </c>
      <c r="F30" s="582"/>
      <c r="G30" s="582"/>
      <c r="H30" s="99">
        <f>SUM(H14:H29)</f>
        <v>69.393200000000007</v>
      </c>
      <c r="I30" s="94">
        <f>SUM(I14:I29)</f>
        <v>385027.05</v>
      </c>
      <c r="N30" s="644" t="s">
        <v>5</v>
      </c>
      <c r="O30" s="644"/>
      <c r="P30" s="645">
        <f>SUM(P14:P29)</f>
        <v>0</v>
      </c>
      <c r="Q30" s="645"/>
      <c r="R30" s="617"/>
      <c r="S30" s="617"/>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0" t="s">
        <v>233</v>
      </c>
      <c r="G34" s="670"/>
      <c r="H34" s="670"/>
      <c r="I34" s="101"/>
      <c r="N34" s="28"/>
      <c r="O34" s="28"/>
      <c r="P34" s="29"/>
      <c r="Q34" s="29"/>
      <c r="R34" s="30"/>
      <c r="S34" s="30"/>
      <c r="T34" s="102"/>
      <c r="U34" s="103"/>
    </row>
    <row r="35" spans="1:21" hidden="1" x14ac:dyDescent="0.25">
      <c r="A35" s="3"/>
      <c r="B35" s="69"/>
      <c r="C35" s="69"/>
      <c r="D35" s="69"/>
      <c r="E35" s="69"/>
      <c r="F35" s="670"/>
      <c r="G35" s="670"/>
      <c r="H35" s="670"/>
      <c r="I35" s="24" t="s">
        <v>61</v>
      </c>
      <c r="N35" s="627" t="s">
        <v>26</v>
      </c>
      <c r="O35" s="627"/>
      <c r="P35" s="627"/>
      <c r="Q35" s="627"/>
      <c r="R35" s="627"/>
      <c r="S35" s="627"/>
      <c r="T35" s="627"/>
      <c r="U35" s="25" t="str">
        <f>I35</f>
        <v>2015-16</v>
      </c>
    </row>
    <row r="36" spans="1:21" hidden="1" x14ac:dyDescent="0.25">
      <c r="A36" s="26"/>
      <c r="B36" s="26"/>
      <c r="C36" s="88" t="s">
        <v>93</v>
      </c>
      <c r="D36" s="88" t="s">
        <v>94</v>
      </c>
      <c r="E36" s="89" t="s">
        <v>8</v>
      </c>
      <c r="F36" s="670"/>
      <c r="G36" s="670"/>
      <c r="H36" s="670"/>
      <c r="I36" s="24" t="s">
        <v>27</v>
      </c>
      <c r="N36" s="28"/>
      <c r="O36" s="28"/>
      <c r="P36" s="29"/>
      <c r="Q36" s="29"/>
      <c r="R36" s="30"/>
      <c r="S36" s="30"/>
      <c r="T36" s="102"/>
      <c r="U36" s="25" t="s">
        <v>27</v>
      </c>
    </row>
    <row r="37" spans="1:21" ht="26.25" hidden="1" x14ac:dyDescent="0.25">
      <c r="A37" s="572" t="s">
        <v>50</v>
      </c>
      <c r="B37" s="572"/>
      <c r="C37" s="90" t="s">
        <v>2</v>
      </c>
      <c r="D37" s="90" t="s">
        <v>2</v>
      </c>
      <c r="E37" s="90" t="s">
        <v>2</v>
      </c>
      <c r="F37" s="671"/>
      <c r="G37" s="671"/>
      <c r="H37" s="671"/>
      <c r="I37" s="31" t="s">
        <v>395</v>
      </c>
      <c r="N37" s="639" t="s">
        <v>50</v>
      </c>
      <c r="O37" s="639"/>
      <c r="P37" s="640" t="s">
        <v>19</v>
      </c>
      <c r="Q37" s="640"/>
      <c r="R37" s="640"/>
      <c r="S37" s="640"/>
      <c r="T37" s="640"/>
      <c r="U37" s="19" t="str">
        <f>I37</f>
        <v>(WFTE x BSA x CWF x SDF)</v>
      </c>
    </row>
    <row r="38" spans="1:21" hidden="1" x14ac:dyDescent="0.25">
      <c r="A38" s="576" t="s">
        <v>45</v>
      </c>
      <c r="B38" s="576"/>
      <c r="C38" s="147">
        <v>0</v>
      </c>
      <c r="D38" s="147">
        <v>0</v>
      </c>
      <c r="E38" s="187">
        <f t="shared" ref="E38:E43" si="6">IF(D$44=0,C38*2,C38+D38)</f>
        <v>0</v>
      </c>
      <c r="F38" s="148"/>
      <c r="G38" s="148"/>
      <c r="H38" s="148"/>
      <c r="I38" s="111">
        <f>ROUND(ROUND(ROUND(E38*$C$8,4)*($H$8),2)*(MAX($H$9,1)),2)</f>
        <v>0</v>
      </c>
      <c r="N38" s="641" t="s">
        <v>45</v>
      </c>
      <c r="O38" s="641"/>
      <c r="P38" s="608">
        <f t="shared" ref="P38:P43" si="7">IF($H$133=1,E38,0)</f>
        <v>0</v>
      </c>
      <c r="Q38" s="608"/>
      <c r="R38" s="608"/>
      <c r="S38" s="608"/>
      <c r="T38" s="608"/>
      <c r="U38" s="98">
        <f>ROUND(ROUND(ROUND(P38*$C$8,4)*($H$8),2)*(MAX($H$9,1)),2)</f>
        <v>0</v>
      </c>
    </row>
    <row r="39" spans="1:21" hidden="1" x14ac:dyDescent="0.25">
      <c r="A39" s="578" t="s">
        <v>46</v>
      </c>
      <c r="B39" s="578"/>
      <c r="C39" s="150">
        <v>0</v>
      </c>
      <c r="D39" s="150">
        <v>0</v>
      </c>
      <c r="E39" s="116">
        <f t="shared" si="6"/>
        <v>0</v>
      </c>
      <c r="F39" s="151"/>
      <c r="G39" s="151"/>
      <c r="H39" s="151"/>
      <c r="I39" s="101">
        <f t="shared" ref="I39:I43" si="8">ROUND(ROUND(ROUND(E39*$C$8,4)*($H$8),2)*(MAX($H$9,1)),2)</f>
        <v>0</v>
      </c>
      <c r="N39" s="601" t="s">
        <v>46</v>
      </c>
      <c r="O39" s="601"/>
      <c r="P39" s="608">
        <f t="shared" si="7"/>
        <v>0</v>
      </c>
      <c r="Q39" s="608"/>
      <c r="R39" s="608"/>
      <c r="S39" s="608"/>
      <c r="T39" s="608"/>
      <c r="U39" s="98">
        <f t="shared" ref="U39:U43" si="9">ROUND(ROUND(ROUND(P39*$C$8,4)*($H$8),2)*(MAX($H$9,1)),2)</f>
        <v>0</v>
      </c>
    </row>
    <row r="40" spans="1:21" hidden="1" x14ac:dyDescent="0.25">
      <c r="A40" s="583" t="s">
        <v>47</v>
      </c>
      <c r="B40" s="583"/>
      <c r="C40" s="150">
        <v>0</v>
      </c>
      <c r="D40" s="150">
        <v>0</v>
      </c>
      <c r="E40" s="116">
        <f t="shared" si="6"/>
        <v>0</v>
      </c>
      <c r="F40" s="151"/>
      <c r="G40" s="151"/>
      <c r="H40" s="151"/>
      <c r="I40" s="101">
        <f t="shared" si="8"/>
        <v>0</v>
      </c>
      <c r="N40" s="646" t="s">
        <v>47</v>
      </c>
      <c r="O40" s="646"/>
      <c r="P40" s="608">
        <f t="shared" si="7"/>
        <v>0</v>
      </c>
      <c r="Q40" s="608"/>
      <c r="R40" s="608"/>
      <c r="S40" s="608"/>
      <c r="T40" s="608"/>
      <c r="U40" s="98">
        <f t="shared" si="9"/>
        <v>0</v>
      </c>
    </row>
    <row r="41" spans="1:21" hidden="1" x14ac:dyDescent="0.25">
      <c r="A41" s="578" t="s">
        <v>48</v>
      </c>
      <c r="B41" s="578"/>
      <c r="C41" s="150">
        <v>0</v>
      </c>
      <c r="D41" s="150">
        <v>0</v>
      </c>
      <c r="E41" s="116">
        <f t="shared" si="6"/>
        <v>0</v>
      </c>
      <c r="F41" s="151"/>
      <c r="G41" s="151"/>
      <c r="H41" s="151"/>
      <c r="I41" s="101">
        <f t="shared" si="8"/>
        <v>0</v>
      </c>
      <c r="N41" s="601" t="s">
        <v>48</v>
      </c>
      <c r="O41" s="601"/>
      <c r="P41" s="608">
        <f t="shared" si="7"/>
        <v>0</v>
      </c>
      <c r="Q41" s="608"/>
      <c r="R41" s="608"/>
      <c r="S41" s="608"/>
      <c r="T41" s="608"/>
      <c r="U41" s="98">
        <f t="shared" si="9"/>
        <v>0</v>
      </c>
    </row>
    <row r="42" spans="1:21" hidden="1" x14ac:dyDescent="0.25">
      <c r="A42" s="578" t="s">
        <v>49</v>
      </c>
      <c r="B42" s="578"/>
      <c r="C42" s="150">
        <v>0</v>
      </c>
      <c r="D42" s="150">
        <v>0</v>
      </c>
      <c r="E42" s="116">
        <f t="shared" si="6"/>
        <v>0</v>
      </c>
      <c r="F42" s="151"/>
      <c r="G42" s="151"/>
      <c r="H42" s="151"/>
      <c r="I42" s="101">
        <f t="shared" si="8"/>
        <v>0</v>
      </c>
      <c r="N42" s="601" t="s">
        <v>49</v>
      </c>
      <c r="O42" s="601"/>
      <c r="P42" s="608">
        <f t="shared" si="7"/>
        <v>0</v>
      </c>
      <c r="Q42" s="608"/>
      <c r="R42" s="608"/>
      <c r="S42" s="608"/>
      <c r="T42" s="608"/>
      <c r="U42" s="98">
        <f t="shared" si="9"/>
        <v>0</v>
      </c>
    </row>
    <row r="43" spans="1:21" hidden="1" x14ac:dyDescent="0.25">
      <c r="A43" s="578" t="s">
        <v>41</v>
      </c>
      <c r="B43" s="578"/>
      <c r="C43" s="149">
        <v>0</v>
      </c>
      <c r="D43" s="149">
        <v>0</v>
      </c>
      <c r="E43" s="154">
        <f t="shared" si="6"/>
        <v>0</v>
      </c>
      <c r="F43" s="151"/>
      <c r="G43" s="151"/>
      <c r="H43" s="151"/>
      <c r="I43" s="94">
        <f t="shared" si="8"/>
        <v>0</v>
      </c>
      <c r="N43" s="616" t="s">
        <v>41</v>
      </c>
      <c r="O43" s="616"/>
      <c r="P43" s="608">
        <f t="shared" si="7"/>
        <v>0</v>
      </c>
      <c r="Q43" s="608"/>
      <c r="R43" s="608"/>
      <c r="S43" s="608"/>
      <c r="T43" s="60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3" t="s">
        <v>43</v>
      </c>
      <c r="O44" s="603"/>
      <c r="P44" s="603"/>
      <c r="Q44" s="603"/>
      <c r="R44" s="33">
        <f>SUM(P38:R43)</f>
        <v>0</v>
      </c>
      <c r="S44" s="617" t="s">
        <v>51</v>
      </c>
      <c r="T44" s="617"/>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69.393200000000007</v>
      </c>
      <c r="F46" s="34"/>
      <c r="G46" s="106"/>
      <c r="H46" s="107" t="s">
        <v>98</v>
      </c>
      <c r="I46" s="94">
        <f>SUM(I44,I30)</f>
        <v>385027.05</v>
      </c>
      <c r="N46" s="603" t="s">
        <v>44</v>
      </c>
      <c r="O46" s="603"/>
      <c r="P46" s="603"/>
      <c r="Q46" s="603"/>
      <c r="R46" s="35">
        <f>R44+T30</f>
        <v>0</v>
      </c>
      <c r="S46" s="617" t="s">
        <v>42</v>
      </c>
      <c r="T46" s="617"/>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396</v>
      </c>
      <c r="B48" s="26"/>
      <c r="C48" s="26"/>
      <c r="D48" s="26"/>
      <c r="E48" s="26"/>
      <c r="F48" s="34"/>
      <c r="G48" s="27"/>
      <c r="H48" s="27"/>
      <c r="I48" s="101"/>
      <c r="N48" s="383" t="s">
        <v>396</v>
      </c>
      <c r="O48" s="28"/>
      <c r="P48" s="28"/>
      <c r="Q48" s="28"/>
      <c r="R48" s="35"/>
      <c r="S48" s="30"/>
      <c r="T48" s="30"/>
      <c r="U48" s="402"/>
    </row>
    <row r="49" spans="1:22" s="391" customFormat="1" ht="9" customHeight="1" x14ac:dyDescent="0.2">
      <c r="A49" s="481" t="s">
        <v>397</v>
      </c>
      <c r="F49" s="392"/>
      <c r="G49" s="393"/>
      <c r="H49" s="393"/>
      <c r="I49" s="394"/>
      <c r="N49" s="403" t="s">
        <v>397</v>
      </c>
      <c r="O49" s="395"/>
      <c r="P49" s="395"/>
      <c r="Q49" s="395"/>
      <c r="R49" s="396"/>
      <c r="S49" s="397"/>
      <c r="T49" s="397"/>
      <c r="U49" s="404"/>
    </row>
    <row r="50" spans="1:22" s="391" customFormat="1" ht="11.25" customHeight="1" x14ac:dyDescent="0.2">
      <c r="A50" s="483" t="s">
        <v>398</v>
      </c>
      <c r="F50" s="392"/>
      <c r="G50" s="393"/>
      <c r="H50" s="393"/>
      <c r="I50" s="394"/>
      <c r="N50" s="405" t="s">
        <v>398</v>
      </c>
      <c r="O50" s="395"/>
      <c r="P50" s="395"/>
      <c r="Q50" s="395"/>
      <c r="R50" s="396"/>
      <c r="S50" s="397"/>
      <c r="T50" s="397"/>
      <c r="U50" s="404"/>
    </row>
    <row r="51" spans="1:22" x14ac:dyDescent="0.25">
      <c r="A51" s="389"/>
      <c r="B51" s="399" t="s">
        <v>399</v>
      </c>
      <c r="C51" s="26"/>
      <c r="D51" s="26"/>
      <c r="E51" s="43" t="s">
        <v>400</v>
      </c>
      <c r="F51" s="400">
        <f>I46</f>
        <v>385027.05</v>
      </c>
      <c r="G51" s="109" t="s">
        <v>6</v>
      </c>
      <c r="H51" s="401">
        <v>4.5199999999999997E-2</v>
      </c>
      <c r="I51" s="101">
        <f>ROUND(F51*H51,2)</f>
        <v>17403.22</v>
      </c>
      <c r="N51" s="406"/>
      <c r="O51" s="407" t="s">
        <v>399</v>
      </c>
      <c r="P51" s="28"/>
      <c r="Q51" s="44" t="s">
        <v>400</v>
      </c>
      <c r="R51" s="408">
        <f>U30</f>
        <v>0</v>
      </c>
      <c r="S51" s="409" t="s">
        <v>6</v>
      </c>
      <c r="T51" s="410">
        <v>4.5199999999999997E-2</v>
      </c>
      <c r="U51" s="402">
        <f>ROUND(R51*T51,2)</f>
        <v>0</v>
      </c>
    </row>
    <row r="52" spans="1:22" x14ac:dyDescent="0.25">
      <c r="A52" s="26"/>
      <c r="B52" s="81" t="s">
        <v>401</v>
      </c>
      <c r="C52" s="26"/>
      <c r="D52" s="26"/>
      <c r="E52" s="43" t="s">
        <v>400</v>
      </c>
      <c r="F52" s="400">
        <f>I46</f>
        <v>385027.05</v>
      </c>
      <c r="G52" s="109" t="s">
        <v>6</v>
      </c>
      <c r="H52" s="401">
        <v>1.41E-2</v>
      </c>
      <c r="I52" s="101">
        <f>ROUND(F52*H52,2)</f>
        <v>5428.88</v>
      </c>
      <c r="N52" s="28"/>
      <c r="O52" s="383" t="s">
        <v>401</v>
      </c>
      <c r="P52" s="28"/>
      <c r="Q52" s="44" t="s">
        <v>400</v>
      </c>
      <c r="R52" s="408">
        <f>U30</f>
        <v>0</v>
      </c>
      <c r="S52" s="409" t="s">
        <v>6</v>
      </c>
      <c r="T52" s="410">
        <v>1.41E-2</v>
      </c>
      <c r="U52" s="411">
        <f>ROUND(R52*T52,2)</f>
        <v>0</v>
      </c>
    </row>
    <row r="53" spans="1:22" x14ac:dyDescent="0.25">
      <c r="A53" s="26"/>
      <c r="B53" s="81" t="s">
        <v>402</v>
      </c>
      <c r="C53" s="26"/>
      <c r="D53" s="26"/>
      <c r="E53" s="43"/>
      <c r="F53" s="400"/>
      <c r="G53" s="109"/>
      <c r="H53" s="401"/>
      <c r="I53" s="97">
        <f>SUM(I51:I52)</f>
        <v>22832.100000000002</v>
      </c>
      <c r="N53" s="28"/>
      <c r="O53" s="383" t="s">
        <v>402</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440</v>
      </c>
      <c r="G55" s="109" t="s">
        <v>441</v>
      </c>
      <c r="H55" s="454" t="s">
        <v>442</v>
      </c>
      <c r="I55" s="101"/>
      <c r="N55" s="448"/>
      <c r="O55" s="448"/>
      <c r="P55" s="464"/>
      <c r="Q55" s="465"/>
      <c r="R55" s="466"/>
      <c r="S55" s="468" t="s">
        <v>441</v>
      </c>
      <c r="T55" s="469" t="s">
        <v>442</v>
      </c>
      <c r="U55" s="467"/>
      <c r="V55" s="424"/>
    </row>
    <row r="56" spans="1:22" x14ac:dyDescent="0.25">
      <c r="A56" s="36" t="s">
        <v>443</v>
      </c>
      <c r="B56" s="36"/>
      <c r="C56" s="324" t="str">
        <f>'1461'!C56</f>
        <v>FTE</v>
      </c>
      <c r="D56" s="324" t="str">
        <f>'1461'!D56</f>
        <v>FTE</v>
      </c>
      <c r="E56" s="90" t="s">
        <v>2</v>
      </c>
      <c r="F56" s="439" t="s">
        <v>444</v>
      </c>
      <c r="G56" s="441" t="s">
        <v>444</v>
      </c>
      <c r="H56" s="455" t="s">
        <v>445</v>
      </c>
      <c r="I56" s="36"/>
      <c r="N56" s="459" t="s">
        <v>443</v>
      </c>
      <c r="O56" s="459"/>
      <c r="P56" s="620" t="s">
        <v>2</v>
      </c>
      <c r="Q56" s="620"/>
      <c r="R56" s="459" t="s">
        <v>449</v>
      </c>
      <c r="S56" s="450" t="s">
        <v>444</v>
      </c>
      <c r="T56" s="470" t="s">
        <v>445</v>
      </c>
      <c r="U56" s="459"/>
      <c r="V56" s="458"/>
    </row>
    <row r="57" spans="1:22" x14ac:dyDescent="0.25">
      <c r="A57" s="588" t="s">
        <v>447</v>
      </c>
      <c r="B57" s="588"/>
      <c r="C57" s="143">
        <v>0</v>
      </c>
      <c r="D57" s="143">
        <v>0</v>
      </c>
      <c r="E57" s="116">
        <f t="shared" ref="E57:E65" si="10">IF(D$66=0,C57*2,C57+D57)</f>
        <v>0</v>
      </c>
      <c r="F57" s="443" t="s">
        <v>439</v>
      </c>
      <c r="G57" s="443">
        <v>251</v>
      </c>
      <c r="H57" s="457">
        <f>'1461'!H57</f>
        <v>1047</v>
      </c>
      <c r="I57" s="101">
        <f>ROUND(E57*H57,2)</f>
        <v>0</v>
      </c>
      <c r="N57" s="618" t="s">
        <v>447</v>
      </c>
      <c r="O57" s="618"/>
      <c r="P57" s="621"/>
      <c r="Q57" s="621"/>
      <c r="R57" s="449" t="s">
        <v>439</v>
      </c>
      <c r="S57" s="449">
        <v>251</v>
      </c>
      <c r="T57" s="460">
        <f>H57</f>
        <v>1047</v>
      </c>
      <c r="U57" s="474">
        <f>ROUND(P57*T57,2)</f>
        <v>0</v>
      </c>
      <c r="V57" s="424"/>
    </row>
    <row r="58" spans="1:22" x14ac:dyDescent="0.25">
      <c r="A58" s="589"/>
      <c r="B58" s="589"/>
      <c r="C58" s="143">
        <v>0</v>
      </c>
      <c r="D58" s="143">
        <v>0</v>
      </c>
      <c r="E58" s="116">
        <f t="shared" si="10"/>
        <v>0</v>
      </c>
      <c r="F58" s="443" t="s">
        <v>439</v>
      </c>
      <c r="G58" s="443">
        <v>252</v>
      </c>
      <c r="H58" s="457">
        <f>'1461'!H58</f>
        <v>3380</v>
      </c>
      <c r="I58" s="101">
        <f t="shared" ref="I58:I65" si="11">ROUND(E58*H58,2)</f>
        <v>0</v>
      </c>
      <c r="N58" s="619"/>
      <c r="O58" s="619"/>
      <c r="P58" s="622"/>
      <c r="Q58" s="622"/>
      <c r="R58" s="449" t="s">
        <v>439</v>
      </c>
      <c r="S58" s="449">
        <v>252</v>
      </c>
      <c r="T58" s="460">
        <f t="shared" ref="T58:T65" si="12">H58</f>
        <v>3380</v>
      </c>
      <c r="U58" s="474">
        <f t="shared" ref="U58:U65" si="13">ROUND(P58*T58,2)</f>
        <v>0</v>
      </c>
      <c r="V58" s="424"/>
    </row>
    <row r="59" spans="1:22" x14ac:dyDescent="0.25">
      <c r="A59" s="589"/>
      <c r="B59" s="589"/>
      <c r="C59" s="143">
        <v>0</v>
      </c>
      <c r="D59" s="143">
        <v>0</v>
      </c>
      <c r="E59" s="116">
        <f t="shared" si="10"/>
        <v>0</v>
      </c>
      <c r="F59" s="443" t="s">
        <v>439</v>
      </c>
      <c r="G59" s="443">
        <v>253</v>
      </c>
      <c r="H59" s="457">
        <f>'1461'!H59</f>
        <v>6896</v>
      </c>
      <c r="I59" s="101">
        <f t="shared" si="11"/>
        <v>0</v>
      </c>
      <c r="N59" s="619"/>
      <c r="O59" s="619"/>
      <c r="P59" s="622"/>
      <c r="Q59" s="622"/>
      <c r="R59" s="449" t="s">
        <v>439</v>
      </c>
      <c r="S59" s="449">
        <v>253</v>
      </c>
      <c r="T59" s="460">
        <f t="shared" si="12"/>
        <v>6896</v>
      </c>
      <c r="U59" s="474">
        <f t="shared" si="13"/>
        <v>0</v>
      </c>
      <c r="V59" s="424"/>
    </row>
    <row r="60" spans="1:22" x14ac:dyDescent="0.25">
      <c r="A60" s="589"/>
      <c r="B60" s="589"/>
      <c r="C60" s="143">
        <v>0</v>
      </c>
      <c r="D60" s="143">
        <v>0</v>
      </c>
      <c r="E60" s="116">
        <f t="shared" si="10"/>
        <v>0</v>
      </c>
      <c r="F60" s="444" t="s">
        <v>13</v>
      </c>
      <c r="G60" s="443">
        <v>251</v>
      </c>
      <c r="H60" s="457">
        <f>'1461'!H60</f>
        <v>1173</v>
      </c>
      <c r="I60" s="101">
        <f t="shared" si="11"/>
        <v>0</v>
      </c>
      <c r="N60" s="619"/>
      <c r="O60" s="619"/>
      <c r="P60" s="622"/>
      <c r="Q60" s="622"/>
      <c r="R60" s="40" t="s">
        <v>13</v>
      </c>
      <c r="S60" s="449">
        <v>251</v>
      </c>
      <c r="T60" s="460">
        <f t="shared" si="12"/>
        <v>1173</v>
      </c>
      <c r="U60" s="474">
        <f t="shared" si="13"/>
        <v>0</v>
      </c>
      <c r="V60" s="424"/>
    </row>
    <row r="61" spans="1:22" x14ac:dyDescent="0.25">
      <c r="A61" s="589"/>
      <c r="B61" s="589"/>
      <c r="C61" s="143">
        <v>0</v>
      </c>
      <c r="D61" s="143">
        <v>0</v>
      </c>
      <c r="E61" s="116">
        <f t="shared" si="10"/>
        <v>0</v>
      </c>
      <c r="F61" s="444" t="s">
        <v>13</v>
      </c>
      <c r="G61" s="443">
        <v>252</v>
      </c>
      <c r="H61" s="457">
        <f>'1461'!H61</f>
        <v>3506</v>
      </c>
      <c r="I61" s="101">
        <f t="shared" si="11"/>
        <v>0</v>
      </c>
      <c r="N61" s="619"/>
      <c r="O61" s="619"/>
      <c r="P61" s="622"/>
      <c r="Q61" s="622"/>
      <c r="R61" s="40" t="s">
        <v>13</v>
      </c>
      <c r="S61" s="449">
        <v>252</v>
      </c>
      <c r="T61" s="460">
        <f t="shared" si="12"/>
        <v>3506</v>
      </c>
      <c r="U61" s="474">
        <f t="shared" si="13"/>
        <v>0</v>
      </c>
      <c r="V61" s="424"/>
    </row>
    <row r="62" spans="1:22" x14ac:dyDescent="0.25">
      <c r="A62" s="589"/>
      <c r="B62" s="589"/>
      <c r="C62" s="143">
        <v>0</v>
      </c>
      <c r="D62" s="143">
        <v>0</v>
      </c>
      <c r="E62" s="116">
        <f t="shared" si="10"/>
        <v>0</v>
      </c>
      <c r="F62" s="444" t="s">
        <v>13</v>
      </c>
      <c r="G62" s="443">
        <v>253</v>
      </c>
      <c r="H62" s="457">
        <f>'1461'!H62</f>
        <v>7023</v>
      </c>
      <c r="I62" s="101">
        <f t="shared" si="11"/>
        <v>0</v>
      </c>
      <c r="N62" s="619"/>
      <c r="O62" s="619"/>
      <c r="P62" s="622"/>
      <c r="Q62" s="622"/>
      <c r="R62" s="40" t="s">
        <v>13</v>
      </c>
      <c r="S62" s="449">
        <v>253</v>
      </c>
      <c r="T62" s="460">
        <f t="shared" si="12"/>
        <v>7023</v>
      </c>
      <c r="U62" s="474">
        <f t="shared" si="13"/>
        <v>0</v>
      </c>
      <c r="V62" s="424"/>
    </row>
    <row r="63" spans="1:22" x14ac:dyDescent="0.25">
      <c r="A63" s="589"/>
      <c r="B63" s="589"/>
      <c r="C63" s="143">
        <v>3</v>
      </c>
      <c r="D63" s="143">
        <v>3.06</v>
      </c>
      <c r="E63" s="116">
        <f t="shared" si="10"/>
        <v>6.0600000000000005</v>
      </c>
      <c r="F63" s="444" t="s">
        <v>14</v>
      </c>
      <c r="G63" s="443">
        <v>251</v>
      </c>
      <c r="H63" s="457">
        <f>'1461'!H63</f>
        <v>835</v>
      </c>
      <c r="I63" s="101">
        <f t="shared" si="11"/>
        <v>5060.1000000000004</v>
      </c>
      <c r="N63" s="619"/>
      <c r="O63" s="619"/>
      <c r="P63" s="622"/>
      <c r="Q63" s="622"/>
      <c r="R63" s="40" t="s">
        <v>14</v>
      </c>
      <c r="S63" s="449">
        <v>251</v>
      </c>
      <c r="T63" s="460">
        <f t="shared" si="12"/>
        <v>835</v>
      </c>
      <c r="U63" s="474">
        <f t="shared" si="13"/>
        <v>0</v>
      </c>
      <c r="V63" s="424"/>
    </row>
    <row r="64" spans="1:22" x14ac:dyDescent="0.25">
      <c r="A64" s="589"/>
      <c r="B64" s="589"/>
      <c r="C64" s="143">
        <v>0.5</v>
      </c>
      <c r="D64" s="143">
        <v>0.51</v>
      </c>
      <c r="E64" s="116">
        <f t="shared" si="10"/>
        <v>1.01</v>
      </c>
      <c r="F64" s="444" t="s">
        <v>14</v>
      </c>
      <c r="G64" s="443">
        <v>252</v>
      </c>
      <c r="H64" s="457">
        <f>'1461'!H64</f>
        <v>3168</v>
      </c>
      <c r="I64" s="101">
        <f t="shared" si="11"/>
        <v>3199.68</v>
      </c>
      <c r="N64" s="619"/>
      <c r="O64" s="619"/>
      <c r="P64" s="622"/>
      <c r="Q64" s="622"/>
      <c r="R64" s="40" t="s">
        <v>14</v>
      </c>
      <c r="S64" s="449">
        <v>252</v>
      </c>
      <c r="T64" s="460">
        <f t="shared" si="12"/>
        <v>3168</v>
      </c>
      <c r="U64" s="474">
        <f t="shared" si="13"/>
        <v>0</v>
      </c>
      <c r="V64" s="424"/>
    </row>
    <row r="65" spans="1:22" ht="16.5" thickBot="1" x14ac:dyDescent="0.3">
      <c r="A65" s="589"/>
      <c r="B65" s="589"/>
      <c r="C65" s="143">
        <v>0</v>
      </c>
      <c r="D65" s="143">
        <v>0</v>
      </c>
      <c r="E65" s="116">
        <f t="shared" si="10"/>
        <v>0</v>
      </c>
      <c r="F65" s="444" t="s">
        <v>14</v>
      </c>
      <c r="G65" s="443">
        <v>253</v>
      </c>
      <c r="H65" s="457">
        <f>'1461'!H65</f>
        <v>6685</v>
      </c>
      <c r="I65" s="101">
        <f t="shared" si="11"/>
        <v>0</v>
      </c>
      <c r="N65" s="619"/>
      <c r="O65" s="619"/>
      <c r="P65" s="623"/>
      <c r="Q65" s="623"/>
      <c r="R65" s="40" t="s">
        <v>14</v>
      </c>
      <c r="S65" s="449">
        <v>253</v>
      </c>
      <c r="T65" s="460">
        <f t="shared" si="12"/>
        <v>6685</v>
      </c>
      <c r="U65" s="475">
        <f t="shared" si="13"/>
        <v>0</v>
      </c>
      <c r="V65" s="424"/>
    </row>
    <row r="66" spans="1:22" ht="16.5" thickBot="1" x14ac:dyDescent="0.3">
      <c r="A66" s="440"/>
      <c r="C66" s="97">
        <f>SUM(C57:C65)</f>
        <v>3.5</v>
      </c>
      <c r="D66" s="97">
        <f>SUM(D57:D65)</f>
        <v>3.5700000000000003</v>
      </c>
      <c r="E66" s="97">
        <f>SUM(E57:E65)</f>
        <v>7.07</v>
      </c>
      <c r="F66" s="590" t="s">
        <v>448</v>
      </c>
      <c r="G66" s="590"/>
      <c r="H66" s="590"/>
      <c r="I66" s="97">
        <f>SUM(I57:I65)</f>
        <v>8259.7800000000007</v>
      </c>
      <c r="N66" s="446"/>
      <c r="O66" s="51"/>
      <c r="P66" s="602">
        <f>SUM(P57:P65)</f>
        <v>0</v>
      </c>
      <c r="Q66" s="602"/>
      <c r="R66" s="603" t="s">
        <v>448</v>
      </c>
      <c r="S66" s="603"/>
      <c r="T66" s="603"/>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450</v>
      </c>
      <c r="N68" s="453" t="s">
        <v>458</v>
      </c>
      <c r="O68" s="51"/>
      <c r="P68" s="51"/>
      <c r="Q68" s="51"/>
      <c r="R68" s="51"/>
      <c r="S68" s="51"/>
      <c r="T68" s="51"/>
      <c r="U68" s="51"/>
    </row>
    <row r="69" spans="1:22" x14ac:dyDescent="0.25">
      <c r="A69" s="584" t="s">
        <v>403</v>
      </c>
      <c r="B69" s="578"/>
      <c r="C69" s="112">
        <f>E30</f>
        <v>69.010000000000005</v>
      </c>
      <c r="D69" s="565" t="s">
        <v>414</v>
      </c>
      <c r="E69" s="565"/>
      <c r="F69" s="565"/>
      <c r="G69" s="565"/>
      <c r="H69" s="300">
        <f>'1461'!H69</f>
        <v>210228.91</v>
      </c>
      <c r="I69" s="113"/>
      <c r="N69" s="600" t="s">
        <v>407</v>
      </c>
      <c r="O69" s="601"/>
      <c r="P69" s="41">
        <f>P30</f>
        <v>0</v>
      </c>
      <c r="Q69" s="606" t="s">
        <v>409</v>
      </c>
      <c r="R69" s="607"/>
      <c r="S69" s="607"/>
      <c r="T69" s="604">
        <f>H69</f>
        <v>210228.91</v>
      </c>
      <c r="U69" s="604"/>
    </row>
    <row r="70" spans="1:22" x14ac:dyDescent="0.25">
      <c r="B70" s="69"/>
      <c r="G70" s="42" t="s">
        <v>12</v>
      </c>
      <c r="H70" s="114">
        <f>ROUND(C69/H69,6)</f>
        <v>3.28E-4</v>
      </c>
      <c r="I70" s="115"/>
      <c r="N70" s="601"/>
      <c r="O70" s="601"/>
      <c r="P70" s="601"/>
      <c r="Q70" s="601"/>
      <c r="R70" s="601"/>
      <c r="S70" s="601"/>
      <c r="T70" s="605">
        <f>ROUND(P69/T69,6)</f>
        <v>0</v>
      </c>
      <c r="U70" s="605"/>
    </row>
    <row r="71" spans="1:22" x14ac:dyDescent="0.25">
      <c r="A71" s="442" t="s">
        <v>451</v>
      </c>
      <c r="N71" s="453" t="s">
        <v>459</v>
      </c>
      <c r="O71" s="51"/>
      <c r="P71" s="51"/>
      <c r="Q71" s="51"/>
      <c r="R71" s="51"/>
      <c r="S71" s="51"/>
      <c r="T71" s="51"/>
      <c r="U71" s="51"/>
    </row>
    <row r="72" spans="1:22" x14ac:dyDescent="0.25">
      <c r="A72" s="584" t="s">
        <v>404</v>
      </c>
      <c r="B72" s="578"/>
      <c r="C72" s="112">
        <f>H30</f>
        <v>69.393200000000007</v>
      </c>
      <c r="D72" s="565" t="s">
        <v>415</v>
      </c>
      <c r="E72" s="565"/>
      <c r="F72" s="565"/>
      <c r="G72" s="565"/>
      <c r="H72" s="301">
        <f>'1461'!H72</f>
        <v>234891.44</v>
      </c>
      <c r="I72" s="116"/>
      <c r="N72" s="600" t="s">
        <v>408</v>
      </c>
      <c r="O72" s="601"/>
      <c r="P72" s="41">
        <f>T30</f>
        <v>0</v>
      </c>
      <c r="Q72" s="606" t="s">
        <v>410</v>
      </c>
      <c r="R72" s="607"/>
      <c r="S72" s="607"/>
      <c r="T72" s="604">
        <f>H72</f>
        <v>234891.44</v>
      </c>
      <c r="U72" s="604"/>
    </row>
    <row r="73" spans="1:22" x14ac:dyDescent="0.25">
      <c r="G73" s="42" t="s">
        <v>12</v>
      </c>
      <c r="H73" s="114">
        <f>ROUND(C72/H72,6)</f>
        <v>2.9500000000000001E-4</v>
      </c>
      <c r="I73" s="114"/>
      <c r="N73" s="601"/>
      <c r="O73" s="601"/>
      <c r="P73" s="601"/>
      <c r="Q73" s="601"/>
      <c r="R73" s="601"/>
      <c r="S73" s="601"/>
      <c r="T73" s="605">
        <f>ROUND(P72/T72,6)</f>
        <v>0</v>
      </c>
      <c r="U73" s="605"/>
    </row>
    <row r="74" spans="1:22" x14ac:dyDescent="0.25">
      <c r="A74" s="417" t="s">
        <v>452</v>
      </c>
      <c r="B74" s="414"/>
      <c r="C74" s="414"/>
      <c r="D74" s="414"/>
      <c r="E74" s="414"/>
      <c r="F74" s="414"/>
      <c r="G74" s="414"/>
      <c r="H74" s="414"/>
      <c r="I74" s="414"/>
      <c r="N74" s="416" t="s">
        <v>460</v>
      </c>
      <c r="O74" s="415"/>
      <c r="P74" s="415"/>
      <c r="Q74" s="415"/>
      <c r="R74" s="415"/>
      <c r="S74" s="415"/>
      <c r="T74" s="415"/>
      <c r="U74" s="415"/>
      <c r="V74" s="414"/>
    </row>
    <row r="75" spans="1:22" x14ac:dyDescent="0.25">
      <c r="A75" s="584" t="s">
        <v>405</v>
      </c>
      <c r="B75" s="578"/>
      <c r="C75" s="112">
        <f>E30</f>
        <v>69.010000000000005</v>
      </c>
      <c r="D75" s="557" t="s">
        <v>416</v>
      </c>
      <c r="E75" s="557"/>
      <c r="F75" s="557"/>
      <c r="G75" s="557"/>
      <c r="H75" s="300">
        <f>'1461'!H75</f>
        <v>187665.41</v>
      </c>
      <c r="I75" s="113"/>
      <c r="N75" s="600" t="s">
        <v>406</v>
      </c>
      <c r="O75" s="601"/>
      <c r="P75" s="41">
        <f>P30</f>
        <v>0</v>
      </c>
      <c r="Q75" s="636" t="s">
        <v>411</v>
      </c>
      <c r="R75" s="637"/>
      <c r="S75" s="637"/>
      <c r="T75" s="604">
        <f>H75</f>
        <v>187665.41</v>
      </c>
      <c r="U75" s="604"/>
    </row>
    <row r="76" spans="1:22" x14ac:dyDescent="0.25">
      <c r="B76" s="69"/>
      <c r="G76" s="42" t="s">
        <v>12</v>
      </c>
      <c r="H76" s="114">
        <f>ROUND(C75/H75,6)</f>
        <v>3.68E-4</v>
      </c>
      <c r="I76" s="115"/>
      <c r="N76" s="601"/>
      <c r="O76" s="601"/>
      <c r="P76" s="601"/>
      <c r="Q76" s="601"/>
      <c r="R76" s="601"/>
      <c r="S76" s="601"/>
      <c r="T76" s="605">
        <f>ROUND(P75/T75,6)</f>
        <v>0</v>
      </c>
      <c r="U76" s="605"/>
    </row>
    <row r="77" spans="1:22" x14ac:dyDescent="0.25">
      <c r="A77" s="417" t="s">
        <v>453</v>
      </c>
      <c r="B77" s="414"/>
      <c r="C77" s="414"/>
      <c r="D77" s="414"/>
      <c r="E77" s="414"/>
      <c r="F77" s="414"/>
      <c r="G77" s="414"/>
      <c r="H77" s="414"/>
      <c r="I77" s="414"/>
      <c r="N77" s="416" t="s">
        <v>461</v>
      </c>
      <c r="O77" s="415"/>
      <c r="P77" s="415"/>
      <c r="Q77" s="415"/>
      <c r="R77" s="415"/>
      <c r="S77" s="415"/>
      <c r="T77" s="415"/>
      <c r="U77" s="415"/>
      <c r="V77" s="414"/>
    </row>
    <row r="78" spans="1:22" x14ac:dyDescent="0.25">
      <c r="A78" s="584" t="s">
        <v>405</v>
      </c>
      <c r="B78" s="578"/>
      <c r="C78" s="112">
        <f>E30</f>
        <v>69.010000000000005</v>
      </c>
      <c r="D78" s="585" t="s">
        <v>417</v>
      </c>
      <c r="E78" s="585"/>
      <c r="F78" s="585"/>
      <c r="G78" s="585"/>
      <c r="H78" s="300">
        <f>'1461'!H78</f>
        <v>209892.26</v>
      </c>
      <c r="I78" s="113"/>
      <c r="N78" s="600" t="s">
        <v>406</v>
      </c>
      <c r="O78" s="601"/>
      <c r="P78" s="41">
        <f>P30</f>
        <v>0</v>
      </c>
      <c r="Q78" s="634" t="s">
        <v>412</v>
      </c>
      <c r="R78" s="635"/>
      <c r="S78" s="635"/>
      <c r="T78" s="604">
        <f>H78</f>
        <v>209892.26</v>
      </c>
      <c r="U78" s="604"/>
    </row>
    <row r="79" spans="1:22" x14ac:dyDescent="0.25">
      <c r="B79" s="69"/>
      <c r="G79" s="42" t="s">
        <v>12</v>
      </c>
      <c r="H79" s="114">
        <f>ROUND(C78/H78,6)</f>
        <v>3.2899999999999997E-4</v>
      </c>
      <c r="I79" s="115"/>
      <c r="N79" s="601"/>
      <c r="O79" s="601"/>
      <c r="P79" s="601"/>
      <c r="Q79" s="601"/>
      <c r="R79" s="601"/>
      <c r="S79" s="601"/>
      <c r="T79" s="605">
        <f>ROUND(P78/T78,6)</f>
        <v>0</v>
      </c>
      <c r="U79" s="605"/>
    </row>
    <row r="80" spans="1:22" x14ac:dyDescent="0.25">
      <c r="A80" s="417" t="s">
        <v>454</v>
      </c>
      <c r="B80" s="414"/>
      <c r="C80" s="414"/>
      <c r="D80" s="414"/>
      <c r="E80" s="414"/>
      <c r="F80" s="414"/>
      <c r="G80" s="414"/>
      <c r="H80" s="414"/>
      <c r="I80" s="414"/>
      <c r="N80" s="416" t="s">
        <v>462</v>
      </c>
      <c r="O80" s="415"/>
      <c r="P80" s="415"/>
      <c r="Q80" s="415"/>
      <c r="R80" s="415"/>
      <c r="S80" s="415"/>
      <c r="T80" s="415"/>
      <c r="U80" s="415"/>
      <c r="V80" s="414"/>
    </row>
    <row r="81" spans="1:21" x14ac:dyDescent="0.25">
      <c r="A81" s="584" t="s">
        <v>413</v>
      </c>
      <c r="B81" s="578"/>
      <c r="C81" s="112">
        <f>E30</f>
        <v>69.010000000000005</v>
      </c>
      <c r="D81" s="557" t="s">
        <v>418</v>
      </c>
      <c r="E81" s="557"/>
      <c r="F81" s="557"/>
      <c r="G81" s="557"/>
      <c r="H81" s="300">
        <f>'1461'!H81</f>
        <v>187328.76</v>
      </c>
      <c r="I81" s="113"/>
      <c r="N81" s="600" t="s">
        <v>419</v>
      </c>
      <c r="O81" s="601"/>
      <c r="P81" s="41">
        <f>P30</f>
        <v>0</v>
      </c>
      <c r="Q81" s="636" t="s">
        <v>420</v>
      </c>
      <c r="R81" s="637"/>
      <c r="S81" s="637"/>
      <c r="T81" s="604">
        <f>H81</f>
        <v>187328.76</v>
      </c>
      <c r="U81" s="604"/>
    </row>
    <row r="82" spans="1:21" x14ac:dyDescent="0.25">
      <c r="B82" s="69"/>
      <c r="G82" s="42" t="s">
        <v>12</v>
      </c>
      <c r="H82" s="114">
        <f>ROUND(C81/H81,6)</f>
        <v>3.68E-4</v>
      </c>
      <c r="I82" s="115"/>
      <c r="N82" s="601"/>
      <c r="O82" s="601"/>
      <c r="P82" s="601"/>
      <c r="Q82" s="601"/>
      <c r="R82" s="601"/>
      <c r="S82" s="601"/>
      <c r="T82" s="605">
        <f>ROUND(P81/T81,6)</f>
        <v>0</v>
      </c>
      <c r="U82" s="605"/>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455</v>
      </c>
      <c r="D85" s="69"/>
      <c r="E85" s="43" t="s">
        <v>299</v>
      </c>
      <c r="F85" s="302">
        <f>'1461'!F85</f>
        <v>46163704</v>
      </c>
      <c r="G85" s="37" t="s">
        <v>6</v>
      </c>
      <c r="H85" s="422">
        <f>H79</f>
        <v>3.2899999999999997E-4</v>
      </c>
      <c r="I85" s="101">
        <f>ROUND(F85*H85,2)</f>
        <v>15187.86</v>
      </c>
      <c r="N85" s="453" t="s">
        <v>455</v>
      </c>
      <c r="O85" s="51"/>
      <c r="P85" s="51"/>
      <c r="Q85" s="44"/>
      <c r="R85" s="419">
        <f>F85</f>
        <v>46163704</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87" t="s">
        <v>71</v>
      </c>
      <c r="B87" s="578"/>
      <c r="C87" s="578"/>
      <c r="D87" s="69"/>
      <c r="E87" s="43"/>
      <c r="F87" s="117"/>
      <c r="G87" s="37"/>
      <c r="H87" s="422"/>
      <c r="I87" s="101"/>
      <c r="N87" s="600" t="s">
        <v>463</v>
      </c>
      <c r="O87" s="601"/>
      <c r="P87" s="601"/>
      <c r="Q87" s="51"/>
      <c r="R87" s="420"/>
      <c r="S87" s="51"/>
      <c r="T87" s="38"/>
      <c r="U87" s="478"/>
    </row>
    <row r="88" spans="1:21" x14ac:dyDescent="0.25">
      <c r="A88" s="587" t="s">
        <v>99</v>
      </c>
      <c r="B88" s="578"/>
      <c r="C88" s="578"/>
      <c r="D88" s="69"/>
      <c r="E88" s="43" t="s">
        <v>3</v>
      </c>
      <c r="F88" s="302">
        <f>'1461'!F88</f>
        <v>0</v>
      </c>
      <c r="G88" s="37" t="s">
        <v>6</v>
      </c>
      <c r="H88" s="422">
        <f>H70</f>
        <v>3.28E-4</v>
      </c>
      <c r="I88" s="101">
        <f>ROUND(F88*H88,2)</f>
        <v>0</v>
      </c>
      <c r="N88" s="638" t="s">
        <v>99</v>
      </c>
      <c r="O88" s="601"/>
      <c r="P88" s="601"/>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456</v>
      </c>
      <c r="D90" s="69"/>
      <c r="E90" s="43" t="s">
        <v>421</v>
      </c>
      <c r="F90" s="302">
        <f>'1461'!F90</f>
        <v>19042026</v>
      </c>
      <c r="G90" s="37" t="s">
        <v>6</v>
      </c>
      <c r="H90" s="422">
        <f>H82</f>
        <v>3.68E-4</v>
      </c>
      <c r="I90" s="101">
        <f>ROUND(F90*H90,2)</f>
        <v>7007.47</v>
      </c>
      <c r="N90" s="453" t="s">
        <v>456</v>
      </c>
      <c r="O90" s="51"/>
      <c r="P90" s="51"/>
      <c r="Q90" s="44"/>
      <c r="R90" s="419">
        <f>F90</f>
        <v>19042026</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457</v>
      </c>
      <c r="D92" s="69"/>
      <c r="E92" s="43" t="s">
        <v>3</v>
      </c>
      <c r="F92" s="302">
        <f>'1461'!F92</f>
        <v>11441151</v>
      </c>
      <c r="G92" s="37" t="s">
        <v>6</v>
      </c>
      <c r="H92" s="422">
        <f>H76</f>
        <v>3.68E-4</v>
      </c>
      <c r="I92" s="101">
        <f t="shared" ref="I92:I96" si="14">ROUND(F92*H92,2)</f>
        <v>4210.34</v>
      </c>
      <c r="N92" s="453" t="s">
        <v>457</v>
      </c>
      <c r="O92" s="51"/>
      <c r="P92" s="51"/>
      <c r="Q92" s="44"/>
      <c r="R92" s="419">
        <f t="shared" ref="R92:R96" si="15">F92</f>
        <v>11441151</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84" t="s">
        <v>422</v>
      </c>
      <c r="B94" s="578"/>
      <c r="C94" s="578"/>
      <c r="D94" s="69"/>
      <c r="E94" s="43" t="s">
        <v>4</v>
      </c>
      <c r="F94" s="302">
        <f>'1461'!F94</f>
        <v>247265670</v>
      </c>
      <c r="G94" s="37" t="s">
        <v>6</v>
      </c>
      <c r="H94" s="422">
        <f>H73</f>
        <v>2.9500000000000001E-4</v>
      </c>
      <c r="I94" s="101">
        <f t="shared" si="14"/>
        <v>72943.37</v>
      </c>
      <c r="N94" s="601" t="s">
        <v>422</v>
      </c>
      <c r="O94" s="601"/>
      <c r="P94" s="601"/>
      <c r="Q94" s="44"/>
      <c r="R94" s="419">
        <f t="shared" si="15"/>
        <v>247265670</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4" t="s">
        <v>423</v>
      </c>
      <c r="B96" s="578"/>
      <c r="C96" s="578"/>
      <c r="D96" s="69"/>
      <c r="E96" s="43" t="s">
        <v>4</v>
      </c>
      <c r="F96" s="302">
        <f>'1461'!F96</f>
        <v>0</v>
      </c>
      <c r="G96" s="37" t="s">
        <v>6</v>
      </c>
      <c r="H96" s="422">
        <f>H73</f>
        <v>2.9500000000000001E-4</v>
      </c>
      <c r="I96" s="101">
        <f t="shared" si="14"/>
        <v>0</v>
      </c>
      <c r="N96" s="600" t="s">
        <v>423</v>
      </c>
      <c r="O96" s="601"/>
      <c r="P96" s="601"/>
      <c r="Q96" s="44"/>
      <c r="R96" s="419">
        <f t="shared" si="15"/>
        <v>0</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530" t="s">
        <v>497</v>
      </c>
      <c r="B98" s="529"/>
      <c r="C98" s="529"/>
      <c r="D98" s="529"/>
      <c r="E98" s="527" t="s">
        <v>3</v>
      </c>
      <c r="F98" s="290">
        <v>0</v>
      </c>
      <c r="G98" s="528" t="s">
        <v>6</v>
      </c>
      <c r="H98" s="422">
        <f>H70</f>
        <v>3.28E-4</v>
      </c>
      <c r="I98" s="101">
        <f t="shared" ref="I98" si="16">ROUND(F98*H98,2)</f>
        <v>0</v>
      </c>
      <c r="N98" s="533" t="s">
        <v>497</v>
      </c>
      <c r="O98" s="533"/>
      <c r="P98" s="533"/>
      <c r="Q98" s="44"/>
      <c r="R98" s="536">
        <f>F98</f>
        <v>0</v>
      </c>
      <c r="S98" s="534" t="s">
        <v>6</v>
      </c>
      <c r="T98" s="421">
        <f>T70</f>
        <v>0</v>
      </c>
      <c r="U98" s="473">
        <f>ROUND(R98*T98,2)</f>
        <v>0</v>
      </c>
    </row>
    <row r="99" spans="1:21" x14ac:dyDescent="0.25">
      <c r="A99" s="530"/>
      <c r="B99" s="529"/>
      <c r="C99" s="529"/>
      <c r="D99" s="529"/>
      <c r="E99" s="527"/>
      <c r="F99" s="276"/>
      <c r="G99" s="528"/>
      <c r="H99" s="422"/>
      <c r="I99" s="101"/>
      <c r="N99" s="533"/>
      <c r="O99" s="533"/>
      <c r="P99" s="533"/>
      <c r="Q99" s="44"/>
      <c r="R99" s="535"/>
      <c r="S99" s="534"/>
      <c r="T99" s="421"/>
      <c r="U99" s="477"/>
    </row>
    <row r="100" spans="1:21" x14ac:dyDescent="0.25">
      <c r="A100" s="530"/>
      <c r="B100" s="529"/>
      <c r="C100" s="529"/>
      <c r="D100" s="529"/>
      <c r="E100" s="527"/>
      <c r="F100" s="276"/>
      <c r="G100" s="528"/>
      <c r="H100" s="422"/>
      <c r="I100" s="101"/>
      <c r="N100" s="533"/>
      <c r="O100" s="533"/>
      <c r="P100" s="533"/>
      <c r="Q100" s="44"/>
      <c r="R100" s="420"/>
      <c r="S100" s="534"/>
      <c r="T100" s="421"/>
      <c r="U100" s="103"/>
    </row>
    <row r="101" spans="1:21" x14ac:dyDescent="0.25">
      <c r="A101" s="399" t="s">
        <v>498</v>
      </c>
      <c r="N101" s="407" t="s">
        <v>498</v>
      </c>
      <c r="O101" s="51"/>
      <c r="P101" s="51"/>
      <c r="Q101" s="51"/>
      <c r="R101" s="51"/>
      <c r="S101" s="51"/>
      <c r="T101" s="51"/>
      <c r="U101" s="51"/>
    </row>
    <row r="102" spans="1:21" x14ac:dyDescent="0.25">
      <c r="B102" s="69"/>
      <c r="C102" s="563" t="s">
        <v>60</v>
      </c>
      <c r="D102" s="563"/>
      <c r="E102" s="69"/>
      <c r="F102" s="39" t="s">
        <v>28</v>
      </c>
      <c r="G102" s="69"/>
      <c r="H102" s="69"/>
      <c r="I102" s="69"/>
      <c r="N102" s="45"/>
      <c r="O102" s="45"/>
      <c r="P102" s="45"/>
      <c r="Q102" s="45"/>
      <c r="R102" s="45"/>
      <c r="S102" s="45"/>
      <c r="T102" s="45"/>
      <c r="U102" s="45"/>
    </row>
    <row r="103" spans="1:21" x14ac:dyDescent="0.25">
      <c r="A103" s="3"/>
      <c r="B103" s="118"/>
      <c r="C103" s="564" t="s">
        <v>101</v>
      </c>
      <c r="D103" s="564"/>
      <c r="E103" s="423" t="s">
        <v>426</v>
      </c>
      <c r="F103" s="120" t="s">
        <v>106</v>
      </c>
      <c r="G103" s="121"/>
      <c r="H103" s="121"/>
      <c r="I103" s="121"/>
      <c r="N103" s="631" t="s">
        <v>35</v>
      </c>
      <c r="O103" s="631"/>
      <c r="P103" s="672" t="s">
        <v>428</v>
      </c>
      <c r="Q103" s="633"/>
      <c r="R103" s="604" t="s">
        <v>31</v>
      </c>
      <c r="S103" s="604"/>
      <c r="T103" s="604"/>
      <c r="U103" s="604"/>
    </row>
    <row r="104" spans="1:21" x14ac:dyDescent="0.25">
      <c r="A104" s="26"/>
      <c r="B104" s="52" t="s">
        <v>105</v>
      </c>
      <c r="C104" s="596">
        <f>H14+H15+H20+H23+H26</f>
        <v>0</v>
      </c>
      <c r="D104" s="596"/>
      <c r="E104" s="46">
        <f>H8</f>
        <v>1.0407999999999999</v>
      </c>
      <c r="F104" s="303">
        <f>'1461'!F104</f>
        <v>950.92</v>
      </c>
      <c r="G104" s="39" t="s">
        <v>12</v>
      </c>
      <c r="H104" s="101">
        <f>ROUND(C104*E104*F104,2)</f>
        <v>0</v>
      </c>
      <c r="I104" s="104"/>
      <c r="N104" s="28" t="s">
        <v>17</v>
      </c>
      <c r="O104" s="47">
        <f>T14+T15+T20+T23+T26</f>
        <v>0</v>
      </c>
      <c r="P104" s="611">
        <f>T8</f>
        <v>1.0407999999999999</v>
      </c>
      <c r="Q104" s="611"/>
      <c r="R104" s="48">
        <f>F104</f>
        <v>950.92</v>
      </c>
      <c r="S104" s="40" t="s">
        <v>12</v>
      </c>
      <c r="T104" s="479">
        <f>ROUND(O104*P104*R104,2)</f>
        <v>0</v>
      </c>
      <c r="U104" s="102"/>
    </row>
    <row r="105" spans="1:21" x14ac:dyDescent="0.25">
      <c r="A105" s="49"/>
      <c r="B105" s="49" t="s">
        <v>104</v>
      </c>
      <c r="C105" s="596">
        <f>H16+H17+H21+H24+H27</f>
        <v>0</v>
      </c>
      <c r="D105" s="596"/>
      <c r="E105" s="46">
        <f>H8</f>
        <v>1.0407999999999999</v>
      </c>
      <c r="F105" s="303">
        <f>'1461'!F105</f>
        <v>907.92</v>
      </c>
      <c r="G105" s="39" t="s">
        <v>12</v>
      </c>
      <c r="H105" s="101">
        <f>ROUND(C105*E105*F105,2)</f>
        <v>0</v>
      </c>
      <c r="N105" s="50" t="s">
        <v>13</v>
      </c>
      <c r="O105" s="47">
        <f>T16+T17+T21+T24+T27</f>
        <v>0</v>
      </c>
      <c r="P105" s="611">
        <f>T8</f>
        <v>1.0407999999999999</v>
      </c>
      <c r="Q105" s="611"/>
      <c r="R105" s="48">
        <f>F105</f>
        <v>907.92</v>
      </c>
      <c r="S105" s="40" t="s">
        <v>12</v>
      </c>
      <c r="T105" s="479">
        <f>ROUND(O105*P105*R105,2)</f>
        <v>0</v>
      </c>
      <c r="U105" s="51"/>
    </row>
    <row r="106" spans="1:21" ht="16.5" thickBot="1" x14ac:dyDescent="0.3">
      <c r="A106" s="52"/>
      <c r="B106" s="52" t="s">
        <v>103</v>
      </c>
      <c r="C106" s="596">
        <f>H18+H19+H22+H25+H28+H29</f>
        <v>69.393200000000007</v>
      </c>
      <c r="D106" s="596"/>
      <c r="E106" s="46">
        <f>H8</f>
        <v>1.0407999999999999</v>
      </c>
      <c r="F106" s="303">
        <f>'1461'!F106</f>
        <v>910.12</v>
      </c>
      <c r="G106" s="39" t="s">
        <v>12</v>
      </c>
      <c r="H106" s="94">
        <f>ROUND(C106*E106*F106,2)</f>
        <v>65732.91</v>
      </c>
      <c r="N106" s="53" t="s">
        <v>14</v>
      </c>
      <c r="O106" s="54">
        <f>T18+T19+T22+T25+T28+T29</f>
        <v>0</v>
      </c>
      <c r="P106" s="611">
        <f>T8</f>
        <v>1.0407999999999999</v>
      </c>
      <c r="Q106" s="611"/>
      <c r="R106" s="48">
        <f>F106</f>
        <v>910.12</v>
      </c>
      <c r="S106" s="40" t="s">
        <v>12</v>
      </c>
      <c r="T106" s="479">
        <f>ROUND(O106*P106*R106,2)</f>
        <v>0</v>
      </c>
      <c r="U106" s="51"/>
    </row>
    <row r="107" spans="1:21" ht="16.5" thickBot="1" x14ac:dyDescent="0.3">
      <c r="A107" s="55"/>
      <c r="B107" s="122" t="s">
        <v>102</v>
      </c>
      <c r="C107" s="586">
        <f>SUM(C104:C106)</f>
        <v>69.393200000000007</v>
      </c>
      <c r="D107" s="586"/>
      <c r="E107" s="123"/>
      <c r="F107" s="123"/>
      <c r="G107" s="123"/>
      <c r="H107" s="124" t="s">
        <v>100</v>
      </c>
      <c r="I107" s="101">
        <f>IF(A1=75,0,H106+H105+H104)</f>
        <v>65732.91</v>
      </c>
      <c r="N107" s="56" t="s">
        <v>89</v>
      </c>
      <c r="O107" s="57">
        <f>SUM(O104:O106)</f>
        <v>0</v>
      </c>
      <c r="P107" s="612" t="s">
        <v>16</v>
      </c>
      <c r="Q107" s="613"/>
      <c r="R107" s="613"/>
      <c r="S107" s="613"/>
      <c r="T107" s="613"/>
      <c r="U107" s="473">
        <f>IF(N1=75,0,T106+T105+T104)</f>
        <v>0</v>
      </c>
    </row>
    <row r="108" spans="1:21" ht="16.5" thickTop="1" x14ac:dyDescent="0.25">
      <c r="A108" s="555" t="s">
        <v>65</v>
      </c>
      <c r="B108" s="555"/>
      <c r="C108" s="555"/>
      <c r="D108" s="555"/>
      <c r="E108" s="555"/>
      <c r="F108" s="555"/>
      <c r="G108" s="555"/>
      <c r="H108" s="555"/>
      <c r="I108" s="555"/>
      <c r="N108" s="614" t="s">
        <v>65</v>
      </c>
      <c r="O108" s="614"/>
      <c r="P108" s="614"/>
      <c r="Q108" s="614"/>
      <c r="R108" s="614"/>
      <c r="S108" s="614"/>
      <c r="T108" s="614"/>
      <c r="U108" s="614"/>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0" t="s">
        <v>499</v>
      </c>
      <c r="C110" s="43"/>
      <c r="D110" s="69"/>
      <c r="E110" s="43" t="s">
        <v>32</v>
      </c>
      <c r="F110" s="556"/>
      <c r="G110" s="556"/>
      <c r="H110" s="556"/>
      <c r="I110" s="556"/>
      <c r="N110" s="600" t="s">
        <v>499</v>
      </c>
      <c r="O110" s="601"/>
      <c r="P110" s="601"/>
      <c r="Q110" s="615"/>
      <c r="R110" s="615"/>
      <c r="S110" s="615"/>
      <c r="T110" s="615"/>
      <c r="U110" s="103"/>
    </row>
    <row r="111" spans="1:21" x14ac:dyDescent="0.25">
      <c r="B111" s="69"/>
      <c r="C111" s="88" t="s">
        <v>494</v>
      </c>
      <c r="D111" s="333" t="s">
        <v>495</v>
      </c>
      <c r="E111" s="89" t="s">
        <v>107</v>
      </c>
      <c r="F111" s="43"/>
      <c r="G111" s="43"/>
      <c r="H111" s="43"/>
      <c r="I111" s="43"/>
      <c r="N111" s="45"/>
      <c r="O111" s="45"/>
      <c r="P111" s="45"/>
      <c r="Q111" s="125"/>
      <c r="R111" s="125"/>
      <c r="S111" s="125"/>
      <c r="T111" s="125"/>
      <c r="U111" s="103"/>
    </row>
    <row r="112" spans="1:21" x14ac:dyDescent="0.25">
      <c r="B112" s="69"/>
      <c r="C112" s="326"/>
      <c r="D112" s="324"/>
      <c r="E112" s="324" t="s">
        <v>2</v>
      </c>
      <c r="F112" s="43"/>
      <c r="G112" s="43"/>
      <c r="H112" s="43"/>
      <c r="I112" s="43"/>
      <c r="N112" s="45"/>
      <c r="O112" s="45"/>
      <c r="P112" s="45"/>
      <c r="Q112" s="125"/>
      <c r="R112" s="125"/>
      <c r="S112" s="125"/>
      <c r="T112" s="125"/>
      <c r="U112" s="103"/>
    </row>
    <row r="113" spans="1:21" x14ac:dyDescent="0.25">
      <c r="A113" s="557" t="s">
        <v>381</v>
      </c>
      <c r="B113" s="558"/>
      <c r="C113" s="143">
        <v>0</v>
      </c>
      <c r="D113" s="143">
        <v>0</v>
      </c>
      <c r="E113" s="116">
        <f>(C113+D113)/2</f>
        <v>0</v>
      </c>
      <c r="F113" s="126" t="s">
        <v>30</v>
      </c>
      <c r="G113" s="304">
        <f>'1461'!G113</f>
        <v>576</v>
      </c>
      <c r="I113" s="101">
        <f>ROUND(G113*E113,2)</f>
        <v>0</v>
      </c>
      <c r="N113" s="630" t="s">
        <v>52</v>
      </c>
      <c r="O113" s="630"/>
      <c r="P113" s="610">
        <f>IF(H133=1,E113,0)</f>
        <v>0</v>
      </c>
      <c r="Q113" s="610"/>
      <c r="R113" s="610"/>
      <c r="S113" s="83" t="s">
        <v>30</v>
      </c>
      <c r="T113" s="58">
        <f>G113</f>
        <v>576</v>
      </c>
      <c r="U113" s="473">
        <f>ROUND(T113*P113,2)</f>
        <v>0</v>
      </c>
    </row>
    <row r="114" spans="1:21" x14ac:dyDescent="0.25">
      <c r="A114" s="557" t="s">
        <v>382</v>
      </c>
      <c r="B114" s="558"/>
      <c r="C114" s="143">
        <v>0</v>
      </c>
      <c r="D114" s="143">
        <v>0</v>
      </c>
      <c r="E114" s="116">
        <f>(C114+D114)/2</f>
        <v>0</v>
      </c>
      <c r="F114" s="126" t="s">
        <v>30</v>
      </c>
      <c r="G114" s="304">
        <f>'1461'!G114</f>
        <v>1823</v>
      </c>
      <c r="I114" s="101">
        <f>ROUND(G114*E114,2)</f>
        <v>0</v>
      </c>
      <c r="N114" s="630" t="s">
        <v>64</v>
      </c>
      <c r="O114" s="630"/>
      <c r="P114" s="608"/>
      <c r="Q114" s="608"/>
      <c r="R114" s="608"/>
      <c r="S114" s="83" t="s">
        <v>30</v>
      </c>
      <c r="T114" s="58">
        <f>G114</f>
        <v>1823</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4" t="s">
        <v>430</v>
      </c>
      <c r="B117" s="578"/>
      <c r="C117" s="578"/>
      <c r="D117" s="69"/>
      <c r="E117" s="39" t="s">
        <v>300</v>
      </c>
      <c r="F117" s="563"/>
      <c r="G117" s="563"/>
      <c r="H117" s="563"/>
      <c r="I117" s="563"/>
      <c r="N117" s="600" t="s">
        <v>431</v>
      </c>
      <c r="O117" s="601"/>
      <c r="P117" s="601"/>
      <c r="Q117" s="601"/>
      <c r="R117" s="601"/>
      <c r="S117" s="601"/>
      <c r="T117" s="601"/>
      <c r="U117" s="601"/>
    </row>
    <row r="118" spans="1:21" hidden="1" x14ac:dyDescent="0.25">
      <c r="B118" s="69"/>
      <c r="C118" s="564" t="s">
        <v>66</v>
      </c>
      <c r="D118" s="564"/>
      <c r="E118" s="564"/>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5" t="s">
        <v>109</v>
      </c>
      <c r="G119" s="563"/>
      <c r="H119" s="37" t="s">
        <v>29</v>
      </c>
      <c r="I119" s="37"/>
      <c r="N119" s="45"/>
      <c r="O119" s="45"/>
      <c r="P119" s="45"/>
      <c r="Q119" s="45"/>
      <c r="R119" s="45"/>
      <c r="S119" s="45"/>
      <c r="T119" s="45"/>
      <c r="U119" s="45"/>
    </row>
    <row r="120" spans="1:21" hidden="1" x14ac:dyDescent="0.25">
      <c r="A120" s="564" t="s">
        <v>69</v>
      </c>
      <c r="B120" s="564"/>
      <c r="C120" s="90" t="s">
        <v>2</v>
      </c>
      <c r="D120" s="90" t="s">
        <v>2</v>
      </c>
      <c r="E120" s="59" t="s">
        <v>2</v>
      </c>
      <c r="F120" s="564" t="s">
        <v>28</v>
      </c>
      <c r="G120" s="564"/>
      <c r="H120" s="59" t="s">
        <v>28</v>
      </c>
      <c r="I120" s="59" t="s">
        <v>8</v>
      </c>
      <c r="N120" s="609" t="s">
        <v>53</v>
      </c>
      <c r="O120" s="609"/>
      <c r="P120" s="610" t="s">
        <v>66</v>
      </c>
      <c r="Q120" s="610"/>
      <c r="R120" s="609" t="s">
        <v>54</v>
      </c>
      <c r="S120" s="609"/>
      <c r="T120" s="60" t="s">
        <v>55</v>
      </c>
      <c r="U120" s="60" t="s">
        <v>8</v>
      </c>
    </row>
    <row r="121" spans="1:21" hidden="1" x14ac:dyDescent="0.25">
      <c r="A121" s="561" t="s">
        <v>56</v>
      </c>
      <c r="B121" s="561"/>
      <c r="C121" s="141">
        <v>0</v>
      </c>
      <c r="D121" s="141">
        <v>0</v>
      </c>
      <c r="E121" s="187">
        <f>IF(D30=0,C121*2,C121+D121)</f>
        <v>0</v>
      </c>
      <c r="F121" s="562">
        <v>0</v>
      </c>
      <c r="G121" s="562"/>
      <c r="H121" s="224">
        <f>IF(C121=0,0,125)</f>
        <v>0</v>
      </c>
      <c r="I121" s="101">
        <f>ROUND((H121+F121)*E121,2)</f>
        <v>0</v>
      </c>
      <c r="N121" s="601" t="s">
        <v>56</v>
      </c>
      <c r="O121" s="601"/>
      <c r="P121" s="608">
        <f>IF(H$133=1,C121,0)</f>
        <v>0</v>
      </c>
      <c r="Q121" s="608"/>
      <c r="R121" s="628">
        <f>F121</f>
        <v>0</v>
      </c>
      <c r="S121" s="628"/>
      <c r="T121" s="62">
        <f>H121</f>
        <v>0</v>
      </c>
      <c r="U121" s="96">
        <f>ROUND((T121+R121)*P121,0)</f>
        <v>0</v>
      </c>
    </row>
    <row r="122" spans="1:21" hidden="1" x14ac:dyDescent="0.25">
      <c r="A122" s="581" t="s">
        <v>57</v>
      </c>
      <c r="B122" s="581"/>
      <c r="C122" s="143">
        <v>0</v>
      </c>
      <c r="D122" s="143">
        <v>0</v>
      </c>
      <c r="E122" s="116">
        <f>IF(D31=0,C122*2,C122+D122)</f>
        <v>0</v>
      </c>
      <c r="F122" s="598">
        <f>ROUND(F121/2,2)</f>
        <v>0</v>
      </c>
      <c r="G122" s="598"/>
      <c r="H122" s="224">
        <f>IF(C122=0,0,62.5)</f>
        <v>0</v>
      </c>
      <c r="I122" s="101">
        <f>ROUND((H122+F122)*E122,2)</f>
        <v>0</v>
      </c>
      <c r="N122" s="601" t="s">
        <v>57</v>
      </c>
      <c r="O122" s="601"/>
      <c r="P122" s="608">
        <f>IF(H$133=1,C122,0)</f>
        <v>0</v>
      </c>
      <c r="Q122" s="608"/>
      <c r="R122" s="629">
        <f>ROUND(R121/2,2)</f>
        <v>0</v>
      </c>
      <c r="S122" s="629"/>
      <c r="T122" s="62">
        <f>H122</f>
        <v>0</v>
      </c>
      <c r="U122" s="96">
        <f>ROUND((T122+R122)*P122,0)</f>
        <v>0</v>
      </c>
    </row>
    <row r="123" spans="1:21" ht="16.5" hidden="1" thickBot="1" x14ac:dyDescent="0.3">
      <c r="A123" s="581" t="s">
        <v>58</v>
      </c>
      <c r="B123" s="581"/>
      <c r="C123" s="143">
        <v>0</v>
      </c>
      <c r="D123" s="143">
        <v>0</v>
      </c>
      <c r="E123" s="116">
        <f>IF(D32=0,C123*2,C123+D123)</f>
        <v>0</v>
      </c>
      <c r="F123" s="599"/>
      <c r="G123" s="599"/>
      <c r="H123" s="225">
        <f>IF(H121&gt;0,436,0)</f>
        <v>0</v>
      </c>
      <c r="I123" s="101">
        <f>ROUND(H123*E123,2)</f>
        <v>0</v>
      </c>
      <c r="N123" s="616" t="s">
        <v>58</v>
      </c>
      <c r="O123" s="616"/>
      <c r="P123" s="608">
        <f>IF(H$133=1,C123,0)</f>
        <v>0</v>
      </c>
      <c r="Q123" s="608"/>
      <c r="R123" s="609"/>
      <c r="S123" s="609"/>
      <c r="T123" s="64">
        <f>H123</f>
        <v>0</v>
      </c>
      <c r="U123" s="103">
        <f>ROUND(T123*P123,0)</f>
        <v>0</v>
      </c>
    </row>
    <row r="124" spans="1:21" ht="16.5" hidden="1" thickBot="1" x14ac:dyDescent="0.3">
      <c r="A124" s="563" t="s">
        <v>8</v>
      </c>
      <c r="B124" s="563"/>
      <c r="C124" s="65"/>
      <c r="D124" s="65"/>
      <c r="E124" s="65"/>
      <c r="F124" s="65"/>
      <c r="G124" s="65"/>
      <c r="H124" s="65"/>
      <c r="I124" s="97">
        <f>SUM(I121:I123)</f>
        <v>0</v>
      </c>
      <c r="N124" s="627" t="s">
        <v>8</v>
      </c>
      <c r="O124" s="627"/>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4" t="s">
        <v>432</v>
      </c>
      <c r="B126" s="578"/>
      <c r="C126" s="578"/>
      <c r="D126" s="69"/>
      <c r="E126" s="68" t="s">
        <v>34</v>
      </c>
      <c r="F126" s="597"/>
      <c r="G126" s="597"/>
      <c r="H126" s="597"/>
      <c r="I126" s="154">
        <v>0</v>
      </c>
      <c r="N126" s="600" t="s">
        <v>432</v>
      </c>
      <c r="O126" s="601"/>
      <c r="P126" s="601"/>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90" t="s">
        <v>8</v>
      </c>
      <c r="B128" s="590"/>
      <c r="C128" s="590"/>
      <c r="D128" s="590"/>
      <c r="E128" s="590"/>
      <c r="F128" s="590"/>
      <c r="G128" s="590"/>
      <c r="H128" s="590"/>
      <c r="I128" s="94">
        <f>SUM(I46,I66,I85,I88,I90,I92,I94,I96,I107,I113,I114,I124,I126)</f>
        <v>558368.78</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434</v>
      </c>
      <c r="B130" s="26"/>
      <c r="C130" s="26"/>
      <c r="D130" s="26"/>
      <c r="E130" s="26"/>
      <c r="F130" s="26"/>
      <c r="G130" s="26"/>
      <c r="H130" s="26"/>
      <c r="I130" s="101">
        <f>I128-I53</f>
        <v>535536.68000000005</v>
      </c>
      <c r="N130" s="601" t="s">
        <v>434</v>
      </c>
      <c r="O130" s="601"/>
      <c r="P130" s="601"/>
      <c r="Q130" s="601"/>
      <c r="R130" s="601"/>
      <c r="S130" s="601"/>
      <c r="T130" s="601"/>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4" t="s">
        <v>502</v>
      </c>
      <c r="B132" s="578"/>
      <c r="C132" s="578"/>
      <c r="D132" s="578"/>
      <c r="E132" s="578"/>
      <c r="F132" s="578"/>
      <c r="G132" s="578"/>
      <c r="H132" s="81" t="s">
        <v>333</v>
      </c>
      <c r="I132" s="134"/>
      <c r="N132" s="600" t="s">
        <v>502</v>
      </c>
      <c r="O132" s="601"/>
      <c r="P132" s="601"/>
      <c r="Q132" s="601"/>
      <c r="R132" s="601"/>
      <c r="S132" s="601"/>
      <c r="T132" s="601"/>
      <c r="U132" s="138"/>
    </row>
    <row r="133" spans="1:21" x14ac:dyDescent="0.25">
      <c r="A133" s="578" t="s">
        <v>70</v>
      </c>
      <c r="B133" s="578"/>
      <c r="C133" s="578"/>
      <c r="D133" s="578"/>
      <c r="E133" s="578"/>
      <c r="F133" s="578"/>
      <c r="G133" s="578"/>
      <c r="H133" s="70" t="str">
        <f>IF(E30=0,"",IF((E15+E17+SUM(E19:E25))/E30&gt;0.75,1,""))</f>
        <v/>
      </c>
      <c r="I133" s="116">
        <f>U130</f>
        <v>0</v>
      </c>
      <c r="N133" s="601" t="s">
        <v>70</v>
      </c>
      <c r="O133" s="601"/>
      <c r="P133" s="601"/>
      <c r="Q133" s="601"/>
      <c r="R133" s="601"/>
      <c r="S133" s="601"/>
      <c r="T133" s="601"/>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535536.68000000005</v>
      </c>
      <c r="I135" s="94">
        <f>ROUND(IF(E30=0,0,IF(E30&gt;250,-(((250/E30)*H135)*IF(G135="H",0.02,0.05)),IF(G135="H",-0.02*H135,-0.05*H135))),2)</f>
        <v>-26776.83</v>
      </c>
      <c r="N135" s="626"/>
      <c r="O135" s="626"/>
      <c r="P135" s="626"/>
      <c r="Q135" s="626"/>
      <c r="R135" s="626"/>
      <c r="S135" s="626"/>
      <c r="T135" s="626"/>
      <c r="U135" s="626"/>
    </row>
    <row r="136" spans="1:21" x14ac:dyDescent="0.25">
      <c r="B136" s="69"/>
      <c r="C136" s="69"/>
      <c r="D136" s="69"/>
      <c r="E136" s="69"/>
      <c r="F136" s="69"/>
      <c r="G136" s="69"/>
      <c r="H136" s="65"/>
      <c r="I136" s="101"/>
      <c r="N136" s="624" t="s">
        <v>7</v>
      </c>
      <c r="O136" s="624"/>
      <c r="P136" s="624"/>
      <c r="Q136" s="624"/>
      <c r="R136" s="624"/>
      <c r="S136" s="624"/>
      <c r="T136" s="624"/>
      <c r="U136" s="624"/>
    </row>
    <row r="137" spans="1:21" x14ac:dyDescent="0.25">
      <c r="A137" s="309" t="s">
        <v>74</v>
      </c>
      <c r="B137" s="310"/>
      <c r="C137" s="310"/>
      <c r="D137" s="310"/>
      <c r="E137" s="310"/>
      <c r="F137" s="310"/>
      <c r="G137" s="310"/>
      <c r="H137" s="311"/>
      <c r="I137" s="312">
        <f>I128+I135</f>
        <v>531591.95000000007</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Payments'!Q114</f>
        <v>0</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531591.95000000007</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44299.33</v>
      </c>
      <c r="J145" s="237"/>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372</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373</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374</v>
      </c>
      <c r="B155" s="252"/>
      <c r="C155" s="252"/>
      <c r="D155" s="252"/>
      <c r="E155" s="252"/>
      <c r="F155" s="252"/>
      <c r="G155" s="252"/>
      <c r="H155" s="252"/>
      <c r="I155" s="252"/>
      <c r="N155" s="625"/>
      <c r="O155" s="625"/>
      <c r="P155" s="625"/>
      <c r="Q155" s="625"/>
      <c r="R155" s="625"/>
      <c r="S155" s="625"/>
      <c r="T155" s="625"/>
      <c r="U155" s="625"/>
    </row>
    <row r="156" spans="1:21" s="76" customFormat="1" x14ac:dyDescent="0.2">
      <c r="A156" s="320" t="s">
        <v>375</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376</v>
      </c>
      <c r="B157" s="252"/>
      <c r="C157" s="252"/>
      <c r="D157" s="252"/>
      <c r="E157" s="252"/>
      <c r="F157" s="252"/>
      <c r="G157" s="252"/>
      <c r="H157" s="252"/>
      <c r="I157" s="252"/>
      <c r="N157" s="78"/>
      <c r="O157" s="79"/>
      <c r="P157" s="79"/>
      <c r="Q157" s="79"/>
      <c r="R157" s="79"/>
      <c r="S157" s="79"/>
      <c r="T157" s="79"/>
      <c r="U157" s="79"/>
    </row>
    <row r="158" spans="1:21" s="76" customFormat="1" x14ac:dyDescent="0.2">
      <c r="A158" s="320" t="s">
        <v>377</v>
      </c>
      <c r="B158" s="252"/>
      <c r="C158" s="252"/>
      <c r="D158" s="252"/>
      <c r="E158" s="252"/>
      <c r="F158" s="252"/>
      <c r="G158" s="252"/>
      <c r="H158" s="252"/>
      <c r="I158" s="252"/>
      <c r="N158" s="78"/>
    </row>
    <row r="159" spans="1:21" s="76" customFormat="1" x14ac:dyDescent="0.2">
      <c r="A159" s="320" t="s">
        <v>379</v>
      </c>
      <c r="B159" s="252"/>
      <c r="C159" s="252"/>
      <c r="D159" s="252"/>
      <c r="E159" s="252"/>
      <c r="F159" s="252"/>
      <c r="G159" s="252"/>
      <c r="H159" s="252"/>
      <c r="I159" s="252"/>
      <c r="N159" s="78"/>
    </row>
    <row r="160" spans="1:21" s="76" customFormat="1" x14ac:dyDescent="0.2">
      <c r="A160" s="385" t="s">
        <v>378</v>
      </c>
      <c r="B160" s="252"/>
      <c r="C160" s="252"/>
      <c r="D160" s="252"/>
      <c r="E160" s="252"/>
      <c r="F160" s="252"/>
      <c r="G160" s="252"/>
      <c r="H160" s="252"/>
      <c r="I160" s="252"/>
      <c r="N160" s="78"/>
    </row>
    <row r="161" spans="1:14" s="76" customFormat="1" x14ac:dyDescent="0.2">
      <c r="A161" s="320" t="s">
        <v>380</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383</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385</v>
      </c>
      <c r="B165" s="293"/>
      <c r="C165" s="293"/>
      <c r="D165" s="293"/>
      <c r="E165" s="293"/>
      <c r="F165" s="293"/>
      <c r="G165" s="293"/>
      <c r="H165" s="293"/>
      <c r="I165" s="293"/>
      <c r="N165" s="78"/>
    </row>
    <row r="166" spans="1:14" s="76" customFormat="1" ht="15.75" customHeight="1" x14ac:dyDescent="0.2">
      <c r="A166" s="351" t="s">
        <v>384</v>
      </c>
      <c r="B166" s="293"/>
      <c r="C166" s="293"/>
      <c r="D166" s="293"/>
      <c r="E166" s="293"/>
      <c r="F166" s="293"/>
      <c r="G166" s="293"/>
      <c r="H166" s="293"/>
      <c r="I166" s="293"/>
      <c r="N166" s="78"/>
    </row>
    <row r="167" spans="1:14" s="76" customFormat="1" ht="15.75" customHeight="1" x14ac:dyDescent="0.2">
      <c r="A167" s="320" t="s">
        <v>386</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388</v>
      </c>
      <c r="B169" s="343"/>
      <c r="C169" s="343"/>
      <c r="D169" s="343"/>
      <c r="E169" s="343"/>
      <c r="F169" s="343"/>
      <c r="G169" s="343"/>
      <c r="H169" s="343"/>
      <c r="I169" s="343"/>
      <c r="N169" s="78"/>
    </row>
    <row r="170" spans="1:14" s="76" customFormat="1" ht="15.75" customHeight="1" x14ac:dyDescent="0.2">
      <c r="A170" s="351" t="s">
        <v>387</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389</v>
      </c>
      <c r="B175" s="293"/>
      <c r="C175" s="293"/>
      <c r="D175" s="293"/>
      <c r="E175" s="293"/>
      <c r="F175" s="293"/>
      <c r="G175" s="293"/>
      <c r="H175" s="293"/>
      <c r="I175" s="293"/>
      <c r="J175" s="3"/>
      <c r="K175" s="3"/>
      <c r="L175" s="3"/>
      <c r="M175" s="3"/>
      <c r="N175" s="78"/>
    </row>
    <row r="176" spans="1:14" s="76" customFormat="1" ht="15.75" customHeight="1" x14ac:dyDescent="0.2">
      <c r="A176" s="361" t="s">
        <v>390</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R123:S123"/>
    <mergeCell ref="A124:B124"/>
    <mergeCell ref="N124:O124"/>
    <mergeCell ref="N155:U155"/>
    <mergeCell ref="N135:U135"/>
    <mergeCell ref="N126:P126"/>
    <mergeCell ref="A126:C126"/>
    <mergeCell ref="F126:H126"/>
    <mergeCell ref="N130:T130"/>
    <mergeCell ref="A128:H128"/>
    <mergeCell ref="A132:G132"/>
    <mergeCell ref="N136:U136"/>
    <mergeCell ref="A133:G133"/>
    <mergeCell ref="N132:T132"/>
    <mergeCell ref="N133:T133"/>
    <mergeCell ref="R122:S122"/>
    <mergeCell ref="A117:C117"/>
    <mergeCell ref="F117:I117"/>
    <mergeCell ref="N117:U117"/>
    <mergeCell ref="C118:E118"/>
    <mergeCell ref="F119:G119"/>
    <mergeCell ref="A120:B120"/>
    <mergeCell ref="F120:G120"/>
    <mergeCell ref="N120:O120"/>
    <mergeCell ref="P120:Q120"/>
    <mergeCell ref="A121:B121"/>
    <mergeCell ref="F121:G121"/>
    <mergeCell ref="N121:O121"/>
    <mergeCell ref="P121:Q121"/>
    <mergeCell ref="R121:S121"/>
    <mergeCell ref="A122:B122"/>
    <mergeCell ref="F122:G122"/>
    <mergeCell ref="N122:O122"/>
    <mergeCell ref="P122:Q122"/>
    <mergeCell ref="F110:I110"/>
    <mergeCell ref="N110:P110"/>
    <mergeCell ref="Q110:T110"/>
    <mergeCell ref="R120:S12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47"/>
  <dimension ref="A1:K42"/>
  <sheetViews>
    <sheetView workbookViewId="0"/>
  </sheetViews>
  <sheetFormatPr defaultColWidth="9.140625" defaultRowHeight="15.75" x14ac:dyDescent="0.25"/>
  <cols>
    <col min="1" max="1" width="9.140625" style="135"/>
    <col min="2" max="2" width="47.85546875" style="135" bestFit="1" customWidth="1"/>
    <col min="3" max="3" width="8.42578125" style="135" bestFit="1" customWidth="1"/>
    <col min="4" max="4" width="5.5703125" style="135" customWidth="1"/>
    <col min="5" max="5" width="17.42578125" style="135" customWidth="1"/>
    <col min="6" max="6" width="10.140625" style="135" bestFit="1" customWidth="1"/>
    <col min="7" max="16384" width="9.140625" style="135"/>
  </cols>
  <sheetData>
    <row r="1" spans="1:11" x14ac:dyDescent="0.25">
      <c r="A1" s="158"/>
      <c r="B1" s="159"/>
      <c r="C1" s="180"/>
      <c r="D1" s="180"/>
      <c r="E1" s="160">
        <v>50</v>
      </c>
      <c r="F1" s="158"/>
      <c r="G1" s="158"/>
      <c r="H1" s="158"/>
    </row>
    <row r="2" spans="1:11" ht="21" x14ac:dyDescent="0.35">
      <c r="A2" s="161"/>
      <c r="B2" s="171" t="s">
        <v>274</v>
      </c>
      <c r="C2" s="171"/>
      <c r="D2" s="171"/>
      <c r="E2" s="161"/>
      <c r="F2" s="161"/>
      <c r="G2" s="161"/>
      <c r="H2" s="161"/>
    </row>
    <row r="3" spans="1:11" x14ac:dyDescent="0.25">
      <c r="B3" s="172" t="s">
        <v>259</v>
      </c>
      <c r="C3" s="172"/>
      <c r="D3" s="172"/>
      <c r="E3" s="283" t="str">
        <f>'1461'!F4</f>
        <v>July 2024</v>
      </c>
      <c r="F3" s="157"/>
      <c r="G3" s="157"/>
      <c r="H3" s="157"/>
    </row>
    <row r="4" spans="1:11" x14ac:dyDescent="0.25">
      <c r="A4" s="158"/>
      <c r="B4" s="158"/>
      <c r="C4" s="158"/>
      <c r="D4" s="158"/>
      <c r="E4" s="158"/>
      <c r="F4" s="158"/>
      <c r="G4" s="158"/>
      <c r="H4" s="158"/>
    </row>
    <row r="5" spans="1:11" x14ac:dyDescent="0.25">
      <c r="A5" s="158"/>
      <c r="B5" s="162" t="s">
        <v>136</v>
      </c>
      <c r="C5" s="162"/>
      <c r="D5" s="162"/>
      <c r="E5" s="163" t="s">
        <v>9</v>
      </c>
      <c r="F5" s="158"/>
      <c r="G5" s="158"/>
      <c r="H5" s="158"/>
    </row>
    <row r="6" spans="1:11" x14ac:dyDescent="0.25">
      <c r="A6" s="158"/>
      <c r="B6" s="158"/>
      <c r="C6" s="158"/>
      <c r="D6" s="158"/>
      <c r="E6" s="158"/>
      <c r="F6" s="158"/>
      <c r="G6" s="158"/>
      <c r="H6" s="158"/>
    </row>
    <row r="7" spans="1:11" x14ac:dyDescent="0.25">
      <c r="A7" s="158"/>
      <c r="B7" s="164"/>
      <c r="C7" s="181"/>
      <c r="D7" s="181"/>
      <c r="E7" s="165" t="s">
        <v>137</v>
      </c>
      <c r="F7" s="158"/>
      <c r="G7" s="158"/>
      <c r="H7" s="158"/>
    </row>
    <row r="8" spans="1:11" x14ac:dyDescent="0.25">
      <c r="A8" s="158"/>
      <c r="B8" s="173" t="s">
        <v>149</v>
      </c>
      <c r="C8" s="173"/>
      <c r="D8" s="173"/>
      <c r="E8" s="245">
        <v>885681905</v>
      </c>
      <c r="F8" s="158"/>
      <c r="G8" s="158"/>
      <c r="H8" s="158"/>
      <c r="K8" s="249" t="s">
        <v>267</v>
      </c>
    </row>
    <row r="9" spans="1:11" x14ac:dyDescent="0.25">
      <c r="A9" s="158"/>
      <c r="B9" s="173" t="s">
        <v>237</v>
      </c>
      <c r="C9" s="173"/>
      <c r="D9" s="173"/>
      <c r="E9" s="245">
        <v>0</v>
      </c>
      <c r="F9" s="158"/>
      <c r="G9" s="158"/>
      <c r="H9" s="158"/>
      <c r="K9" s="249" t="s">
        <v>267</v>
      </c>
    </row>
    <row r="10" spans="1:11" x14ac:dyDescent="0.25">
      <c r="A10" s="158"/>
      <c r="B10" s="162" t="s">
        <v>138</v>
      </c>
      <c r="C10" s="162"/>
      <c r="D10" s="162"/>
      <c r="E10" s="245">
        <v>126865223</v>
      </c>
      <c r="F10" s="158"/>
      <c r="G10" s="158"/>
      <c r="H10" s="158"/>
      <c r="K10" s="249" t="s">
        <v>267</v>
      </c>
    </row>
    <row r="11" spans="1:11" x14ac:dyDescent="0.25">
      <c r="A11" s="158"/>
      <c r="B11" s="162" t="s">
        <v>139</v>
      </c>
      <c r="C11" s="162"/>
      <c r="D11" s="162"/>
      <c r="E11" s="245">
        <v>0</v>
      </c>
      <c r="F11" s="158"/>
      <c r="G11" s="158"/>
      <c r="H11" s="158"/>
      <c r="K11" s="249" t="s">
        <v>267</v>
      </c>
    </row>
    <row r="12" spans="1:11" x14ac:dyDescent="0.25">
      <c r="A12" s="158"/>
      <c r="B12" s="162" t="s">
        <v>140</v>
      </c>
      <c r="C12" s="162"/>
      <c r="D12" s="162"/>
      <c r="E12" s="245">
        <v>8613749</v>
      </c>
      <c r="F12" s="158"/>
      <c r="G12" s="158"/>
      <c r="H12" s="158"/>
      <c r="K12" s="249" t="s">
        <v>267</v>
      </c>
    </row>
    <row r="13" spans="1:11" x14ac:dyDescent="0.25">
      <c r="A13" s="158"/>
      <c r="B13" s="162" t="s">
        <v>141</v>
      </c>
      <c r="C13" s="162"/>
      <c r="D13" s="162"/>
      <c r="E13" s="245">
        <v>14865036</v>
      </c>
      <c r="F13" s="158"/>
      <c r="G13" s="158"/>
      <c r="H13" s="158"/>
      <c r="K13" s="249" t="s">
        <v>267</v>
      </c>
    </row>
    <row r="14" spans="1:11" x14ac:dyDescent="0.25">
      <c r="A14" s="158"/>
      <c r="B14" s="184" t="s">
        <v>8</v>
      </c>
      <c r="C14" s="162" t="s">
        <v>151</v>
      </c>
      <c r="D14" s="162"/>
      <c r="E14" s="177">
        <f>SUM(E8:E13)</f>
        <v>1036025913</v>
      </c>
      <c r="F14" s="158"/>
      <c r="G14" s="158"/>
      <c r="H14" s="158"/>
    </row>
    <row r="15" spans="1:11" x14ac:dyDescent="0.25">
      <c r="A15" s="158"/>
      <c r="B15" s="162"/>
      <c r="C15" s="162"/>
      <c r="D15" s="162"/>
      <c r="E15" s="178"/>
      <c r="F15" s="158"/>
      <c r="G15" s="158"/>
      <c r="H15" s="158"/>
    </row>
    <row r="16" spans="1:11" x14ac:dyDescent="0.25">
      <c r="A16" s="158"/>
      <c r="B16" s="173" t="s">
        <v>150</v>
      </c>
      <c r="C16" s="173" t="s">
        <v>3</v>
      </c>
      <c r="D16" s="173"/>
      <c r="E16" s="246">
        <v>187935.23</v>
      </c>
      <c r="F16" s="158"/>
      <c r="G16" s="158"/>
      <c r="H16" s="158"/>
      <c r="K16" s="249" t="s">
        <v>267</v>
      </c>
    </row>
    <row r="17" spans="1:8" x14ac:dyDescent="0.25">
      <c r="A17" s="158"/>
      <c r="B17" s="173"/>
      <c r="C17" s="173"/>
      <c r="D17" s="173"/>
      <c r="E17" s="175"/>
      <c r="F17" s="158"/>
      <c r="G17" s="158"/>
      <c r="H17" s="158"/>
    </row>
    <row r="18" spans="1:8" x14ac:dyDescent="0.25">
      <c r="A18" s="158"/>
      <c r="B18" s="162" t="s">
        <v>142</v>
      </c>
      <c r="C18" s="162" t="s">
        <v>152</v>
      </c>
      <c r="D18" s="162"/>
      <c r="E18" s="176">
        <f>ROUND(E14/E16,2)</f>
        <v>5512.68</v>
      </c>
      <c r="F18" s="158"/>
      <c r="G18" s="158"/>
      <c r="H18" s="158"/>
    </row>
    <row r="19" spans="1:8" x14ac:dyDescent="0.25">
      <c r="A19" s="158"/>
      <c r="B19" s="162" t="s">
        <v>143</v>
      </c>
      <c r="C19" s="162"/>
      <c r="D19" s="162"/>
      <c r="E19" s="179">
        <f>IF(E18&gt;5230,0,5230-E18)</f>
        <v>0</v>
      </c>
      <c r="F19" s="158"/>
      <c r="G19" s="158"/>
      <c r="H19" s="158"/>
    </row>
    <row r="20" spans="1:8" x14ac:dyDescent="0.25">
      <c r="A20" s="158"/>
      <c r="B20" s="162" t="s">
        <v>144</v>
      </c>
      <c r="C20" s="162"/>
      <c r="D20" s="162"/>
      <c r="E20" s="174">
        <f>E18+E19</f>
        <v>5512.68</v>
      </c>
      <c r="F20" s="158"/>
      <c r="G20" s="158"/>
      <c r="H20" s="158"/>
    </row>
    <row r="21" spans="1:8" x14ac:dyDescent="0.25">
      <c r="A21" s="158"/>
      <c r="B21" s="158"/>
      <c r="C21" s="158"/>
      <c r="D21" s="158"/>
      <c r="E21" s="158"/>
      <c r="F21" s="158"/>
      <c r="G21" s="158"/>
      <c r="H21" s="158"/>
    </row>
    <row r="22" spans="1:8" x14ac:dyDescent="0.25">
      <c r="A22" s="158"/>
      <c r="B22" s="259" t="s">
        <v>245</v>
      </c>
      <c r="C22" s="167"/>
      <c r="D22" s="167"/>
      <c r="E22" s="247">
        <v>0</v>
      </c>
      <c r="F22" s="158"/>
      <c r="G22" s="158"/>
      <c r="H22" s="158"/>
    </row>
    <row r="23" spans="1:8" x14ac:dyDescent="0.25">
      <c r="A23" s="158"/>
      <c r="B23" s="259" t="s">
        <v>246</v>
      </c>
      <c r="C23" s="167"/>
      <c r="D23" s="167"/>
      <c r="E23" s="248">
        <v>0</v>
      </c>
      <c r="F23" s="158"/>
      <c r="G23" s="158"/>
      <c r="H23" s="158"/>
    </row>
    <row r="24" spans="1:8" x14ac:dyDescent="0.25">
      <c r="A24" s="158"/>
      <c r="B24" s="167" t="s">
        <v>145</v>
      </c>
      <c r="C24" s="167"/>
      <c r="D24" s="167"/>
      <c r="E24" s="168">
        <f>+E22+E23</f>
        <v>0</v>
      </c>
      <c r="F24" s="158"/>
      <c r="G24" s="158"/>
      <c r="H24" s="158"/>
    </row>
    <row r="25" spans="1:8" x14ac:dyDescent="0.25">
      <c r="A25" s="158"/>
      <c r="B25" s="167"/>
      <c r="C25" s="167"/>
      <c r="D25" s="167"/>
      <c r="E25" s="182"/>
      <c r="F25" s="158"/>
      <c r="G25" s="158"/>
      <c r="H25" s="158"/>
    </row>
    <row r="26" spans="1:8" x14ac:dyDescent="0.25">
      <c r="A26" s="158"/>
      <c r="B26" s="162" t="s">
        <v>146</v>
      </c>
      <c r="C26" s="162"/>
      <c r="D26" s="162"/>
      <c r="E26" s="183">
        <f>E20*E24</f>
        <v>0</v>
      </c>
      <c r="F26" s="158"/>
      <c r="G26" s="158"/>
      <c r="H26" s="158"/>
    </row>
    <row r="27" spans="1:8" x14ac:dyDescent="0.25">
      <c r="A27" s="158"/>
      <c r="B27" s="173" t="s">
        <v>153</v>
      </c>
      <c r="C27" s="162"/>
      <c r="D27" s="162"/>
      <c r="E27" s="169">
        <v>0.7</v>
      </c>
      <c r="F27" s="158"/>
      <c r="G27" s="158"/>
      <c r="H27" s="158"/>
    </row>
    <row r="28" spans="1:8" x14ac:dyDescent="0.25">
      <c r="A28" s="158"/>
      <c r="B28" s="162" t="s">
        <v>147</v>
      </c>
      <c r="C28" s="162"/>
      <c r="D28" s="162"/>
      <c r="E28" s="183">
        <f>ROUND(E26*E27,2)</f>
        <v>0</v>
      </c>
      <c r="F28" s="158"/>
      <c r="G28" s="158"/>
      <c r="H28" s="158"/>
    </row>
    <row r="29" spans="1:8" x14ac:dyDescent="0.25">
      <c r="A29" s="158"/>
      <c r="B29" s="162" t="s">
        <v>148</v>
      </c>
      <c r="C29" s="162"/>
      <c r="D29" s="162"/>
      <c r="E29" s="170">
        <f>-ROUND(E28*0.05,2)</f>
        <v>0</v>
      </c>
      <c r="F29" s="158"/>
      <c r="G29" s="158"/>
      <c r="H29" s="158"/>
    </row>
    <row r="30" spans="1:8" x14ac:dyDescent="0.25">
      <c r="A30" s="158"/>
      <c r="B30" s="162" t="s">
        <v>74</v>
      </c>
      <c r="C30" s="162"/>
      <c r="D30" s="162"/>
      <c r="E30" s="186">
        <f>E28+E29</f>
        <v>0</v>
      </c>
      <c r="F30" s="158"/>
      <c r="G30" s="158"/>
      <c r="H30" s="158"/>
    </row>
    <row r="31" spans="1:8" x14ac:dyDescent="0.25">
      <c r="A31" s="158"/>
      <c r="B31" s="158"/>
      <c r="C31" s="158"/>
      <c r="D31" s="158"/>
      <c r="E31" s="158"/>
      <c r="F31" s="158"/>
      <c r="G31" s="166"/>
      <c r="H31" s="158"/>
    </row>
    <row r="32" spans="1:8" x14ac:dyDescent="0.25">
      <c r="A32" s="158"/>
      <c r="B32" s="3" t="s">
        <v>75</v>
      </c>
      <c r="C32" s="162"/>
      <c r="D32" s="162"/>
      <c r="E32" s="250">
        <v>0</v>
      </c>
      <c r="F32" s="158"/>
      <c r="G32" s="166"/>
      <c r="H32" s="158"/>
    </row>
    <row r="33" spans="1:8" x14ac:dyDescent="0.25">
      <c r="A33" s="158"/>
      <c r="B33" s="3"/>
      <c r="C33" s="162"/>
      <c r="D33" s="162"/>
      <c r="E33" s="268"/>
      <c r="F33" s="158"/>
      <c r="G33" s="166"/>
      <c r="H33" s="158"/>
    </row>
    <row r="34" spans="1:8" x14ac:dyDescent="0.25">
      <c r="A34" s="158"/>
      <c r="B34" s="3" t="s">
        <v>247</v>
      </c>
      <c r="C34" s="162"/>
      <c r="D34" s="162"/>
      <c r="E34" s="268">
        <f>E30+E32</f>
        <v>0</v>
      </c>
      <c r="F34" s="158"/>
      <c r="G34" s="166"/>
      <c r="H34" s="158"/>
    </row>
    <row r="35" spans="1:8" x14ac:dyDescent="0.25">
      <c r="A35" s="158"/>
      <c r="B35" s="3"/>
      <c r="C35" s="162"/>
      <c r="D35" s="162"/>
      <c r="E35" s="268"/>
      <c r="F35" s="158"/>
      <c r="G35" s="166"/>
      <c r="H35" s="158"/>
    </row>
    <row r="36" spans="1:8" x14ac:dyDescent="0.25">
      <c r="A36" s="158"/>
      <c r="B36" s="3" t="s">
        <v>249</v>
      </c>
      <c r="C36" s="185"/>
      <c r="D36" s="185"/>
      <c r="E36" s="275">
        <v>11</v>
      </c>
      <c r="F36" s="158"/>
      <c r="G36" s="166"/>
      <c r="H36" s="158"/>
    </row>
    <row r="37" spans="1:8" x14ac:dyDescent="0.25">
      <c r="A37" s="158"/>
      <c r="B37" s="3"/>
      <c r="C37" s="162"/>
      <c r="D37" s="162"/>
      <c r="E37" s="186"/>
      <c r="F37" s="158"/>
      <c r="G37" s="166"/>
      <c r="H37" s="158"/>
    </row>
    <row r="38" spans="1:8" ht="16.5" thickBot="1" x14ac:dyDescent="0.3">
      <c r="A38" s="158"/>
      <c r="B38" s="3" t="s">
        <v>76</v>
      </c>
      <c r="C38" s="162"/>
      <c r="D38" s="162"/>
      <c r="E38" s="269">
        <f>IF(E36=0,0,ROUND(E34/E36,2))</f>
        <v>0</v>
      </c>
      <c r="F38" s="158"/>
      <c r="G38" s="158"/>
      <c r="H38" s="158"/>
    </row>
    <row r="39" spans="1:8" ht="16.5" thickTop="1" x14ac:dyDescent="0.25"/>
    <row r="41" spans="1:8" x14ac:dyDescent="0.25">
      <c r="A41" s="294" t="s">
        <v>270</v>
      </c>
      <c r="B41" s="295"/>
      <c r="C41" s="295"/>
      <c r="D41" s="295"/>
      <c r="E41" s="295"/>
    </row>
    <row r="42" spans="1:8" x14ac:dyDescent="0.25">
      <c r="A42" s="294" t="s">
        <v>271</v>
      </c>
      <c r="B42" s="295"/>
      <c r="C42" s="295"/>
      <c r="D42" s="295"/>
      <c r="E42" s="295"/>
    </row>
  </sheetData>
  <printOptions horizontalCentered="1" headings="1"/>
  <pageMargins left="0.1" right="0.1" top="0.75" bottom="0.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CCCC"/>
  </sheetPr>
  <dimension ref="A1:V221"/>
  <sheetViews>
    <sheetView workbookViewId="0">
      <selection activeCell="F15" sqref="F15:G15"/>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6" t="s">
        <v>15</v>
      </c>
      <c r="C1" s="567"/>
      <c r="D1" s="567"/>
      <c r="E1" s="567"/>
      <c r="F1" s="567"/>
      <c r="G1" s="567"/>
      <c r="H1" s="567"/>
      <c r="I1" s="567"/>
      <c r="J1" s="135"/>
      <c r="K1" s="135"/>
      <c r="L1" s="135"/>
      <c r="N1" s="82">
        <f>A1</f>
        <v>0</v>
      </c>
      <c r="O1" s="658" t="s">
        <v>15</v>
      </c>
      <c r="P1" s="659"/>
      <c r="Q1" s="659"/>
      <c r="R1" s="659"/>
      <c r="S1" s="659"/>
      <c r="T1" s="659"/>
      <c r="U1" s="659"/>
    </row>
    <row r="2" spans="1:21" ht="21" x14ac:dyDescent="0.35">
      <c r="A2" s="1" t="s">
        <v>110</v>
      </c>
      <c r="B2" s="2"/>
      <c r="C2" s="2"/>
      <c r="D2" s="2"/>
      <c r="E2" s="2"/>
      <c r="F2" s="2"/>
      <c r="G2" s="2"/>
      <c r="H2" s="2"/>
      <c r="I2" s="2"/>
      <c r="N2" s="660" t="s">
        <v>18</v>
      </c>
      <c r="O2" s="660"/>
      <c r="P2" s="660"/>
      <c r="Q2" s="660"/>
      <c r="R2" s="660"/>
      <c r="S2" s="660"/>
      <c r="T2" s="660"/>
      <c r="U2" s="660"/>
    </row>
    <row r="3" spans="1:21" x14ac:dyDescent="0.25">
      <c r="A3" s="81" t="str">
        <f>'1461'!A3</f>
        <v>Based on the FLDOE 2024-25 Conference Calculation</v>
      </c>
      <c r="N3" s="627" t="str">
        <f>A3</f>
        <v>Based on the FLDOE 2024-25 Conference Calculation</v>
      </c>
      <c r="O3" s="627"/>
      <c r="P3" s="627"/>
      <c r="Q3" s="627"/>
      <c r="R3" s="627"/>
      <c r="S3" s="627"/>
      <c r="T3" s="627"/>
      <c r="U3" s="627"/>
    </row>
    <row r="4" spans="1:21" x14ac:dyDescent="0.25">
      <c r="A4" s="568" t="s">
        <v>0</v>
      </c>
      <c r="B4" s="568"/>
      <c r="C4" s="569" t="s">
        <v>9</v>
      </c>
      <c r="D4" s="569"/>
      <c r="E4" s="569"/>
      <c r="F4" s="4" t="str">
        <f>'1461'!F4</f>
        <v>July 2024</v>
      </c>
      <c r="G4" s="4"/>
      <c r="H4" s="4"/>
      <c r="I4" s="4"/>
      <c r="N4" s="661" t="s">
        <v>0</v>
      </c>
      <c r="O4" s="661"/>
      <c r="P4" s="662" t="str">
        <f>C4</f>
        <v>Palm Beach</v>
      </c>
      <c r="Q4" s="662"/>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70" t="s">
        <v>433</v>
      </c>
      <c r="B7" s="664"/>
      <c r="C7" s="664"/>
      <c r="D7" s="664"/>
      <c r="E7" s="664"/>
      <c r="F7" s="664"/>
      <c r="G7" s="664"/>
      <c r="H7" s="664"/>
      <c r="I7" s="664"/>
      <c r="N7" s="661" t="str">
        <f>A7</f>
        <v>1A.   2023-24 FEFP State and Local Funding</v>
      </c>
      <c r="O7" s="661"/>
      <c r="P7" s="661"/>
      <c r="Q7" s="661"/>
      <c r="R7" s="661"/>
      <c r="S7" s="661"/>
      <c r="T7" s="661"/>
      <c r="U7" s="661"/>
    </row>
    <row r="8" spans="1:21" x14ac:dyDescent="0.25">
      <c r="A8" s="84"/>
      <c r="B8" s="85" t="s">
        <v>92</v>
      </c>
      <c r="C8" s="299">
        <f>'1461'!C8</f>
        <v>5330.98</v>
      </c>
      <c r="D8" s="86"/>
      <c r="E8" s="87"/>
      <c r="F8" s="84"/>
      <c r="G8" s="85" t="s">
        <v>393</v>
      </c>
      <c r="H8" s="287">
        <f>'1461'!H8</f>
        <v>1.0407999999999999</v>
      </c>
      <c r="I8" s="75"/>
      <c r="N8" s="665" t="s">
        <v>10</v>
      </c>
      <c r="O8" s="665"/>
      <c r="P8" s="666">
        <f>C8</f>
        <v>5330.98</v>
      </c>
      <c r="Q8" s="666"/>
      <c r="R8" s="648" t="s">
        <v>394</v>
      </c>
      <c r="S8" s="649"/>
      <c r="T8" s="650">
        <f>H8</f>
        <v>1.0407999999999999</v>
      </c>
      <c r="U8" s="650"/>
    </row>
    <row r="9" spans="1:21" x14ac:dyDescent="0.25">
      <c r="A9" s="84"/>
      <c r="B9" s="85"/>
      <c r="C9" s="222"/>
      <c r="D9" s="86"/>
      <c r="E9" s="87"/>
      <c r="F9" s="84"/>
      <c r="G9" s="85" t="s">
        <v>391</v>
      </c>
      <c r="H9" s="287">
        <f>'1461'!H9</f>
        <v>1</v>
      </c>
      <c r="I9" s="75"/>
      <c r="N9" s="12"/>
      <c r="O9" s="12"/>
      <c r="P9" s="13"/>
      <c r="Q9" s="13"/>
      <c r="R9" s="387" t="s">
        <v>392</v>
      </c>
      <c r="S9" s="384"/>
      <c r="T9" s="650">
        <f>H9</f>
        <v>1</v>
      </c>
      <c r="U9" s="650"/>
    </row>
    <row r="10" spans="1:21" x14ac:dyDescent="0.25">
      <c r="A10" s="7"/>
      <c r="B10" s="42" t="s">
        <v>310</v>
      </c>
      <c r="C10" s="456" t="str">
        <f>'1461'!C10</f>
        <v xml:space="preserve"> </v>
      </c>
      <c r="D10" s="88" t="str">
        <f>'1461'!D10</f>
        <v xml:space="preserve"> </v>
      </c>
      <c r="E10" s="8"/>
      <c r="F10" s="9"/>
      <c r="G10" s="9"/>
      <c r="H10" s="10"/>
      <c r="I10" s="305" t="str">
        <f>'1461'!I10</f>
        <v>2024-25</v>
      </c>
      <c r="N10" s="12"/>
      <c r="O10" s="12"/>
      <c r="P10" s="13"/>
      <c r="Q10" s="13"/>
      <c r="R10" s="14"/>
      <c r="S10" s="14"/>
      <c r="T10" s="15"/>
      <c r="U10" s="366" t="str">
        <f>I10</f>
        <v>2024-25</v>
      </c>
    </row>
    <row r="11" spans="1:21" x14ac:dyDescent="0.25">
      <c r="A11" s="7"/>
      <c r="B11" s="7"/>
      <c r="C11" s="88" t="str">
        <f>'1461'!C11</f>
        <v>Oct 2023</v>
      </c>
      <c r="D11" s="333" t="str">
        <f>'1461'!D11</f>
        <v>Feb 2024</v>
      </c>
      <c r="E11" s="89" t="s">
        <v>8</v>
      </c>
      <c r="F11" s="571" t="s">
        <v>1</v>
      </c>
      <c r="G11" s="571"/>
      <c r="H11" s="10" t="s">
        <v>60</v>
      </c>
      <c r="I11" s="11" t="s">
        <v>27</v>
      </c>
      <c r="N11" s="12"/>
      <c r="O11" s="12"/>
      <c r="P11" s="13"/>
      <c r="Q11" s="13"/>
      <c r="R11" s="651" t="s">
        <v>1</v>
      </c>
      <c r="S11" s="651"/>
      <c r="T11" s="15" t="s">
        <v>60</v>
      </c>
      <c r="U11" s="16" t="s">
        <v>27</v>
      </c>
    </row>
    <row r="12" spans="1:21" ht="15.75" customHeight="1" x14ac:dyDescent="0.25">
      <c r="A12" s="572" t="s">
        <v>1</v>
      </c>
      <c r="B12" s="572"/>
      <c r="C12" s="324" t="str">
        <f>'1461'!C12</f>
        <v>FTE</v>
      </c>
      <c r="D12" s="324" t="str">
        <f>'1461'!D12</f>
        <v>FTE</v>
      </c>
      <c r="E12" s="324" t="s">
        <v>2</v>
      </c>
      <c r="F12" s="573" t="s">
        <v>63</v>
      </c>
      <c r="G12" s="573"/>
      <c r="H12" s="17" t="s">
        <v>59</v>
      </c>
      <c r="I12" s="388" t="s">
        <v>395</v>
      </c>
      <c r="N12" s="639" t="s">
        <v>1</v>
      </c>
      <c r="O12" s="639"/>
      <c r="P12" s="652" t="s">
        <v>19</v>
      </c>
      <c r="Q12" s="652"/>
      <c r="R12" s="653" t="s">
        <v>63</v>
      </c>
      <c r="S12" s="653"/>
      <c r="T12" s="18" t="s">
        <v>59</v>
      </c>
      <c r="U12" s="19" t="str">
        <f>I12</f>
        <v>(WFTE x BSA x CWF x SDF)</v>
      </c>
    </row>
    <row r="13" spans="1:21" x14ac:dyDescent="0.25">
      <c r="A13" s="574" t="s">
        <v>36</v>
      </c>
      <c r="B13" s="574"/>
      <c r="C13" s="91"/>
      <c r="D13" s="91"/>
      <c r="E13" s="92" t="s">
        <v>37</v>
      </c>
      <c r="F13" s="575" t="s">
        <v>38</v>
      </c>
      <c r="G13" s="575"/>
      <c r="H13" s="20" t="s">
        <v>39</v>
      </c>
      <c r="I13" s="21" t="s">
        <v>40</v>
      </c>
      <c r="N13" s="654" t="s">
        <v>36</v>
      </c>
      <c r="O13" s="654"/>
      <c r="P13" s="655" t="s">
        <v>37</v>
      </c>
      <c r="Q13" s="655"/>
      <c r="R13" s="656" t="s">
        <v>38</v>
      </c>
      <c r="S13" s="656"/>
      <c r="T13" s="22" t="s">
        <v>39</v>
      </c>
      <c r="U13" s="23" t="s">
        <v>40</v>
      </c>
    </row>
    <row r="14" spans="1:21" x14ac:dyDescent="0.25">
      <c r="A14" s="576" t="s">
        <v>20</v>
      </c>
      <c r="B14" s="576"/>
      <c r="C14" s="143">
        <v>0</v>
      </c>
      <c r="D14" s="141">
        <v>0</v>
      </c>
      <c r="E14" s="187">
        <f>IF(D$30=0,C14*2,C14+D14)</f>
        <v>0</v>
      </c>
      <c r="F14" s="667">
        <f>'1461'!F14:G14</f>
        <v>1.1180000000000001</v>
      </c>
      <c r="G14" s="667"/>
      <c r="H14" s="145">
        <f>ROUND(E14*F14,4)</f>
        <v>0</v>
      </c>
      <c r="I14" s="111">
        <f>ROUND(ROUND(ROUND(H14*$C$8,4)*($H$8),2)*(MAX($H$9,1)),2)</f>
        <v>0</v>
      </c>
      <c r="N14" s="641" t="s">
        <v>20</v>
      </c>
      <c r="O14" s="641"/>
      <c r="P14" s="642">
        <f t="shared" ref="P14:P29" si="0">IF($H$133=1,E14,0)</f>
        <v>0</v>
      </c>
      <c r="Q14" s="642"/>
      <c r="R14" s="657">
        <v>1</v>
      </c>
      <c r="S14" s="657"/>
      <c r="T14" s="95">
        <f>ROUND(P14*R14,4)</f>
        <v>0</v>
      </c>
      <c r="U14" s="473">
        <f>ROUND(ROUND(ROUND(T14*$C$8,4)*($H$8),2)*(MAX($H$9,1)),2)</f>
        <v>0</v>
      </c>
    </row>
    <row r="15" spans="1:21" x14ac:dyDescent="0.25">
      <c r="A15" s="578" t="s">
        <v>21</v>
      </c>
      <c r="B15" s="578"/>
      <c r="C15" s="143">
        <v>0</v>
      </c>
      <c r="D15" s="143">
        <v>0</v>
      </c>
      <c r="E15" s="116">
        <f t="shared" ref="E15:E29" si="1">IF(D$30=0,C15*2,C15+D15)</f>
        <v>0</v>
      </c>
      <c r="F15" s="663">
        <f>'1461'!F15:G15</f>
        <v>1.1180000000000001</v>
      </c>
      <c r="G15" s="663"/>
      <c r="H15" s="80">
        <f t="shared" ref="H15:H29" si="2">ROUND(E15*F15,4)</f>
        <v>0</v>
      </c>
      <c r="I15" s="101">
        <f t="shared" ref="I15:I29" si="3">ROUND(ROUND(ROUND(H15*$C$8,4)*($H$8),2)*(MAX($H$9,1)),2)</f>
        <v>0</v>
      </c>
      <c r="J15" s="65" t="str">
        <f>IF(ROUND(E15,2)=ROUND(SUM(E57:E59),2)," ","CHECK PK-3 LINES BELOW")</f>
        <v xml:space="preserve"> </v>
      </c>
      <c r="N15" s="601" t="s">
        <v>21</v>
      </c>
      <c r="O15" s="601"/>
      <c r="P15" s="642">
        <f t="shared" si="0"/>
        <v>0</v>
      </c>
      <c r="Q15" s="642"/>
      <c r="R15" s="647">
        <v>1</v>
      </c>
      <c r="S15" s="647"/>
      <c r="T15" s="95">
        <f t="shared" ref="T15:T29" si="4">ROUND(P15*R15,4)</f>
        <v>0</v>
      </c>
      <c r="U15" s="473">
        <f t="shared" ref="U15:U29" si="5">ROUND(ROUND(ROUND(T15*$C$8,4)*($H$8),2)*(MAX($H$9,1)),2)</f>
        <v>0</v>
      </c>
    </row>
    <row r="16" spans="1:21" x14ac:dyDescent="0.25">
      <c r="A16" s="578" t="s">
        <v>22</v>
      </c>
      <c r="B16" s="578"/>
      <c r="C16" s="143">
        <v>0</v>
      </c>
      <c r="D16" s="143">
        <v>0</v>
      </c>
      <c r="E16" s="116">
        <f t="shared" si="1"/>
        <v>0</v>
      </c>
      <c r="F16" s="663">
        <f>'1461'!F16:G16</f>
        <v>1</v>
      </c>
      <c r="G16" s="663"/>
      <c r="H16" s="80">
        <f t="shared" si="2"/>
        <v>0</v>
      </c>
      <c r="I16" s="101">
        <f t="shared" si="3"/>
        <v>0</v>
      </c>
      <c r="N16" s="601" t="s">
        <v>22</v>
      </c>
      <c r="O16" s="601"/>
      <c r="P16" s="642">
        <f t="shared" si="0"/>
        <v>0</v>
      </c>
      <c r="Q16" s="642"/>
      <c r="R16" s="647">
        <v>1</v>
      </c>
      <c r="S16" s="647"/>
      <c r="T16" s="95">
        <f t="shared" si="4"/>
        <v>0</v>
      </c>
      <c r="U16" s="473">
        <f t="shared" si="5"/>
        <v>0</v>
      </c>
    </row>
    <row r="17" spans="1:21" x14ac:dyDescent="0.25">
      <c r="A17" s="578" t="s">
        <v>23</v>
      </c>
      <c r="B17" s="578"/>
      <c r="C17" s="143">
        <v>0</v>
      </c>
      <c r="D17" s="143">
        <v>0</v>
      </c>
      <c r="E17" s="116">
        <f t="shared" si="1"/>
        <v>0</v>
      </c>
      <c r="F17" s="663">
        <f>'1461'!F17:G17</f>
        <v>1</v>
      </c>
      <c r="G17" s="663"/>
      <c r="H17" s="80">
        <f t="shared" si="2"/>
        <v>0</v>
      </c>
      <c r="I17" s="101">
        <f t="shared" si="3"/>
        <v>0</v>
      </c>
      <c r="J17" s="65" t="str">
        <f>IF(ROUND(E17,2)=ROUND(SUM(E60:E62),2)," ","CHECK 4-8 LINES BELOW")</f>
        <v xml:space="preserve"> </v>
      </c>
      <c r="N17" s="601" t="s">
        <v>23</v>
      </c>
      <c r="O17" s="601"/>
      <c r="P17" s="642">
        <f t="shared" si="0"/>
        <v>0</v>
      </c>
      <c r="Q17" s="642"/>
      <c r="R17" s="647">
        <v>1</v>
      </c>
      <c r="S17" s="647"/>
      <c r="T17" s="95">
        <f t="shared" si="4"/>
        <v>0</v>
      </c>
      <c r="U17" s="473">
        <f t="shared" si="5"/>
        <v>0</v>
      </c>
    </row>
    <row r="18" spans="1:21" x14ac:dyDescent="0.25">
      <c r="A18" s="578" t="s">
        <v>24</v>
      </c>
      <c r="B18" s="578"/>
      <c r="C18" s="143">
        <v>302.58999999999997</v>
      </c>
      <c r="D18" s="143">
        <v>282.24</v>
      </c>
      <c r="E18" s="116">
        <f t="shared" si="1"/>
        <v>584.82999999999993</v>
      </c>
      <c r="F18" s="663">
        <f>'1461'!F18:G18</f>
        <v>0.97799999999999998</v>
      </c>
      <c r="G18" s="663"/>
      <c r="H18" s="80">
        <f t="shared" si="2"/>
        <v>571.96370000000002</v>
      </c>
      <c r="I18" s="101">
        <f t="shared" si="3"/>
        <v>3173531.43</v>
      </c>
      <c r="N18" s="601" t="s">
        <v>24</v>
      </c>
      <c r="O18" s="601"/>
      <c r="P18" s="642">
        <f t="shared" si="0"/>
        <v>0</v>
      </c>
      <c r="Q18" s="642"/>
      <c r="R18" s="647">
        <v>1</v>
      </c>
      <c r="S18" s="647"/>
      <c r="T18" s="95">
        <f t="shared" si="4"/>
        <v>0</v>
      </c>
      <c r="U18" s="473">
        <f t="shared" si="5"/>
        <v>0</v>
      </c>
    </row>
    <row r="19" spans="1:21" x14ac:dyDescent="0.25">
      <c r="A19" s="578" t="s">
        <v>25</v>
      </c>
      <c r="B19" s="578"/>
      <c r="C19" s="143">
        <v>114.3</v>
      </c>
      <c r="D19" s="143">
        <v>111.31</v>
      </c>
      <c r="E19" s="116">
        <f t="shared" si="1"/>
        <v>225.61</v>
      </c>
      <c r="F19" s="663">
        <f>'1461'!F19:G19</f>
        <v>0.97799999999999998</v>
      </c>
      <c r="G19" s="663"/>
      <c r="H19" s="80">
        <f t="shared" si="2"/>
        <v>220.64660000000001</v>
      </c>
      <c r="I19" s="101">
        <f t="shared" si="3"/>
        <v>1224254.1299999999</v>
      </c>
      <c r="J19" s="65" t="str">
        <f>IF(ROUND(E19,2)=ROUND(SUM(E63:E65),2)," ","CHECK 4-8 LINES BELOW")</f>
        <v xml:space="preserve"> </v>
      </c>
      <c r="N19" s="601" t="s">
        <v>25</v>
      </c>
      <c r="O19" s="601"/>
      <c r="P19" s="642">
        <f t="shared" si="0"/>
        <v>0</v>
      </c>
      <c r="Q19" s="642"/>
      <c r="R19" s="647">
        <v>1</v>
      </c>
      <c r="S19" s="647"/>
      <c r="T19" s="95">
        <f t="shared" si="4"/>
        <v>0</v>
      </c>
      <c r="U19" s="472">
        <f t="shared" si="5"/>
        <v>0</v>
      </c>
    </row>
    <row r="20" spans="1:21" x14ac:dyDescent="0.25">
      <c r="A20" s="578" t="s">
        <v>79</v>
      </c>
      <c r="B20" s="578"/>
      <c r="C20" s="143">
        <v>0</v>
      </c>
      <c r="D20" s="143">
        <v>0</v>
      </c>
      <c r="E20" s="116">
        <f t="shared" si="1"/>
        <v>0</v>
      </c>
      <c r="F20" s="663">
        <f>'1461'!F20:G20</f>
        <v>3.6970000000000001</v>
      </c>
      <c r="G20" s="663"/>
      <c r="H20" s="80">
        <f t="shared" si="2"/>
        <v>0</v>
      </c>
      <c r="I20" s="101">
        <f t="shared" si="3"/>
        <v>0</v>
      </c>
      <c r="N20" s="601" t="s">
        <v>79</v>
      </c>
      <c r="O20" s="601"/>
      <c r="P20" s="642">
        <f t="shared" si="0"/>
        <v>0</v>
      </c>
      <c r="Q20" s="642"/>
      <c r="R20" s="647">
        <v>1</v>
      </c>
      <c r="S20" s="647"/>
      <c r="T20" s="95">
        <f t="shared" si="4"/>
        <v>0</v>
      </c>
      <c r="U20" s="473">
        <f t="shared" si="5"/>
        <v>0</v>
      </c>
    </row>
    <row r="21" spans="1:21" x14ac:dyDescent="0.25">
      <c r="A21" s="578" t="s">
        <v>80</v>
      </c>
      <c r="B21" s="578"/>
      <c r="C21" s="143">
        <v>0</v>
      </c>
      <c r="D21" s="143">
        <v>0</v>
      </c>
      <c r="E21" s="116">
        <f t="shared" si="1"/>
        <v>0</v>
      </c>
      <c r="F21" s="663">
        <f>'1461'!F21:G21</f>
        <v>3.6970000000000001</v>
      </c>
      <c r="G21" s="663"/>
      <c r="H21" s="80">
        <f t="shared" si="2"/>
        <v>0</v>
      </c>
      <c r="I21" s="101">
        <f t="shared" si="3"/>
        <v>0</v>
      </c>
      <c r="N21" s="601" t="s">
        <v>80</v>
      </c>
      <c r="O21" s="601"/>
      <c r="P21" s="642">
        <f t="shared" si="0"/>
        <v>0</v>
      </c>
      <c r="Q21" s="642"/>
      <c r="R21" s="647">
        <v>1</v>
      </c>
      <c r="S21" s="647"/>
      <c r="T21" s="95">
        <f t="shared" si="4"/>
        <v>0</v>
      </c>
      <c r="U21" s="473">
        <f t="shared" si="5"/>
        <v>0</v>
      </c>
    </row>
    <row r="22" spans="1:21" x14ac:dyDescent="0.25">
      <c r="A22" s="578" t="s">
        <v>81</v>
      </c>
      <c r="B22" s="578"/>
      <c r="C22" s="143">
        <v>0</v>
      </c>
      <c r="D22" s="143">
        <v>0</v>
      </c>
      <c r="E22" s="116">
        <f t="shared" si="1"/>
        <v>0</v>
      </c>
      <c r="F22" s="663">
        <f>'1461'!F22:G22</f>
        <v>3.6970000000000001</v>
      </c>
      <c r="G22" s="663"/>
      <c r="H22" s="80">
        <f t="shared" si="2"/>
        <v>0</v>
      </c>
      <c r="I22" s="101">
        <f t="shared" si="3"/>
        <v>0</v>
      </c>
      <c r="N22" s="601" t="s">
        <v>81</v>
      </c>
      <c r="O22" s="601"/>
      <c r="P22" s="642">
        <f t="shared" si="0"/>
        <v>0</v>
      </c>
      <c r="Q22" s="642"/>
      <c r="R22" s="647">
        <v>1</v>
      </c>
      <c r="S22" s="647"/>
      <c r="T22" s="95">
        <f t="shared" si="4"/>
        <v>0</v>
      </c>
      <c r="U22" s="473">
        <f t="shared" si="5"/>
        <v>0</v>
      </c>
    </row>
    <row r="23" spans="1:21" x14ac:dyDescent="0.25">
      <c r="A23" s="578" t="s">
        <v>82</v>
      </c>
      <c r="B23" s="578"/>
      <c r="C23" s="143">
        <v>0</v>
      </c>
      <c r="D23" s="143">
        <v>0</v>
      </c>
      <c r="E23" s="116">
        <f t="shared" si="1"/>
        <v>0</v>
      </c>
      <c r="F23" s="663">
        <f>'1461'!F23:G23</f>
        <v>5.992</v>
      </c>
      <c r="G23" s="663"/>
      <c r="H23" s="80">
        <f t="shared" si="2"/>
        <v>0</v>
      </c>
      <c r="I23" s="101">
        <f t="shared" si="3"/>
        <v>0</v>
      </c>
      <c r="N23" s="601" t="s">
        <v>82</v>
      </c>
      <c r="O23" s="601"/>
      <c r="P23" s="642">
        <f t="shared" si="0"/>
        <v>0</v>
      </c>
      <c r="Q23" s="642"/>
      <c r="R23" s="647">
        <v>1</v>
      </c>
      <c r="S23" s="647"/>
      <c r="T23" s="95">
        <f t="shared" si="4"/>
        <v>0</v>
      </c>
      <c r="U23" s="473">
        <f t="shared" si="5"/>
        <v>0</v>
      </c>
    </row>
    <row r="24" spans="1:21" x14ac:dyDescent="0.25">
      <c r="A24" s="578" t="s">
        <v>83</v>
      </c>
      <c r="B24" s="578"/>
      <c r="C24" s="143">
        <v>0</v>
      </c>
      <c r="D24" s="143">
        <v>0</v>
      </c>
      <c r="E24" s="116">
        <f t="shared" si="1"/>
        <v>0</v>
      </c>
      <c r="F24" s="663">
        <f>'1461'!F24:G24</f>
        <v>5.992</v>
      </c>
      <c r="G24" s="663"/>
      <c r="H24" s="80">
        <f t="shared" si="2"/>
        <v>0</v>
      </c>
      <c r="I24" s="101">
        <f t="shared" si="3"/>
        <v>0</v>
      </c>
      <c r="N24" s="601" t="s">
        <v>83</v>
      </c>
      <c r="O24" s="601"/>
      <c r="P24" s="642">
        <f t="shared" si="0"/>
        <v>0</v>
      </c>
      <c r="Q24" s="642"/>
      <c r="R24" s="647">
        <v>1</v>
      </c>
      <c r="S24" s="647"/>
      <c r="T24" s="95">
        <f t="shared" si="4"/>
        <v>0</v>
      </c>
      <c r="U24" s="473">
        <f t="shared" si="5"/>
        <v>0</v>
      </c>
    </row>
    <row r="25" spans="1:21" x14ac:dyDescent="0.25">
      <c r="A25" s="578" t="s">
        <v>84</v>
      </c>
      <c r="B25" s="578"/>
      <c r="C25" s="143">
        <v>0</v>
      </c>
      <c r="D25" s="143">
        <v>0</v>
      </c>
      <c r="E25" s="116">
        <f t="shared" si="1"/>
        <v>0</v>
      </c>
      <c r="F25" s="663">
        <f>'1461'!F25:G25</f>
        <v>5.992</v>
      </c>
      <c r="G25" s="663"/>
      <c r="H25" s="80">
        <f t="shared" si="2"/>
        <v>0</v>
      </c>
      <c r="I25" s="101">
        <f t="shared" si="3"/>
        <v>0</v>
      </c>
      <c r="N25" s="601" t="s">
        <v>84</v>
      </c>
      <c r="O25" s="601"/>
      <c r="P25" s="642">
        <f t="shared" si="0"/>
        <v>0</v>
      </c>
      <c r="Q25" s="642"/>
      <c r="R25" s="647">
        <v>1</v>
      </c>
      <c r="S25" s="647"/>
      <c r="T25" s="95">
        <f t="shared" si="4"/>
        <v>0</v>
      </c>
      <c r="U25" s="473">
        <f t="shared" si="5"/>
        <v>0</v>
      </c>
    </row>
    <row r="26" spans="1:21" x14ac:dyDescent="0.25">
      <c r="A26" s="578" t="s">
        <v>85</v>
      </c>
      <c r="B26" s="578"/>
      <c r="C26" s="143">
        <v>0</v>
      </c>
      <c r="D26" s="143">
        <v>0</v>
      </c>
      <c r="E26" s="116">
        <f t="shared" si="1"/>
        <v>0</v>
      </c>
      <c r="F26" s="663">
        <f>'1461'!F26:G26</f>
        <v>1.1919999999999999</v>
      </c>
      <c r="G26" s="663"/>
      <c r="H26" s="80">
        <f t="shared" si="2"/>
        <v>0</v>
      </c>
      <c r="I26" s="101">
        <f t="shared" si="3"/>
        <v>0</v>
      </c>
      <c r="N26" s="601" t="s">
        <v>85</v>
      </c>
      <c r="O26" s="601"/>
      <c r="P26" s="642">
        <f t="shared" si="0"/>
        <v>0</v>
      </c>
      <c r="Q26" s="642"/>
      <c r="R26" s="647">
        <v>1</v>
      </c>
      <c r="S26" s="647"/>
      <c r="T26" s="95">
        <f t="shared" si="4"/>
        <v>0</v>
      </c>
      <c r="U26" s="473">
        <f t="shared" si="5"/>
        <v>0</v>
      </c>
    </row>
    <row r="27" spans="1:21" x14ac:dyDescent="0.25">
      <c r="A27" s="578" t="s">
        <v>86</v>
      </c>
      <c r="B27" s="578"/>
      <c r="C27" s="143">
        <v>0</v>
      </c>
      <c r="D27" s="143">
        <v>0</v>
      </c>
      <c r="E27" s="116">
        <f t="shared" si="1"/>
        <v>0</v>
      </c>
      <c r="F27" s="663">
        <f>'1461'!F27:G27</f>
        <v>1.1919999999999999</v>
      </c>
      <c r="G27" s="663"/>
      <c r="H27" s="80">
        <f t="shared" si="2"/>
        <v>0</v>
      </c>
      <c r="I27" s="101">
        <f t="shared" si="3"/>
        <v>0</v>
      </c>
      <c r="N27" s="601" t="s">
        <v>86</v>
      </c>
      <c r="O27" s="601"/>
      <c r="P27" s="642">
        <f t="shared" si="0"/>
        <v>0</v>
      </c>
      <c r="Q27" s="642"/>
      <c r="R27" s="647">
        <v>1</v>
      </c>
      <c r="S27" s="647"/>
      <c r="T27" s="95">
        <f t="shared" si="4"/>
        <v>0</v>
      </c>
      <c r="U27" s="473">
        <f t="shared" si="5"/>
        <v>0</v>
      </c>
    </row>
    <row r="28" spans="1:21" x14ac:dyDescent="0.25">
      <c r="A28" s="578" t="s">
        <v>87</v>
      </c>
      <c r="B28" s="578"/>
      <c r="C28" s="143">
        <v>1.7</v>
      </c>
      <c r="D28" s="143">
        <v>1.48</v>
      </c>
      <c r="E28" s="116">
        <f t="shared" si="1"/>
        <v>3.1799999999999997</v>
      </c>
      <c r="F28" s="663">
        <f>'1461'!F28:G28</f>
        <v>1.1919999999999999</v>
      </c>
      <c r="G28" s="663"/>
      <c r="H28" s="80">
        <f t="shared" si="2"/>
        <v>3.7906</v>
      </c>
      <c r="I28" s="101">
        <f t="shared" si="3"/>
        <v>21032.080000000002</v>
      </c>
      <c r="N28" s="601" t="s">
        <v>87</v>
      </c>
      <c r="O28" s="601"/>
      <c r="P28" s="642">
        <f t="shared" si="0"/>
        <v>0</v>
      </c>
      <c r="Q28" s="642"/>
      <c r="R28" s="647">
        <v>1</v>
      </c>
      <c r="S28" s="647"/>
      <c r="T28" s="95">
        <f t="shared" si="4"/>
        <v>0</v>
      </c>
      <c r="U28" s="473">
        <f t="shared" si="5"/>
        <v>0</v>
      </c>
    </row>
    <row r="29" spans="1:21" x14ac:dyDescent="0.25">
      <c r="A29" s="578" t="s">
        <v>88</v>
      </c>
      <c r="B29" s="578"/>
      <c r="C29" s="110">
        <v>112.63</v>
      </c>
      <c r="D29" s="110">
        <v>124.03</v>
      </c>
      <c r="E29" s="154">
        <f t="shared" si="1"/>
        <v>236.66</v>
      </c>
      <c r="F29" s="663">
        <f>'1461'!F29:G29</f>
        <v>1.079</v>
      </c>
      <c r="G29" s="663"/>
      <c r="H29" s="93">
        <f t="shared" si="2"/>
        <v>255.3561</v>
      </c>
      <c r="I29" s="94">
        <f t="shared" si="3"/>
        <v>1416839.23</v>
      </c>
      <c r="N29" s="616" t="s">
        <v>88</v>
      </c>
      <c r="O29" s="616"/>
      <c r="P29" s="642">
        <f t="shared" si="0"/>
        <v>0</v>
      </c>
      <c r="Q29" s="642"/>
      <c r="R29" s="643">
        <v>1</v>
      </c>
      <c r="S29" s="643"/>
      <c r="T29" s="95">
        <f t="shared" si="4"/>
        <v>0</v>
      </c>
      <c r="U29" s="473">
        <f t="shared" si="5"/>
        <v>0</v>
      </c>
    </row>
    <row r="30" spans="1:21" x14ac:dyDescent="0.25">
      <c r="A30" s="590" t="s">
        <v>5</v>
      </c>
      <c r="B30" s="590"/>
      <c r="C30" s="94">
        <f>SUM(C14:C29)</f>
        <v>531.22</v>
      </c>
      <c r="D30" s="94">
        <f>SUM(D14:D29)</f>
        <v>519.06000000000006</v>
      </c>
      <c r="E30" s="94">
        <f>SUM(E14:E29)</f>
        <v>1050.28</v>
      </c>
      <c r="F30" s="582"/>
      <c r="G30" s="582"/>
      <c r="H30" s="99">
        <f>SUM(H14:H29)</f>
        <v>1051.7570000000001</v>
      </c>
      <c r="I30" s="94">
        <f>SUM(I14:I29)</f>
        <v>5835656.870000001</v>
      </c>
      <c r="N30" s="644" t="s">
        <v>5</v>
      </c>
      <c r="O30" s="644"/>
      <c r="P30" s="645">
        <f>SUM(P14:P29)</f>
        <v>0</v>
      </c>
      <c r="Q30" s="645"/>
      <c r="R30" s="617"/>
      <c r="S30" s="617"/>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0" t="s">
        <v>233</v>
      </c>
      <c r="G34" s="670"/>
      <c r="H34" s="670"/>
      <c r="I34" s="101"/>
      <c r="N34" s="28"/>
      <c r="O34" s="28"/>
      <c r="P34" s="29"/>
      <c r="Q34" s="29"/>
      <c r="R34" s="30"/>
      <c r="S34" s="30"/>
      <c r="T34" s="102"/>
      <c r="U34" s="103"/>
    </row>
    <row r="35" spans="1:21" hidden="1" x14ac:dyDescent="0.25">
      <c r="A35" s="3"/>
      <c r="B35" s="69"/>
      <c r="C35" s="69"/>
      <c r="D35" s="69"/>
      <c r="E35" s="69"/>
      <c r="F35" s="670"/>
      <c r="G35" s="670"/>
      <c r="H35" s="670"/>
      <c r="I35" s="24" t="s">
        <v>61</v>
      </c>
      <c r="N35" s="627" t="s">
        <v>26</v>
      </c>
      <c r="O35" s="627"/>
      <c r="P35" s="627"/>
      <c r="Q35" s="627"/>
      <c r="R35" s="627"/>
      <c r="S35" s="627"/>
      <c r="T35" s="627"/>
      <c r="U35" s="25" t="str">
        <f>I35</f>
        <v>2015-16</v>
      </c>
    </row>
    <row r="36" spans="1:21" hidden="1" x14ac:dyDescent="0.25">
      <c r="A36" s="26"/>
      <c r="B36" s="26"/>
      <c r="C36" s="88" t="s">
        <v>93</v>
      </c>
      <c r="D36" s="88" t="s">
        <v>94</v>
      </c>
      <c r="E36" s="89" t="s">
        <v>8</v>
      </c>
      <c r="F36" s="670"/>
      <c r="G36" s="670"/>
      <c r="H36" s="670"/>
      <c r="I36" s="24" t="s">
        <v>27</v>
      </c>
      <c r="N36" s="28"/>
      <c r="O36" s="28"/>
      <c r="P36" s="29"/>
      <c r="Q36" s="29"/>
      <c r="R36" s="30"/>
      <c r="S36" s="30"/>
      <c r="T36" s="102"/>
      <c r="U36" s="25" t="s">
        <v>27</v>
      </c>
    </row>
    <row r="37" spans="1:21" ht="26.25" hidden="1" x14ac:dyDescent="0.25">
      <c r="A37" s="572" t="s">
        <v>50</v>
      </c>
      <c r="B37" s="572"/>
      <c r="C37" s="90" t="s">
        <v>2</v>
      </c>
      <c r="D37" s="90" t="s">
        <v>2</v>
      </c>
      <c r="E37" s="90" t="s">
        <v>2</v>
      </c>
      <c r="F37" s="671"/>
      <c r="G37" s="671"/>
      <c r="H37" s="671"/>
      <c r="I37" s="31" t="s">
        <v>395</v>
      </c>
      <c r="N37" s="639" t="s">
        <v>50</v>
      </c>
      <c r="O37" s="639"/>
      <c r="P37" s="640" t="s">
        <v>19</v>
      </c>
      <c r="Q37" s="640"/>
      <c r="R37" s="640"/>
      <c r="S37" s="640"/>
      <c r="T37" s="640"/>
      <c r="U37" s="19" t="str">
        <f>I37</f>
        <v>(WFTE x BSA x CWF x SDF)</v>
      </c>
    </row>
    <row r="38" spans="1:21" hidden="1" x14ac:dyDescent="0.25">
      <c r="A38" s="576" t="s">
        <v>45</v>
      </c>
      <c r="B38" s="576"/>
      <c r="C38" s="147">
        <v>0</v>
      </c>
      <c r="D38" s="147">
        <v>0</v>
      </c>
      <c r="E38" s="187">
        <f t="shared" ref="E38:E43" si="6">IF(D$44=0,C38*2,C38+D38)</f>
        <v>0</v>
      </c>
      <c r="F38" s="148"/>
      <c r="G38" s="148"/>
      <c r="H38" s="148"/>
      <c r="I38" s="111">
        <f>ROUND(ROUND(ROUND(E38*$C$8,4)*($H$8),2)*(MAX($H$9,1)),2)</f>
        <v>0</v>
      </c>
      <c r="N38" s="641" t="s">
        <v>45</v>
      </c>
      <c r="O38" s="641"/>
      <c r="P38" s="608">
        <f t="shared" ref="P38:P43" si="7">IF($H$133=1,E38,0)</f>
        <v>0</v>
      </c>
      <c r="Q38" s="608"/>
      <c r="R38" s="608"/>
      <c r="S38" s="608"/>
      <c r="T38" s="608"/>
      <c r="U38" s="98">
        <f>ROUND(ROUND(ROUND(P38*$C$8,4)*($H$8),2)*(MAX($H$9,1)),2)</f>
        <v>0</v>
      </c>
    </row>
    <row r="39" spans="1:21" hidden="1" x14ac:dyDescent="0.25">
      <c r="A39" s="578" t="s">
        <v>46</v>
      </c>
      <c r="B39" s="578"/>
      <c r="C39" s="150">
        <v>0</v>
      </c>
      <c r="D39" s="150">
        <v>0</v>
      </c>
      <c r="E39" s="116">
        <f t="shared" si="6"/>
        <v>0</v>
      </c>
      <c r="F39" s="151"/>
      <c r="G39" s="151"/>
      <c r="H39" s="151"/>
      <c r="I39" s="101">
        <f t="shared" ref="I39:I43" si="8">ROUND(ROUND(ROUND(E39*$C$8,4)*($H$8),2)*(MAX($H$9,1)),2)</f>
        <v>0</v>
      </c>
      <c r="N39" s="601" t="s">
        <v>46</v>
      </c>
      <c r="O39" s="601"/>
      <c r="P39" s="608">
        <f t="shared" si="7"/>
        <v>0</v>
      </c>
      <c r="Q39" s="608"/>
      <c r="R39" s="608"/>
      <c r="S39" s="608"/>
      <c r="T39" s="608"/>
      <c r="U39" s="98">
        <f t="shared" ref="U39:U43" si="9">ROUND(ROUND(ROUND(P39*$C$8,4)*($H$8),2)*(MAX($H$9,1)),2)</f>
        <v>0</v>
      </c>
    </row>
    <row r="40" spans="1:21" hidden="1" x14ac:dyDescent="0.25">
      <c r="A40" s="583" t="s">
        <v>47</v>
      </c>
      <c r="B40" s="583"/>
      <c r="C40" s="150">
        <v>0</v>
      </c>
      <c r="D40" s="150">
        <v>0</v>
      </c>
      <c r="E40" s="116">
        <f t="shared" si="6"/>
        <v>0</v>
      </c>
      <c r="F40" s="151"/>
      <c r="G40" s="151"/>
      <c r="H40" s="151"/>
      <c r="I40" s="101">
        <f t="shared" si="8"/>
        <v>0</v>
      </c>
      <c r="N40" s="646" t="s">
        <v>47</v>
      </c>
      <c r="O40" s="646"/>
      <c r="P40" s="608">
        <f t="shared" si="7"/>
        <v>0</v>
      </c>
      <c r="Q40" s="608"/>
      <c r="R40" s="608"/>
      <c r="S40" s="608"/>
      <c r="T40" s="608"/>
      <c r="U40" s="98">
        <f t="shared" si="9"/>
        <v>0</v>
      </c>
    </row>
    <row r="41" spans="1:21" hidden="1" x14ac:dyDescent="0.25">
      <c r="A41" s="578" t="s">
        <v>48</v>
      </c>
      <c r="B41" s="578"/>
      <c r="C41" s="150">
        <v>0</v>
      </c>
      <c r="D41" s="150">
        <v>0</v>
      </c>
      <c r="E41" s="116">
        <f t="shared" si="6"/>
        <v>0</v>
      </c>
      <c r="F41" s="151"/>
      <c r="G41" s="151"/>
      <c r="H41" s="151"/>
      <c r="I41" s="101">
        <f t="shared" si="8"/>
        <v>0</v>
      </c>
      <c r="N41" s="601" t="s">
        <v>48</v>
      </c>
      <c r="O41" s="601"/>
      <c r="P41" s="608">
        <f t="shared" si="7"/>
        <v>0</v>
      </c>
      <c r="Q41" s="608"/>
      <c r="R41" s="608"/>
      <c r="S41" s="608"/>
      <c r="T41" s="608"/>
      <c r="U41" s="98">
        <f t="shared" si="9"/>
        <v>0</v>
      </c>
    </row>
    <row r="42" spans="1:21" hidden="1" x14ac:dyDescent="0.25">
      <c r="A42" s="578" t="s">
        <v>49</v>
      </c>
      <c r="B42" s="578"/>
      <c r="C42" s="150">
        <v>0</v>
      </c>
      <c r="D42" s="150">
        <v>0</v>
      </c>
      <c r="E42" s="116">
        <f t="shared" si="6"/>
        <v>0</v>
      </c>
      <c r="F42" s="151"/>
      <c r="G42" s="151"/>
      <c r="H42" s="151"/>
      <c r="I42" s="101">
        <f t="shared" si="8"/>
        <v>0</v>
      </c>
      <c r="N42" s="601" t="s">
        <v>49</v>
      </c>
      <c r="O42" s="601"/>
      <c r="P42" s="608">
        <f t="shared" si="7"/>
        <v>0</v>
      </c>
      <c r="Q42" s="608"/>
      <c r="R42" s="608"/>
      <c r="S42" s="608"/>
      <c r="T42" s="608"/>
      <c r="U42" s="98">
        <f t="shared" si="9"/>
        <v>0</v>
      </c>
    </row>
    <row r="43" spans="1:21" hidden="1" x14ac:dyDescent="0.25">
      <c r="A43" s="578" t="s">
        <v>41</v>
      </c>
      <c r="B43" s="578"/>
      <c r="C43" s="149">
        <v>0</v>
      </c>
      <c r="D43" s="149">
        <v>0</v>
      </c>
      <c r="E43" s="154">
        <f t="shared" si="6"/>
        <v>0</v>
      </c>
      <c r="F43" s="151"/>
      <c r="G43" s="151"/>
      <c r="H43" s="151"/>
      <c r="I43" s="94">
        <f t="shared" si="8"/>
        <v>0</v>
      </c>
      <c r="N43" s="616" t="s">
        <v>41</v>
      </c>
      <c r="O43" s="616"/>
      <c r="P43" s="608">
        <f t="shared" si="7"/>
        <v>0</v>
      </c>
      <c r="Q43" s="608"/>
      <c r="R43" s="608"/>
      <c r="S43" s="608"/>
      <c r="T43" s="60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3" t="s">
        <v>43</v>
      </c>
      <c r="O44" s="603"/>
      <c r="P44" s="603"/>
      <c r="Q44" s="603"/>
      <c r="R44" s="33">
        <f>SUM(P38:R43)</f>
        <v>0</v>
      </c>
      <c r="S44" s="617" t="s">
        <v>51</v>
      </c>
      <c r="T44" s="617"/>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1051.7570000000001</v>
      </c>
      <c r="F46" s="34"/>
      <c r="G46" s="106"/>
      <c r="H46" s="107" t="s">
        <v>98</v>
      </c>
      <c r="I46" s="94">
        <f>SUM(I44,I30)</f>
        <v>5835656.870000001</v>
      </c>
      <c r="N46" s="603" t="s">
        <v>44</v>
      </c>
      <c r="O46" s="603"/>
      <c r="P46" s="603"/>
      <c r="Q46" s="603"/>
      <c r="R46" s="35">
        <f>R44+T30</f>
        <v>0</v>
      </c>
      <c r="S46" s="617" t="s">
        <v>42</v>
      </c>
      <c r="T46" s="617"/>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396</v>
      </c>
      <c r="B48" s="26"/>
      <c r="C48" s="26"/>
      <c r="D48" s="26"/>
      <c r="E48" s="26"/>
      <c r="F48" s="34"/>
      <c r="G48" s="27"/>
      <c r="H48" s="27"/>
      <c r="I48" s="101"/>
      <c r="N48" s="383" t="s">
        <v>396</v>
      </c>
      <c r="O48" s="28"/>
      <c r="P48" s="28"/>
      <c r="Q48" s="28"/>
      <c r="R48" s="35"/>
      <c r="S48" s="30"/>
      <c r="T48" s="30"/>
      <c r="U48" s="402"/>
    </row>
    <row r="49" spans="1:22" s="391" customFormat="1" ht="9" customHeight="1" x14ac:dyDescent="0.2">
      <c r="A49" s="481" t="s">
        <v>397</v>
      </c>
      <c r="F49" s="392"/>
      <c r="G49" s="393"/>
      <c r="H49" s="393"/>
      <c r="I49" s="394"/>
      <c r="N49" s="403" t="s">
        <v>397</v>
      </c>
      <c r="O49" s="395"/>
      <c r="P49" s="395"/>
      <c r="Q49" s="395"/>
      <c r="R49" s="396"/>
      <c r="S49" s="397"/>
      <c r="T49" s="397"/>
      <c r="U49" s="404"/>
    </row>
    <row r="50" spans="1:22" s="391" customFormat="1" ht="11.25" customHeight="1" x14ac:dyDescent="0.2">
      <c r="A50" s="483" t="s">
        <v>398</v>
      </c>
      <c r="F50" s="392"/>
      <c r="G50" s="393"/>
      <c r="H50" s="393"/>
      <c r="I50" s="394"/>
      <c r="N50" s="405" t="s">
        <v>398</v>
      </c>
      <c r="O50" s="395"/>
      <c r="P50" s="395"/>
      <c r="Q50" s="395"/>
      <c r="R50" s="396"/>
      <c r="S50" s="397"/>
      <c r="T50" s="397"/>
      <c r="U50" s="404"/>
    </row>
    <row r="51" spans="1:22" x14ac:dyDescent="0.25">
      <c r="A51" s="389"/>
      <c r="B51" s="399" t="s">
        <v>399</v>
      </c>
      <c r="C51" s="26"/>
      <c r="D51" s="26"/>
      <c r="E51" s="43" t="s">
        <v>400</v>
      </c>
      <c r="F51" s="400">
        <f>I46</f>
        <v>5835656.870000001</v>
      </c>
      <c r="G51" s="109" t="s">
        <v>6</v>
      </c>
      <c r="H51" s="401">
        <v>4.5199999999999997E-2</v>
      </c>
      <c r="I51" s="101">
        <f>ROUND(F51*H51,2)</f>
        <v>263771.69</v>
      </c>
      <c r="N51" s="406"/>
      <c r="O51" s="407" t="s">
        <v>399</v>
      </c>
      <c r="P51" s="28"/>
      <c r="Q51" s="44" t="s">
        <v>400</v>
      </c>
      <c r="R51" s="408">
        <f>U30</f>
        <v>0</v>
      </c>
      <c r="S51" s="409" t="s">
        <v>6</v>
      </c>
      <c r="T51" s="410">
        <v>4.5199999999999997E-2</v>
      </c>
      <c r="U51" s="402">
        <f>ROUND(R51*T51,2)</f>
        <v>0</v>
      </c>
    </row>
    <row r="52" spans="1:22" x14ac:dyDescent="0.25">
      <c r="A52" s="26"/>
      <c r="B52" s="81" t="s">
        <v>401</v>
      </c>
      <c r="C52" s="26"/>
      <c r="D52" s="26"/>
      <c r="E52" s="43" t="s">
        <v>400</v>
      </c>
      <c r="F52" s="400">
        <f>I46</f>
        <v>5835656.870000001</v>
      </c>
      <c r="G52" s="109" t="s">
        <v>6</v>
      </c>
      <c r="H52" s="401">
        <v>1.41E-2</v>
      </c>
      <c r="I52" s="101">
        <f>ROUND(F52*H52,2)</f>
        <v>82282.759999999995</v>
      </c>
      <c r="N52" s="28"/>
      <c r="O52" s="383" t="s">
        <v>401</v>
      </c>
      <c r="P52" s="28"/>
      <c r="Q52" s="44" t="s">
        <v>400</v>
      </c>
      <c r="R52" s="408">
        <f>U30</f>
        <v>0</v>
      </c>
      <c r="S52" s="409" t="s">
        <v>6</v>
      </c>
      <c r="T52" s="410">
        <v>1.41E-2</v>
      </c>
      <c r="U52" s="411">
        <f>ROUND(R52*T52,2)</f>
        <v>0</v>
      </c>
    </row>
    <row r="53" spans="1:22" x14ac:dyDescent="0.25">
      <c r="A53" s="26"/>
      <c r="B53" s="81" t="s">
        <v>402</v>
      </c>
      <c r="C53" s="26"/>
      <c r="D53" s="26"/>
      <c r="E53" s="43"/>
      <c r="F53" s="400"/>
      <c r="G53" s="109"/>
      <c r="H53" s="401"/>
      <c r="I53" s="97">
        <f>SUM(I51:I52)</f>
        <v>346054.45</v>
      </c>
      <c r="N53" s="28"/>
      <c r="O53" s="383" t="s">
        <v>402</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440</v>
      </c>
      <c r="G55" s="109" t="s">
        <v>441</v>
      </c>
      <c r="H55" s="454" t="s">
        <v>442</v>
      </c>
      <c r="I55" s="101"/>
      <c r="N55" s="448"/>
      <c r="O55" s="448"/>
      <c r="P55" s="464"/>
      <c r="Q55" s="465"/>
      <c r="R55" s="466"/>
      <c r="S55" s="468" t="s">
        <v>441</v>
      </c>
      <c r="T55" s="469" t="s">
        <v>442</v>
      </c>
      <c r="U55" s="467"/>
      <c r="V55" s="424"/>
    </row>
    <row r="56" spans="1:22" x14ac:dyDescent="0.25">
      <c r="A56" s="36" t="s">
        <v>443</v>
      </c>
      <c r="B56" s="36"/>
      <c r="C56" s="324" t="str">
        <f>'1461'!C56</f>
        <v>FTE</v>
      </c>
      <c r="D56" s="324" t="str">
        <f>'1461'!D56</f>
        <v>FTE</v>
      </c>
      <c r="E56" s="90" t="s">
        <v>2</v>
      </c>
      <c r="F56" s="439" t="s">
        <v>444</v>
      </c>
      <c r="G56" s="441" t="s">
        <v>444</v>
      </c>
      <c r="H56" s="455" t="s">
        <v>445</v>
      </c>
      <c r="I56" s="36"/>
      <c r="N56" s="459" t="s">
        <v>443</v>
      </c>
      <c r="O56" s="459"/>
      <c r="P56" s="620" t="s">
        <v>2</v>
      </c>
      <c r="Q56" s="620"/>
      <c r="R56" s="459" t="s">
        <v>449</v>
      </c>
      <c r="S56" s="450" t="s">
        <v>444</v>
      </c>
      <c r="T56" s="470" t="s">
        <v>445</v>
      </c>
      <c r="U56" s="459"/>
      <c r="V56" s="458"/>
    </row>
    <row r="57" spans="1:22" x14ac:dyDescent="0.25">
      <c r="A57" s="588" t="s">
        <v>447</v>
      </c>
      <c r="B57" s="588"/>
      <c r="C57" s="143">
        <v>0</v>
      </c>
      <c r="D57" s="143">
        <v>0</v>
      </c>
      <c r="E57" s="116">
        <f t="shared" ref="E57:E62" si="10">IF(D$72=0,C57*2,C57+D57)</f>
        <v>0</v>
      </c>
      <c r="F57" s="443" t="s">
        <v>439</v>
      </c>
      <c r="G57" s="443">
        <v>251</v>
      </c>
      <c r="H57" s="457">
        <f>'1461'!H57</f>
        <v>1047</v>
      </c>
      <c r="I57" s="101">
        <f>ROUND(E57*H57,2)</f>
        <v>0</v>
      </c>
      <c r="N57" s="618" t="s">
        <v>447</v>
      </c>
      <c r="O57" s="618"/>
      <c r="P57" s="621"/>
      <c r="Q57" s="621"/>
      <c r="R57" s="449" t="s">
        <v>439</v>
      </c>
      <c r="S57" s="449">
        <v>251</v>
      </c>
      <c r="T57" s="460">
        <f>H57</f>
        <v>1047</v>
      </c>
      <c r="U57" s="474">
        <f>ROUND(P57*T57,2)</f>
        <v>0</v>
      </c>
      <c r="V57" s="424"/>
    </row>
    <row r="58" spans="1:22" x14ac:dyDescent="0.25">
      <c r="A58" s="589"/>
      <c r="B58" s="589"/>
      <c r="C58" s="143">
        <v>0</v>
      </c>
      <c r="D58" s="143">
        <v>0</v>
      </c>
      <c r="E58" s="116">
        <f t="shared" si="10"/>
        <v>0</v>
      </c>
      <c r="F58" s="443" t="s">
        <v>439</v>
      </c>
      <c r="G58" s="443">
        <v>252</v>
      </c>
      <c r="H58" s="457">
        <f>'1461'!H58</f>
        <v>3380</v>
      </c>
      <c r="I58" s="101">
        <f t="shared" ref="I58:I65" si="11">ROUND(E58*H58,2)</f>
        <v>0</v>
      </c>
      <c r="N58" s="619"/>
      <c r="O58" s="619"/>
      <c r="P58" s="622"/>
      <c r="Q58" s="622"/>
      <c r="R58" s="449" t="s">
        <v>439</v>
      </c>
      <c r="S58" s="449">
        <v>252</v>
      </c>
      <c r="T58" s="460">
        <f t="shared" ref="T58:T65" si="12">H58</f>
        <v>3380</v>
      </c>
      <c r="U58" s="474">
        <f t="shared" ref="U58:U65" si="13">ROUND(P58*T58,2)</f>
        <v>0</v>
      </c>
      <c r="V58" s="424"/>
    </row>
    <row r="59" spans="1:22" x14ac:dyDescent="0.25">
      <c r="A59" s="589"/>
      <c r="B59" s="589"/>
      <c r="C59" s="143">
        <v>0</v>
      </c>
      <c r="D59" s="143">
        <v>0</v>
      </c>
      <c r="E59" s="116">
        <f t="shared" si="10"/>
        <v>0</v>
      </c>
      <c r="F59" s="443" t="s">
        <v>439</v>
      </c>
      <c r="G59" s="443">
        <v>253</v>
      </c>
      <c r="H59" s="457">
        <f>'1461'!H59</f>
        <v>6896</v>
      </c>
      <c r="I59" s="101">
        <f t="shared" si="11"/>
        <v>0</v>
      </c>
      <c r="N59" s="619"/>
      <c r="O59" s="619"/>
      <c r="P59" s="622"/>
      <c r="Q59" s="622"/>
      <c r="R59" s="449" t="s">
        <v>439</v>
      </c>
      <c r="S59" s="449">
        <v>253</v>
      </c>
      <c r="T59" s="460">
        <f t="shared" si="12"/>
        <v>6896</v>
      </c>
      <c r="U59" s="474">
        <f t="shared" si="13"/>
        <v>0</v>
      </c>
      <c r="V59" s="424"/>
    </row>
    <row r="60" spans="1:22" x14ac:dyDescent="0.25">
      <c r="A60" s="589"/>
      <c r="B60" s="589"/>
      <c r="C60" s="143">
        <v>0</v>
      </c>
      <c r="D60" s="143">
        <v>0</v>
      </c>
      <c r="E60" s="116">
        <f t="shared" si="10"/>
        <v>0</v>
      </c>
      <c r="F60" s="444" t="s">
        <v>13</v>
      </c>
      <c r="G60" s="443">
        <v>251</v>
      </c>
      <c r="H60" s="457">
        <f>'1461'!H60</f>
        <v>1173</v>
      </c>
      <c r="I60" s="101">
        <f t="shared" si="11"/>
        <v>0</v>
      </c>
      <c r="N60" s="619"/>
      <c r="O60" s="619"/>
      <c r="P60" s="622"/>
      <c r="Q60" s="622"/>
      <c r="R60" s="40" t="s">
        <v>13</v>
      </c>
      <c r="S60" s="449">
        <v>251</v>
      </c>
      <c r="T60" s="460">
        <f t="shared" si="12"/>
        <v>1173</v>
      </c>
      <c r="U60" s="474">
        <f t="shared" si="13"/>
        <v>0</v>
      </c>
      <c r="V60" s="424"/>
    </row>
    <row r="61" spans="1:22" x14ac:dyDescent="0.25">
      <c r="A61" s="589"/>
      <c r="B61" s="589"/>
      <c r="C61" s="143">
        <v>0</v>
      </c>
      <c r="D61" s="143">
        <v>0</v>
      </c>
      <c r="E61" s="116">
        <f t="shared" si="10"/>
        <v>0</v>
      </c>
      <c r="F61" s="444" t="s">
        <v>13</v>
      </c>
      <c r="G61" s="443">
        <v>252</v>
      </c>
      <c r="H61" s="457">
        <f>'1461'!H61</f>
        <v>3506</v>
      </c>
      <c r="I61" s="101">
        <f t="shared" si="11"/>
        <v>0</v>
      </c>
      <c r="N61" s="619"/>
      <c r="O61" s="619"/>
      <c r="P61" s="622"/>
      <c r="Q61" s="622"/>
      <c r="R61" s="40" t="s">
        <v>13</v>
      </c>
      <c r="S61" s="449">
        <v>252</v>
      </c>
      <c r="T61" s="460">
        <f t="shared" si="12"/>
        <v>3506</v>
      </c>
      <c r="U61" s="474">
        <f t="shared" si="13"/>
        <v>0</v>
      </c>
      <c r="V61" s="424"/>
    </row>
    <row r="62" spans="1:22" x14ac:dyDescent="0.25">
      <c r="A62" s="589"/>
      <c r="B62" s="589"/>
      <c r="C62" s="143">
        <v>0</v>
      </c>
      <c r="D62" s="143">
        <v>0</v>
      </c>
      <c r="E62" s="116">
        <f t="shared" si="10"/>
        <v>0</v>
      </c>
      <c r="F62" s="444" t="s">
        <v>13</v>
      </c>
      <c r="G62" s="443">
        <v>253</v>
      </c>
      <c r="H62" s="457">
        <f>'1461'!H62</f>
        <v>7023</v>
      </c>
      <c r="I62" s="101">
        <f t="shared" si="11"/>
        <v>0</v>
      </c>
      <c r="N62" s="619"/>
      <c r="O62" s="619"/>
      <c r="P62" s="622"/>
      <c r="Q62" s="622"/>
      <c r="R62" s="40" t="s">
        <v>13</v>
      </c>
      <c r="S62" s="449">
        <v>253</v>
      </c>
      <c r="T62" s="460">
        <f t="shared" si="12"/>
        <v>7023</v>
      </c>
      <c r="U62" s="474">
        <f t="shared" si="13"/>
        <v>0</v>
      </c>
      <c r="V62" s="424"/>
    </row>
    <row r="63" spans="1:22" x14ac:dyDescent="0.25">
      <c r="A63" s="589"/>
      <c r="B63" s="589"/>
      <c r="C63" s="143">
        <v>105.79</v>
      </c>
      <c r="D63" s="143">
        <v>103.9</v>
      </c>
      <c r="E63" s="116">
        <f>IF(D$66=0,C63*2,C63+D63)</f>
        <v>209.69</v>
      </c>
      <c r="F63" s="444" t="s">
        <v>14</v>
      </c>
      <c r="G63" s="443">
        <v>251</v>
      </c>
      <c r="H63" s="457">
        <f>'1461'!H63</f>
        <v>835</v>
      </c>
      <c r="I63" s="101">
        <f t="shared" si="11"/>
        <v>175091.15</v>
      </c>
      <c r="N63" s="619"/>
      <c r="O63" s="619"/>
      <c r="P63" s="622"/>
      <c r="Q63" s="622"/>
      <c r="R63" s="40" t="s">
        <v>14</v>
      </c>
      <c r="S63" s="449">
        <v>251</v>
      </c>
      <c r="T63" s="460">
        <f t="shared" si="12"/>
        <v>835</v>
      </c>
      <c r="U63" s="474">
        <f t="shared" si="13"/>
        <v>0</v>
      </c>
      <c r="V63" s="424"/>
    </row>
    <row r="64" spans="1:22" x14ac:dyDescent="0.25">
      <c r="A64" s="589"/>
      <c r="B64" s="589"/>
      <c r="C64" s="143">
        <v>8.01</v>
      </c>
      <c r="D64" s="143">
        <v>7.41</v>
      </c>
      <c r="E64" s="116">
        <f>IF(D$66=0,C64*2,C64+D64)</f>
        <v>15.42</v>
      </c>
      <c r="F64" s="444" t="s">
        <v>14</v>
      </c>
      <c r="G64" s="443">
        <v>252</v>
      </c>
      <c r="H64" s="457">
        <f>'1461'!H64</f>
        <v>3168</v>
      </c>
      <c r="I64" s="101">
        <f t="shared" si="11"/>
        <v>48850.559999999998</v>
      </c>
      <c r="N64" s="619"/>
      <c r="O64" s="619"/>
      <c r="P64" s="622"/>
      <c r="Q64" s="622"/>
      <c r="R64" s="40" t="s">
        <v>14</v>
      </c>
      <c r="S64" s="449">
        <v>252</v>
      </c>
      <c r="T64" s="460">
        <f t="shared" si="12"/>
        <v>3168</v>
      </c>
      <c r="U64" s="474">
        <f t="shared" si="13"/>
        <v>0</v>
      </c>
      <c r="V64" s="424"/>
    </row>
    <row r="65" spans="1:22" ht="16.5" thickBot="1" x14ac:dyDescent="0.3">
      <c r="A65" s="589"/>
      <c r="B65" s="589"/>
      <c r="C65" s="143">
        <v>0.5</v>
      </c>
      <c r="D65" s="143">
        <v>0</v>
      </c>
      <c r="E65" s="116">
        <f>IF(D$66=0,C65*2,C65+D65)</f>
        <v>0.5</v>
      </c>
      <c r="F65" s="444" t="s">
        <v>14</v>
      </c>
      <c r="G65" s="443">
        <v>253</v>
      </c>
      <c r="H65" s="457">
        <f>'1461'!H65</f>
        <v>6685</v>
      </c>
      <c r="I65" s="101">
        <f t="shared" si="11"/>
        <v>3342.5</v>
      </c>
      <c r="N65" s="619"/>
      <c r="O65" s="619"/>
      <c r="P65" s="623"/>
      <c r="Q65" s="623"/>
      <c r="R65" s="40" t="s">
        <v>14</v>
      </c>
      <c r="S65" s="449">
        <v>253</v>
      </c>
      <c r="T65" s="460">
        <f t="shared" si="12"/>
        <v>6685</v>
      </c>
      <c r="U65" s="475">
        <f t="shared" si="13"/>
        <v>0</v>
      </c>
      <c r="V65" s="424"/>
    </row>
    <row r="66" spans="1:22" ht="16.5" thickBot="1" x14ac:dyDescent="0.3">
      <c r="A66" s="440"/>
      <c r="C66" s="97">
        <f>SUM(C57:C65)</f>
        <v>114.30000000000001</v>
      </c>
      <c r="D66" s="97">
        <f>SUM(D57:D65)</f>
        <v>111.31</v>
      </c>
      <c r="E66" s="97">
        <f>SUM(E57:E65)</f>
        <v>225.60999999999999</v>
      </c>
      <c r="F66" s="590" t="s">
        <v>448</v>
      </c>
      <c r="G66" s="590"/>
      <c r="H66" s="590"/>
      <c r="I66" s="97">
        <f>SUM(I57:I65)</f>
        <v>227284.21</v>
      </c>
      <c r="N66" s="446"/>
      <c r="O66" s="51"/>
      <c r="P66" s="602">
        <f>SUM(P57:P65)</f>
        <v>0</v>
      </c>
      <c r="Q66" s="602"/>
      <c r="R66" s="603" t="s">
        <v>448</v>
      </c>
      <c r="S66" s="603"/>
      <c r="T66" s="603"/>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450</v>
      </c>
      <c r="N68" s="453" t="s">
        <v>458</v>
      </c>
      <c r="O68" s="51"/>
      <c r="P68" s="51"/>
      <c r="Q68" s="51"/>
      <c r="R68" s="51"/>
      <c r="S68" s="51"/>
      <c r="T68" s="51"/>
      <c r="U68" s="51"/>
    </row>
    <row r="69" spans="1:22" x14ac:dyDescent="0.25">
      <c r="A69" s="584" t="s">
        <v>403</v>
      </c>
      <c r="B69" s="578"/>
      <c r="C69" s="112">
        <f>E30</f>
        <v>1050.28</v>
      </c>
      <c r="D69" s="565" t="s">
        <v>414</v>
      </c>
      <c r="E69" s="565"/>
      <c r="F69" s="565"/>
      <c r="G69" s="565"/>
      <c r="H69" s="300">
        <f>'1461'!H69</f>
        <v>210228.91</v>
      </c>
      <c r="I69" s="113"/>
      <c r="N69" s="600" t="s">
        <v>407</v>
      </c>
      <c r="O69" s="601"/>
      <c r="P69" s="41">
        <f>P30</f>
        <v>0</v>
      </c>
      <c r="Q69" s="606" t="s">
        <v>409</v>
      </c>
      <c r="R69" s="607"/>
      <c r="S69" s="607"/>
      <c r="T69" s="604">
        <f>H69</f>
        <v>210228.91</v>
      </c>
      <c r="U69" s="604"/>
    </row>
    <row r="70" spans="1:22" x14ac:dyDescent="0.25">
      <c r="B70" s="69"/>
      <c r="G70" s="42" t="s">
        <v>12</v>
      </c>
      <c r="H70" s="114">
        <f>ROUND(C69/H69,6)</f>
        <v>4.9959999999999996E-3</v>
      </c>
      <c r="I70" s="115"/>
      <c r="N70" s="601"/>
      <c r="O70" s="601"/>
      <c r="P70" s="601"/>
      <c r="Q70" s="601"/>
      <c r="R70" s="601"/>
      <c r="S70" s="601"/>
      <c r="T70" s="605">
        <f>ROUND(P69/T69,6)</f>
        <v>0</v>
      </c>
      <c r="U70" s="605"/>
    </row>
    <row r="71" spans="1:22" x14ac:dyDescent="0.25">
      <c r="A71" s="442" t="s">
        <v>451</v>
      </c>
      <c r="N71" s="453" t="s">
        <v>459</v>
      </c>
      <c r="O71" s="51"/>
      <c r="P71" s="51"/>
      <c r="Q71" s="51"/>
      <c r="R71" s="51"/>
      <c r="S71" s="51"/>
      <c r="T71" s="51"/>
      <c r="U71" s="51"/>
    </row>
    <row r="72" spans="1:22" x14ac:dyDescent="0.25">
      <c r="A72" s="584" t="s">
        <v>404</v>
      </c>
      <c r="B72" s="578"/>
      <c r="C72" s="112">
        <f>H30</f>
        <v>1051.7570000000001</v>
      </c>
      <c r="D72" s="565" t="s">
        <v>415</v>
      </c>
      <c r="E72" s="565"/>
      <c r="F72" s="565"/>
      <c r="G72" s="565"/>
      <c r="H72" s="301">
        <f>'1461'!H72</f>
        <v>234891.44</v>
      </c>
      <c r="I72" s="116"/>
      <c r="N72" s="600" t="s">
        <v>408</v>
      </c>
      <c r="O72" s="601"/>
      <c r="P72" s="41">
        <f>T30</f>
        <v>0</v>
      </c>
      <c r="Q72" s="606" t="s">
        <v>410</v>
      </c>
      <c r="R72" s="607"/>
      <c r="S72" s="607"/>
      <c r="T72" s="604">
        <f>H72</f>
        <v>234891.44</v>
      </c>
      <c r="U72" s="604"/>
    </row>
    <row r="73" spans="1:22" x14ac:dyDescent="0.25">
      <c r="G73" s="42" t="s">
        <v>12</v>
      </c>
      <c r="H73" s="114">
        <f>ROUND(C72/H72,6)</f>
        <v>4.4780000000000002E-3</v>
      </c>
      <c r="I73" s="114"/>
      <c r="N73" s="601"/>
      <c r="O73" s="601"/>
      <c r="P73" s="601"/>
      <c r="Q73" s="601"/>
      <c r="R73" s="601"/>
      <c r="S73" s="601"/>
      <c r="T73" s="605">
        <f>ROUND(P72/T72,6)</f>
        <v>0</v>
      </c>
      <c r="U73" s="605"/>
    </row>
    <row r="74" spans="1:22" x14ac:dyDescent="0.25">
      <c r="A74" s="417" t="s">
        <v>452</v>
      </c>
      <c r="B74" s="414"/>
      <c r="C74" s="414"/>
      <c r="D74" s="414"/>
      <c r="E74" s="414"/>
      <c r="F74" s="414"/>
      <c r="G74" s="414"/>
      <c r="H74" s="414"/>
      <c r="I74" s="414"/>
      <c r="N74" s="416" t="s">
        <v>460</v>
      </c>
      <c r="O74" s="415"/>
      <c r="P74" s="415"/>
      <c r="Q74" s="415"/>
      <c r="R74" s="415"/>
      <c r="S74" s="415"/>
      <c r="T74" s="415"/>
      <c r="U74" s="415"/>
      <c r="V74" s="414"/>
    </row>
    <row r="75" spans="1:22" x14ac:dyDescent="0.25">
      <c r="A75" s="584" t="s">
        <v>405</v>
      </c>
      <c r="B75" s="578"/>
      <c r="C75" s="112">
        <f>E30</f>
        <v>1050.28</v>
      </c>
      <c r="D75" s="557" t="s">
        <v>416</v>
      </c>
      <c r="E75" s="557"/>
      <c r="F75" s="557"/>
      <c r="G75" s="557"/>
      <c r="H75" s="300">
        <f>'1461'!H75</f>
        <v>187665.41</v>
      </c>
      <c r="I75" s="113"/>
      <c r="N75" s="600" t="s">
        <v>406</v>
      </c>
      <c r="O75" s="601"/>
      <c r="P75" s="41">
        <f>P30</f>
        <v>0</v>
      </c>
      <c r="Q75" s="636" t="s">
        <v>411</v>
      </c>
      <c r="R75" s="637"/>
      <c r="S75" s="637"/>
      <c r="T75" s="604">
        <f>H75</f>
        <v>187665.41</v>
      </c>
      <c r="U75" s="604"/>
    </row>
    <row r="76" spans="1:22" x14ac:dyDescent="0.25">
      <c r="B76" s="69"/>
      <c r="G76" s="42" t="s">
        <v>12</v>
      </c>
      <c r="H76" s="114">
        <f>ROUND(C75/H75,6)</f>
        <v>5.5970000000000004E-3</v>
      </c>
      <c r="I76" s="115"/>
      <c r="N76" s="601"/>
      <c r="O76" s="601"/>
      <c r="P76" s="601"/>
      <c r="Q76" s="601"/>
      <c r="R76" s="601"/>
      <c r="S76" s="601"/>
      <c r="T76" s="605">
        <f>ROUND(P75/T75,6)</f>
        <v>0</v>
      </c>
      <c r="U76" s="605"/>
    </row>
    <row r="77" spans="1:22" x14ac:dyDescent="0.25">
      <c r="A77" s="417" t="s">
        <v>453</v>
      </c>
      <c r="B77" s="414"/>
      <c r="C77" s="414"/>
      <c r="D77" s="414"/>
      <c r="E77" s="414"/>
      <c r="F77" s="414"/>
      <c r="G77" s="414"/>
      <c r="H77" s="414"/>
      <c r="I77" s="414"/>
      <c r="N77" s="416" t="s">
        <v>461</v>
      </c>
      <c r="O77" s="415"/>
      <c r="P77" s="415"/>
      <c r="Q77" s="415"/>
      <c r="R77" s="415"/>
      <c r="S77" s="415"/>
      <c r="T77" s="415"/>
      <c r="U77" s="415"/>
      <c r="V77" s="414"/>
    </row>
    <row r="78" spans="1:22" x14ac:dyDescent="0.25">
      <c r="A78" s="584" t="s">
        <v>405</v>
      </c>
      <c r="B78" s="578"/>
      <c r="C78" s="112">
        <f>E30</f>
        <v>1050.28</v>
      </c>
      <c r="D78" s="585" t="s">
        <v>417</v>
      </c>
      <c r="E78" s="585"/>
      <c r="F78" s="585"/>
      <c r="G78" s="585"/>
      <c r="H78" s="300">
        <f>'1461'!H78</f>
        <v>209892.26</v>
      </c>
      <c r="I78" s="113"/>
      <c r="N78" s="600" t="s">
        <v>406</v>
      </c>
      <c r="O78" s="601"/>
      <c r="P78" s="41">
        <f>P30</f>
        <v>0</v>
      </c>
      <c r="Q78" s="634" t="s">
        <v>412</v>
      </c>
      <c r="R78" s="635"/>
      <c r="S78" s="635"/>
      <c r="T78" s="604">
        <f>H78</f>
        <v>209892.26</v>
      </c>
      <c r="U78" s="604"/>
    </row>
    <row r="79" spans="1:22" x14ac:dyDescent="0.25">
      <c r="B79" s="69"/>
      <c r="G79" s="42" t="s">
        <v>12</v>
      </c>
      <c r="H79" s="114">
        <f>ROUND(C78/H78,6)</f>
        <v>5.0039999999999998E-3</v>
      </c>
      <c r="I79" s="115"/>
      <c r="N79" s="601"/>
      <c r="O79" s="601"/>
      <c r="P79" s="601"/>
      <c r="Q79" s="601"/>
      <c r="R79" s="601"/>
      <c r="S79" s="601"/>
      <c r="T79" s="605">
        <f>ROUND(P78/T78,6)</f>
        <v>0</v>
      </c>
      <c r="U79" s="605"/>
    </row>
    <row r="80" spans="1:22" x14ac:dyDescent="0.25">
      <c r="A80" s="417" t="s">
        <v>454</v>
      </c>
      <c r="B80" s="414"/>
      <c r="C80" s="414"/>
      <c r="D80" s="414"/>
      <c r="E80" s="414"/>
      <c r="F80" s="414"/>
      <c r="G80" s="414"/>
      <c r="H80" s="414"/>
      <c r="I80" s="414"/>
      <c r="N80" s="416" t="s">
        <v>462</v>
      </c>
      <c r="O80" s="415"/>
      <c r="P80" s="415"/>
      <c r="Q80" s="415"/>
      <c r="R80" s="415"/>
      <c r="S80" s="415"/>
      <c r="T80" s="415"/>
      <c r="U80" s="415"/>
      <c r="V80" s="414"/>
    </row>
    <row r="81" spans="1:21" x14ac:dyDescent="0.25">
      <c r="A81" s="584" t="s">
        <v>413</v>
      </c>
      <c r="B81" s="578"/>
      <c r="C81" s="112">
        <f>E30</f>
        <v>1050.28</v>
      </c>
      <c r="D81" s="557" t="s">
        <v>418</v>
      </c>
      <c r="E81" s="557"/>
      <c r="F81" s="557"/>
      <c r="G81" s="557"/>
      <c r="H81" s="300">
        <f>'1461'!H81</f>
        <v>187328.76</v>
      </c>
      <c r="I81" s="113"/>
      <c r="N81" s="600" t="s">
        <v>419</v>
      </c>
      <c r="O81" s="601"/>
      <c r="P81" s="41">
        <f>P30</f>
        <v>0</v>
      </c>
      <c r="Q81" s="636" t="s">
        <v>420</v>
      </c>
      <c r="R81" s="637"/>
      <c r="S81" s="637"/>
      <c r="T81" s="604">
        <f>H81</f>
        <v>187328.76</v>
      </c>
      <c r="U81" s="604"/>
    </row>
    <row r="82" spans="1:21" x14ac:dyDescent="0.25">
      <c r="B82" s="69"/>
      <c r="G82" s="42" t="s">
        <v>12</v>
      </c>
      <c r="H82" s="114">
        <f>ROUND(C81/H81,6)</f>
        <v>5.607E-3</v>
      </c>
      <c r="I82" s="115"/>
      <c r="N82" s="601"/>
      <c r="O82" s="601"/>
      <c r="P82" s="601"/>
      <c r="Q82" s="601"/>
      <c r="R82" s="601"/>
      <c r="S82" s="601"/>
      <c r="T82" s="605">
        <f>ROUND(P81/T81,6)</f>
        <v>0</v>
      </c>
      <c r="U82" s="605"/>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455</v>
      </c>
      <c r="D85" s="69"/>
      <c r="E85" s="43" t="s">
        <v>299</v>
      </c>
      <c r="F85" s="302">
        <f>'1461'!F85</f>
        <v>46163704</v>
      </c>
      <c r="G85" s="37" t="s">
        <v>6</v>
      </c>
      <c r="H85" s="422">
        <f>H79</f>
        <v>5.0039999999999998E-3</v>
      </c>
      <c r="I85" s="101">
        <f>ROUND(F85*H85,2)</f>
        <v>231003.17</v>
      </c>
      <c r="N85" s="453" t="s">
        <v>455</v>
      </c>
      <c r="O85" s="51"/>
      <c r="P85" s="51"/>
      <c r="Q85" s="44"/>
      <c r="R85" s="419">
        <f>F85</f>
        <v>46163704</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87" t="s">
        <v>71</v>
      </c>
      <c r="B87" s="578"/>
      <c r="C87" s="578"/>
      <c r="D87" s="69"/>
      <c r="E87" s="43"/>
      <c r="F87" s="117"/>
      <c r="G87" s="37"/>
      <c r="H87" s="422"/>
      <c r="I87" s="101"/>
      <c r="N87" s="600" t="s">
        <v>463</v>
      </c>
      <c r="O87" s="601"/>
      <c r="P87" s="601"/>
      <c r="Q87" s="51"/>
      <c r="R87" s="420"/>
      <c r="S87" s="51"/>
      <c r="T87" s="38"/>
      <c r="U87" s="478"/>
    </row>
    <row r="88" spans="1:21" x14ac:dyDescent="0.25">
      <c r="A88" s="587" t="s">
        <v>99</v>
      </c>
      <c r="B88" s="578"/>
      <c r="C88" s="578"/>
      <c r="D88" s="69"/>
      <c r="E88" s="43" t="s">
        <v>3</v>
      </c>
      <c r="F88" s="302">
        <f>'1461'!F88</f>
        <v>0</v>
      </c>
      <c r="G88" s="37" t="s">
        <v>6</v>
      </c>
      <c r="H88" s="422">
        <f>H70</f>
        <v>4.9959999999999996E-3</v>
      </c>
      <c r="I88" s="101">
        <f>ROUND(F88*H88,2)</f>
        <v>0</v>
      </c>
      <c r="N88" s="638" t="s">
        <v>99</v>
      </c>
      <c r="O88" s="601"/>
      <c r="P88" s="601"/>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456</v>
      </c>
      <c r="D90" s="69"/>
      <c r="E90" s="43" t="s">
        <v>421</v>
      </c>
      <c r="F90" s="302">
        <f>'1461'!F90</f>
        <v>19042026</v>
      </c>
      <c r="G90" s="37" t="s">
        <v>6</v>
      </c>
      <c r="H90" s="422">
        <f>H82</f>
        <v>5.607E-3</v>
      </c>
      <c r="I90" s="101">
        <f>ROUND(F90*H90,2)</f>
        <v>106768.64</v>
      </c>
      <c r="N90" s="453" t="s">
        <v>456</v>
      </c>
      <c r="O90" s="51"/>
      <c r="P90" s="51"/>
      <c r="Q90" s="44"/>
      <c r="R90" s="419">
        <f>F90</f>
        <v>19042026</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457</v>
      </c>
      <c r="D92" s="69"/>
      <c r="E92" s="43" t="s">
        <v>3</v>
      </c>
      <c r="F92" s="302">
        <f>'1461'!F92</f>
        <v>11441151</v>
      </c>
      <c r="G92" s="37" t="s">
        <v>6</v>
      </c>
      <c r="H92" s="422">
        <f>H76</f>
        <v>5.5970000000000004E-3</v>
      </c>
      <c r="I92" s="101">
        <f t="shared" ref="I92:I96" si="14">ROUND(F92*H92,2)</f>
        <v>64036.12</v>
      </c>
      <c r="N92" s="453" t="s">
        <v>457</v>
      </c>
      <c r="O92" s="51"/>
      <c r="P92" s="51"/>
      <c r="Q92" s="44"/>
      <c r="R92" s="419">
        <f t="shared" ref="R92:R96" si="15">F92</f>
        <v>11441151</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84" t="s">
        <v>422</v>
      </c>
      <c r="B94" s="578"/>
      <c r="C94" s="578"/>
      <c r="D94" s="69"/>
      <c r="E94" s="43" t="s">
        <v>4</v>
      </c>
      <c r="F94" s="302">
        <f>'1461'!F94</f>
        <v>247265670</v>
      </c>
      <c r="G94" s="37" t="s">
        <v>6</v>
      </c>
      <c r="H94" s="422">
        <f>H73</f>
        <v>4.4780000000000002E-3</v>
      </c>
      <c r="I94" s="101">
        <f t="shared" si="14"/>
        <v>1107255.67</v>
      </c>
      <c r="N94" s="601" t="s">
        <v>422</v>
      </c>
      <c r="O94" s="601"/>
      <c r="P94" s="601"/>
      <c r="Q94" s="44"/>
      <c r="R94" s="419">
        <f t="shared" si="15"/>
        <v>247265670</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4" t="s">
        <v>423</v>
      </c>
      <c r="B96" s="578"/>
      <c r="C96" s="578"/>
      <c r="D96" s="69"/>
      <c r="E96" s="43" t="s">
        <v>4</v>
      </c>
      <c r="F96" s="302">
        <f>'1461'!F96</f>
        <v>0</v>
      </c>
      <c r="G96" s="37" t="s">
        <v>6</v>
      </c>
      <c r="H96" s="422">
        <f>H73</f>
        <v>4.4780000000000002E-3</v>
      </c>
      <c r="I96" s="101">
        <f t="shared" si="14"/>
        <v>0</v>
      </c>
      <c r="N96" s="600" t="s">
        <v>423</v>
      </c>
      <c r="O96" s="601"/>
      <c r="P96" s="601"/>
      <c r="Q96" s="44"/>
      <c r="R96" s="419">
        <f t="shared" si="15"/>
        <v>0</v>
      </c>
      <c r="S96" s="38" t="s">
        <v>6</v>
      </c>
      <c r="T96" s="421">
        <f>T73</f>
        <v>0</v>
      </c>
      <c r="U96" s="473">
        <f>ROUND(R96*T96,2)</f>
        <v>0</v>
      </c>
    </row>
    <row r="97" spans="1:21" x14ac:dyDescent="0.25">
      <c r="A97" s="530"/>
      <c r="B97" s="529"/>
      <c r="C97" s="529"/>
      <c r="D97" s="529"/>
      <c r="E97" s="527"/>
      <c r="F97" s="117"/>
      <c r="G97" s="528"/>
      <c r="H97" s="422"/>
      <c r="I97" s="101"/>
      <c r="N97" s="533"/>
      <c r="O97" s="532"/>
      <c r="P97" s="532"/>
      <c r="Q97" s="44"/>
      <c r="R97" s="535"/>
      <c r="S97" s="534"/>
      <c r="T97" s="421"/>
      <c r="U97" s="477"/>
    </row>
    <row r="98" spans="1:21" x14ac:dyDescent="0.25">
      <c r="A98" s="530" t="s">
        <v>497</v>
      </c>
      <c r="B98" s="529"/>
      <c r="C98" s="529"/>
      <c r="D98" s="529"/>
      <c r="E98" s="527" t="s">
        <v>3</v>
      </c>
      <c r="F98" s="290">
        <v>0</v>
      </c>
      <c r="G98" s="528" t="s">
        <v>6</v>
      </c>
      <c r="H98" s="422">
        <f>H70</f>
        <v>4.9959999999999996E-3</v>
      </c>
      <c r="I98" s="101">
        <f t="shared" ref="I98" si="16">ROUND(F98*H98,2)</f>
        <v>0</v>
      </c>
      <c r="N98" s="533" t="s">
        <v>497</v>
      </c>
      <c r="O98" s="533"/>
      <c r="P98" s="533"/>
      <c r="Q98" s="44"/>
      <c r="R98" s="536">
        <f>F98</f>
        <v>0</v>
      </c>
      <c r="S98" s="534" t="s">
        <v>6</v>
      </c>
      <c r="T98" s="421">
        <f>T70</f>
        <v>0</v>
      </c>
      <c r="U98" s="473">
        <f>ROUND(R98*T98,2)</f>
        <v>0</v>
      </c>
    </row>
    <row r="99" spans="1:21" x14ac:dyDescent="0.25">
      <c r="A99" s="530"/>
      <c r="B99" s="529"/>
      <c r="C99" s="529"/>
      <c r="D99" s="529"/>
      <c r="E99" s="527"/>
      <c r="F99" s="276"/>
      <c r="G99" s="528"/>
      <c r="H99" s="422"/>
      <c r="I99" s="101"/>
      <c r="N99" s="533"/>
      <c r="O99" s="533"/>
      <c r="P99" s="533"/>
      <c r="Q99" s="44"/>
      <c r="R99" s="535"/>
      <c r="S99" s="534"/>
      <c r="T99" s="421"/>
      <c r="U99" s="477"/>
    </row>
    <row r="100" spans="1:21" x14ac:dyDescent="0.25">
      <c r="A100" s="530"/>
      <c r="B100" s="529"/>
      <c r="C100" s="529"/>
      <c r="D100" s="529"/>
      <c r="E100" s="527"/>
      <c r="F100" s="276"/>
      <c r="G100" s="528"/>
      <c r="H100" s="422"/>
      <c r="I100" s="101"/>
      <c r="N100" s="533"/>
      <c r="O100" s="533"/>
      <c r="P100" s="533"/>
      <c r="Q100" s="44"/>
      <c r="R100" s="420"/>
      <c r="S100" s="534"/>
      <c r="T100" s="421"/>
      <c r="U100" s="103"/>
    </row>
    <row r="101" spans="1:21" x14ac:dyDescent="0.25">
      <c r="A101" s="399" t="s">
        <v>498</v>
      </c>
      <c r="N101" s="407" t="s">
        <v>498</v>
      </c>
      <c r="O101" s="51"/>
      <c r="P101" s="51"/>
      <c r="Q101" s="51"/>
      <c r="R101" s="51"/>
      <c r="S101" s="51"/>
      <c r="T101" s="51"/>
      <c r="U101" s="51"/>
    </row>
    <row r="102" spans="1:21" x14ac:dyDescent="0.25">
      <c r="B102" s="69"/>
      <c r="C102" s="563" t="s">
        <v>60</v>
      </c>
      <c r="D102" s="563"/>
      <c r="E102" s="69"/>
      <c r="F102" s="39" t="s">
        <v>28</v>
      </c>
      <c r="G102" s="69"/>
      <c r="H102" s="69"/>
      <c r="I102" s="69"/>
      <c r="N102" s="45"/>
      <c r="O102" s="45"/>
      <c r="P102" s="45"/>
      <c r="Q102" s="45"/>
      <c r="R102" s="45"/>
      <c r="S102" s="45"/>
      <c r="T102" s="45"/>
      <c r="U102" s="45"/>
    </row>
    <row r="103" spans="1:21" x14ac:dyDescent="0.25">
      <c r="A103" s="3"/>
      <c r="B103" s="118"/>
      <c r="C103" s="564" t="s">
        <v>101</v>
      </c>
      <c r="D103" s="564"/>
      <c r="E103" s="423" t="s">
        <v>426</v>
      </c>
      <c r="F103" s="120" t="s">
        <v>106</v>
      </c>
      <c r="G103" s="121"/>
      <c r="H103" s="121"/>
      <c r="I103" s="121"/>
      <c r="N103" s="631" t="s">
        <v>35</v>
      </c>
      <c r="O103" s="631"/>
      <c r="P103" s="672" t="s">
        <v>428</v>
      </c>
      <c r="Q103" s="633"/>
      <c r="R103" s="604" t="s">
        <v>31</v>
      </c>
      <c r="S103" s="604"/>
      <c r="T103" s="604"/>
      <c r="U103" s="604"/>
    </row>
    <row r="104" spans="1:21" x14ac:dyDescent="0.25">
      <c r="A104" s="26"/>
      <c r="B104" s="52" t="s">
        <v>105</v>
      </c>
      <c r="C104" s="596">
        <f>H14+H15+H20+H23+H26</f>
        <v>0</v>
      </c>
      <c r="D104" s="596"/>
      <c r="E104" s="46">
        <f>H8</f>
        <v>1.0407999999999999</v>
      </c>
      <c r="F104" s="303">
        <f>'1461'!F104</f>
        <v>950.92</v>
      </c>
      <c r="G104" s="39" t="s">
        <v>12</v>
      </c>
      <c r="H104" s="101">
        <f>ROUND(C104*E104*F104,2)</f>
        <v>0</v>
      </c>
      <c r="I104" s="104"/>
      <c r="N104" s="28" t="s">
        <v>17</v>
      </c>
      <c r="O104" s="47">
        <f>T14+T15+T20+T23+T26</f>
        <v>0</v>
      </c>
      <c r="P104" s="611">
        <f>T8</f>
        <v>1.0407999999999999</v>
      </c>
      <c r="Q104" s="611"/>
      <c r="R104" s="48">
        <f>F104</f>
        <v>950.92</v>
      </c>
      <c r="S104" s="40" t="s">
        <v>12</v>
      </c>
      <c r="T104" s="479">
        <f>ROUND(O104*P104*R104,2)</f>
        <v>0</v>
      </c>
      <c r="U104" s="102"/>
    </row>
    <row r="105" spans="1:21" x14ac:dyDescent="0.25">
      <c r="A105" s="49"/>
      <c r="B105" s="49" t="s">
        <v>104</v>
      </c>
      <c r="C105" s="596">
        <f>H16+H17+H21+H24+H27</f>
        <v>0</v>
      </c>
      <c r="D105" s="596"/>
      <c r="E105" s="46">
        <f>H8</f>
        <v>1.0407999999999999</v>
      </c>
      <c r="F105" s="303">
        <f>'1461'!F105</f>
        <v>907.92</v>
      </c>
      <c r="G105" s="39" t="s">
        <v>12</v>
      </c>
      <c r="H105" s="101">
        <f>ROUND(C105*E105*F105,2)</f>
        <v>0</v>
      </c>
      <c r="N105" s="50" t="s">
        <v>13</v>
      </c>
      <c r="O105" s="47">
        <f>T16+T17+T21+T24+T27</f>
        <v>0</v>
      </c>
      <c r="P105" s="611">
        <f>T8</f>
        <v>1.0407999999999999</v>
      </c>
      <c r="Q105" s="611"/>
      <c r="R105" s="48">
        <f>F105</f>
        <v>907.92</v>
      </c>
      <c r="S105" s="40" t="s">
        <v>12</v>
      </c>
      <c r="T105" s="479">
        <f>ROUND(O105*P105*R105,2)</f>
        <v>0</v>
      </c>
      <c r="U105" s="51"/>
    </row>
    <row r="106" spans="1:21" ht="16.5" thickBot="1" x14ac:dyDescent="0.3">
      <c r="A106" s="52"/>
      <c r="B106" s="52" t="s">
        <v>103</v>
      </c>
      <c r="C106" s="596">
        <f>H18+H19+H22+H25+H28+H29</f>
        <v>1051.7570000000001</v>
      </c>
      <c r="D106" s="596"/>
      <c r="E106" s="46">
        <f>H8</f>
        <v>1.0407999999999999</v>
      </c>
      <c r="F106" s="303">
        <f>'1461'!F106</f>
        <v>910.12</v>
      </c>
      <c r="G106" s="39" t="s">
        <v>12</v>
      </c>
      <c r="H106" s="94">
        <f>ROUND(C106*E106*F106,2)</f>
        <v>996279.86</v>
      </c>
      <c r="N106" s="53" t="s">
        <v>14</v>
      </c>
      <c r="O106" s="54">
        <f>T18+T19+T22+T25+T28+T29</f>
        <v>0</v>
      </c>
      <c r="P106" s="611">
        <f>T8</f>
        <v>1.0407999999999999</v>
      </c>
      <c r="Q106" s="611"/>
      <c r="R106" s="48">
        <f>F106</f>
        <v>910.12</v>
      </c>
      <c r="S106" s="40" t="s">
        <v>12</v>
      </c>
      <c r="T106" s="479">
        <f>ROUND(O106*P106*R106,2)</f>
        <v>0</v>
      </c>
      <c r="U106" s="51"/>
    </row>
    <row r="107" spans="1:21" ht="16.5" thickBot="1" x14ac:dyDescent="0.3">
      <c r="A107" s="55"/>
      <c r="B107" s="122" t="s">
        <v>102</v>
      </c>
      <c r="C107" s="586">
        <f>SUM(C104:C106)</f>
        <v>1051.7570000000001</v>
      </c>
      <c r="D107" s="586"/>
      <c r="E107" s="123"/>
      <c r="F107" s="123"/>
      <c r="G107" s="123"/>
      <c r="H107" s="124" t="s">
        <v>100</v>
      </c>
      <c r="I107" s="101">
        <f>IF(A1=75,0,H106+H105+H104)</f>
        <v>996279.86</v>
      </c>
      <c r="N107" s="56" t="s">
        <v>89</v>
      </c>
      <c r="O107" s="57">
        <f>SUM(O104:O106)</f>
        <v>0</v>
      </c>
      <c r="P107" s="612" t="s">
        <v>16</v>
      </c>
      <c r="Q107" s="613"/>
      <c r="R107" s="613"/>
      <c r="S107" s="613"/>
      <c r="T107" s="613"/>
      <c r="U107" s="473">
        <f>IF(N1=75,0,T106+T105+T104)</f>
        <v>0</v>
      </c>
    </row>
    <row r="108" spans="1:21" ht="16.5" thickTop="1" x14ac:dyDescent="0.25">
      <c r="A108" s="555" t="s">
        <v>65</v>
      </c>
      <c r="B108" s="555"/>
      <c r="C108" s="555"/>
      <c r="D108" s="555"/>
      <c r="E108" s="555"/>
      <c r="F108" s="555"/>
      <c r="G108" s="555"/>
      <c r="H108" s="555"/>
      <c r="I108" s="555"/>
      <c r="N108" s="614" t="s">
        <v>65</v>
      </c>
      <c r="O108" s="614"/>
      <c r="P108" s="614"/>
      <c r="Q108" s="614"/>
      <c r="R108" s="614"/>
      <c r="S108" s="614"/>
      <c r="T108" s="614"/>
      <c r="U108" s="614"/>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0" t="s">
        <v>499</v>
      </c>
      <c r="C110" s="8"/>
      <c r="D110" s="8"/>
      <c r="E110" s="43" t="s">
        <v>32</v>
      </c>
      <c r="F110" s="556"/>
      <c r="G110" s="556"/>
      <c r="H110" s="556"/>
      <c r="I110" s="556"/>
      <c r="N110" s="600" t="s">
        <v>499</v>
      </c>
      <c r="O110" s="601"/>
      <c r="P110" s="601"/>
      <c r="Q110" s="615"/>
      <c r="R110" s="615"/>
      <c r="S110" s="615"/>
      <c r="T110" s="615"/>
      <c r="U110" s="103"/>
    </row>
    <row r="111" spans="1:21" x14ac:dyDescent="0.25">
      <c r="B111" s="69"/>
      <c r="C111" s="88" t="s">
        <v>494</v>
      </c>
      <c r="D111" s="333" t="s">
        <v>495</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57" t="s">
        <v>381</v>
      </c>
      <c r="B113" s="558"/>
      <c r="C113" s="143">
        <v>710</v>
      </c>
      <c r="D113" s="143">
        <v>686</v>
      </c>
      <c r="E113" s="116">
        <f>(C113+D113)/2</f>
        <v>698</v>
      </c>
      <c r="F113" s="126" t="s">
        <v>30</v>
      </c>
      <c r="G113" s="304">
        <f>'1461'!G113</f>
        <v>576</v>
      </c>
      <c r="I113" s="101">
        <f>ROUND(G113*E113,2)</f>
        <v>402048</v>
      </c>
      <c r="N113" s="630" t="s">
        <v>52</v>
      </c>
      <c r="O113" s="630"/>
      <c r="P113" s="610">
        <f>IF(H133=1,E113,0)</f>
        <v>0</v>
      </c>
      <c r="Q113" s="610"/>
      <c r="R113" s="610"/>
      <c r="S113" s="83" t="s">
        <v>30</v>
      </c>
      <c r="T113" s="58">
        <f>G113</f>
        <v>576</v>
      </c>
      <c r="U113" s="473">
        <f>ROUND(T113*P113,2)</f>
        <v>0</v>
      </c>
    </row>
    <row r="114" spans="1:21" x14ac:dyDescent="0.25">
      <c r="A114" s="557" t="s">
        <v>382</v>
      </c>
      <c r="B114" s="558"/>
      <c r="C114" s="143">
        <v>0</v>
      </c>
      <c r="D114" s="143">
        <v>0</v>
      </c>
      <c r="E114" s="116">
        <f>(C114+D114)/2</f>
        <v>0</v>
      </c>
      <c r="F114" s="126" t="s">
        <v>30</v>
      </c>
      <c r="G114" s="304">
        <f>'1461'!G114</f>
        <v>1823</v>
      </c>
      <c r="I114" s="101">
        <f>ROUND(G114*E114,2)</f>
        <v>0</v>
      </c>
      <c r="N114" s="630" t="s">
        <v>64</v>
      </c>
      <c r="O114" s="630"/>
      <c r="P114" s="608"/>
      <c r="Q114" s="608"/>
      <c r="R114" s="608"/>
      <c r="S114" s="83" t="s">
        <v>30</v>
      </c>
      <c r="T114" s="58">
        <f>G114</f>
        <v>1823</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4" t="s">
        <v>430</v>
      </c>
      <c r="B117" s="578"/>
      <c r="C117" s="578"/>
      <c r="D117" s="69"/>
      <c r="E117" s="39" t="s">
        <v>300</v>
      </c>
      <c r="F117" s="563"/>
      <c r="G117" s="563"/>
      <c r="H117" s="563"/>
      <c r="I117" s="563"/>
      <c r="N117" s="600" t="s">
        <v>431</v>
      </c>
      <c r="O117" s="601"/>
      <c r="P117" s="601"/>
      <c r="Q117" s="601"/>
      <c r="R117" s="601"/>
      <c r="S117" s="601"/>
      <c r="T117" s="601"/>
      <c r="U117" s="601"/>
    </row>
    <row r="118" spans="1:21" hidden="1" x14ac:dyDescent="0.25">
      <c r="B118" s="69"/>
      <c r="C118" s="564" t="s">
        <v>66</v>
      </c>
      <c r="D118" s="564"/>
      <c r="E118" s="564"/>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5" t="s">
        <v>109</v>
      </c>
      <c r="G119" s="563"/>
      <c r="H119" s="37" t="s">
        <v>29</v>
      </c>
      <c r="I119" s="37"/>
      <c r="N119" s="45"/>
      <c r="O119" s="45"/>
      <c r="P119" s="45"/>
      <c r="Q119" s="45"/>
      <c r="R119" s="45"/>
      <c r="S119" s="45"/>
      <c r="T119" s="45"/>
      <c r="U119" s="45"/>
    </row>
    <row r="120" spans="1:21" hidden="1" x14ac:dyDescent="0.25">
      <c r="A120" s="564" t="s">
        <v>69</v>
      </c>
      <c r="B120" s="564"/>
      <c r="C120" s="90" t="s">
        <v>2</v>
      </c>
      <c r="D120" s="90" t="s">
        <v>2</v>
      </c>
      <c r="E120" s="59" t="s">
        <v>2</v>
      </c>
      <c r="F120" s="564" t="s">
        <v>28</v>
      </c>
      <c r="G120" s="564"/>
      <c r="H120" s="59" t="s">
        <v>28</v>
      </c>
      <c r="I120" s="59" t="s">
        <v>8</v>
      </c>
      <c r="N120" s="609" t="s">
        <v>53</v>
      </c>
      <c r="O120" s="609"/>
      <c r="P120" s="610" t="s">
        <v>66</v>
      </c>
      <c r="Q120" s="610"/>
      <c r="R120" s="609" t="s">
        <v>54</v>
      </c>
      <c r="S120" s="609"/>
      <c r="T120" s="60" t="s">
        <v>55</v>
      </c>
      <c r="U120" s="60" t="s">
        <v>8</v>
      </c>
    </row>
    <row r="121" spans="1:21" hidden="1" x14ac:dyDescent="0.25">
      <c r="A121" s="561" t="s">
        <v>56</v>
      </c>
      <c r="B121" s="561"/>
      <c r="C121" s="141">
        <v>0</v>
      </c>
      <c r="D121" s="141">
        <v>0</v>
      </c>
      <c r="E121" s="187">
        <f>IF(D30=0,C121*2,C121+D121)</f>
        <v>0</v>
      </c>
      <c r="F121" s="562">
        <v>0</v>
      </c>
      <c r="G121" s="562"/>
      <c r="H121" s="224">
        <f>IF(C121=0,0,125)</f>
        <v>0</v>
      </c>
      <c r="I121" s="101">
        <f>ROUND((H121+F121)*E121,2)</f>
        <v>0</v>
      </c>
      <c r="N121" s="601" t="s">
        <v>56</v>
      </c>
      <c r="O121" s="601"/>
      <c r="P121" s="608">
        <f>IF(H$133=1,C121,0)</f>
        <v>0</v>
      </c>
      <c r="Q121" s="608"/>
      <c r="R121" s="628">
        <f>F121</f>
        <v>0</v>
      </c>
      <c r="S121" s="628"/>
      <c r="T121" s="62">
        <f>H121</f>
        <v>0</v>
      </c>
      <c r="U121" s="96">
        <f>ROUND((T121+R121)*P121,0)</f>
        <v>0</v>
      </c>
    </row>
    <row r="122" spans="1:21" hidden="1" x14ac:dyDescent="0.25">
      <c r="A122" s="581" t="s">
        <v>57</v>
      </c>
      <c r="B122" s="581"/>
      <c r="C122" s="143">
        <v>0</v>
      </c>
      <c r="D122" s="143">
        <v>0</v>
      </c>
      <c r="E122" s="116">
        <f>IF(D31=0,C122*2,C122+D122)</f>
        <v>0</v>
      </c>
      <c r="F122" s="598">
        <f>ROUND(F121/2,2)</f>
        <v>0</v>
      </c>
      <c r="G122" s="598"/>
      <c r="H122" s="224">
        <f>IF(C122=0,0,62.5)</f>
        <v>0</v>
      </c>
      <c r="I122" s="101">
        <f>ROUND((H122+F122)*E122,2)</f>
        <v>0</v>
      </c>
      <c r="N122" s="601" t="s">
        <v>57</v>
      </c>
      <c r="O122" s="601"/>
      <c r="P122" s="608">
        <f>IF(H$133=1,C122,0)</f>
        <v>0</v>
      </c>
      <c r="Q122" s="608"/>
      <c r="R122" s="629">
        <f>ROUND(R121/2,2)</f>
        <v>0</v>
      </c>
      <c r="S122" s="629"/>
      <c r="T122" s="62">
        <f>H122</f>
        <v>0</v>
      </c>
      <c r="U122" s="96">
        <f>ROUND((T122+R122)*P122,0)</f>
        <v>0</v>
      </c>
    </row>
    <row r="123" spans="1:21" ht="16.5" hidden="1" thickBot="1" x14ac:dyDescent="0.3">
      <c r="A123" s="581" t="s">
        <v>58</v>
      </c>
      <c r="B123" s="581"/>
      <c r="C123" s="143">
        <v>0</v>
      </c>
      <c r="D123" s="143">
        <v>0</v>
      </c>
      <c r="E123" s="116">
        <f>IF(D32=0,C123*2,C123+D123)</f>
        <v>0</v>
      </c>
      <c r="F123" s="599"/>
      <c r="G123" s="599"/>
      <c r="H123" s="225">
        <f>IF(H121&gt;0,436,0)</f>
        <v>0</v>
      </c>
      <c r="I123" s="101">
        <f>ROUND(H123*E123,2)</f>
        <v>0</v>
      </c>
      <c r="N123" s="616" t="s">
        <v>58</v>
      </c>
      <c r="O123" s="616"/>
      <c r="P123" s="608">
        <f>IF(H$133=1,C123,0)</f>
        <v>0</v>
      </c>
      <c r="Q123" s="608"/>
      <c r="R123" s="609"/>
      <c r="S123" s="609"/>
      <c r="T123" s="64">
        <f>H123</f>
        <v>0</v>
      </c>
      <c r="U123" s="103">
        <f>ROUND(T123*P123,0)</f>
        <v>0</v>
      </c>
    </row>
    <row r="124" spans="1:21" ht="16.5" hidden="1" thickBot="1" x14ac:dyDescent="0.3">
      <c r="A124" s="563" t="s">
        <v>8</v>
      </c>
      <c r="B124" s="563"/>
      <c r="C124" s="65"/>
      <c r="D124" s="65"/>
      <c r="E124" s="65"/>
      <c r="F124" s="65"/>
      <c r="G124" s="65"/>
      <c r="H124" s="65"/>
      <c r="I124" s="97">
        <f>SUM(I121:I123)</f>
        <v>0</v>
      </c>
      <c r="N124" s="627" t="s">
        <v>8</v>
      </c>
      <c r="O124" s="627"/>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4" t="s">
        <v>432</v>
      </c>
      <c r="B126" s="578"/>
      <c r="C126" s="578"/>
      <c r="D126" s="69"/>
      <c r="E126" s="68" t="s">
        <v>34</v>
      </c>
      <c r="F126" s="597"/>
      <c r="G126" s="597"/>
      <c r="H126" s="597"/>
      <c r="I126" s="154">
        <v>0</v>
      </c>
      <c r="N126" s="600" t="s">
        <v>432</v>
      </c>
      <c r="O126" s="601"/>
      <c r="P126" s="601"/>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90" t="s">
        <v>8</v>
      </c>
      <c r="B128" s="590"/>
      <c r="C128" s="590"/>
      <c r="D128" s="590"/>
      <c r="E128" s="590"/>
      <c r="F128" s="590"/>
      <c r="G128" s="590"/>
      <c r="H128" s="590"/>
      <c r="I128" s="94">
        <f>SUM(I46,I66,I85,I88,I90,I92,I94,I96,I107,I113,I114,I124,I126)</f>
        <v>8970332.540000001</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434</v>
      </c>
      <c r="B130" s="26"/>
      <c r="C130" s="26"/>
      <c r="D130" s="26"/>
      <c r="E130" s="26"/>
      <c r="F130" s="26"/>
      <c r="G130" s="26"/>
      <c r="H130" s="26"/>
      <c r="I130" s="101">
        <f>I128-I53</f>
        <v>8624278.0900000017</v>
      </c>
      <c r="N130" s="603" t="s">
        <v>33</v>
      </c>
      <c r="O130" s="603"/>
      <c r="P130" s="603"/>
      <c r="Q130" s="603"/>
      <c r="R130" s="603"/>
      <c r="S130" s="603"/>
      <c r="T130" s="603"/>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4" t="s">
        <v>435</v>
      </c>
      <c r="B132" s="578"/>
      <c r="C132" s="578"/>
      <c r="D132" s="578"/>
      <c r="E132" s="578"/>
      <c r="F132" s="578"/>
      <c r="G132" s="578"/>
      <c r="H132" s="81" t="s">
        <v>333</v>
      </c>
      <c r="I132" s="134"/>
      <c r="N132" s="28"/>
      <c r="O132" s="28"/>
      <c r="P132" s="28"/>
      <c r="Q132" s="28"/>
      <c r="R132" s="28"/>
      <c r="S132" s="28"/>
      <c r="T132" s="28"/>
      <c r="U132" s="138"/>
    </row>
    <row r="133" spans="1:21" x14ac:dyDescent="0.25">
      <c r="A133" s="578" t="s">
        <v>70</v>
      </c>
      <c r="B133" s="578"/>
      <c r="C133" s="578"/>
      <c r="D133" s="578"/>
      <c r="E133" s="578"/>
      <c r="F133" s="578"/>
      <c r="G133" s="578"/>
      <c r="H133" s="70" t="str">
        <f>IF(E30=0,"",IF((E15+E17+SUM(E19:E25))/E30&gt;0.75,1,""))</f>
        <v/>
      </c>
      <c r="I133" s="116">
        <f>U130</f>
        <v>0</v>
      </c>
      <c r="N133" s="28"/>
      <c r="O133" s="28"/>
      <c r="P133" s="28"/>
      <c r="Q133" s="28"/>
      <c r="R133" s="28"/>
      <c r="S133" s="28"/>
      <c r="T133" s="28"/>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8" t="s">
        <v>240</v>
      </c>
      <c r="H135" s="139">
        <f>IF(H133=1,I133,I130)</f>
        <v>8624278.0900000017</v>
      </c>
      <c r="I135" s="94">
        <f>ROUND(IF(E30=0,0,IF(E30&gt;250,-(((250/E30)*H135)*IF(G135="H",0.02,0.05)),IF(G135="H",-0.02*H135,-0.05*H135))),2)</f>
        <v>-41057.040000000001</v>
      </c>
      <c r="N135" s="626"/>
      <c r="O135" s="626"/>
      <c r="P135" s="626"/>
      <c r="Q135" s="626"/>
      <c r="R135" s="626"/>
      <c r="S135" s="626"/>
      <c r="T135" s="626"/>
      <c r="U135" s="626"/>
    </row>
    <row r="136" spans="1:21" x14ac:dyDescent="0.25">
      <c r="B136" s="69"/>
      <c r="C136" s="69"/>
      <c r="D136" s="69"/>
      <c r="E136" s="69"/>
      <c r="F136" s="69"/>
      <c r="G136" s="69"/>
      <c r="H136" s="65"/>
      <c r="I136" s="101"/>
      <c r="N136" s="624" t="s">
        <v>7</v>
      </c>
      <c r="O136" s="624"/>
      <c r="P136" s="624"/>
      <c r="Q136" s="624"/>
      <c r="R136" s="624"/>
      <c r="S136" s="624"/>
      <c r="T136" s="624"/>
      <c r="U136" s="624"/>
    </row>
    <row r="137" spans="1:21" x14ac:dyDescent="0.25">
      <c r="A137" s="309" t="s">
        <v>74</v>
      </c>
      <c r="B137" s="310"/>
      <c r="C137" s="310"/>
      <c r="D137" s="310"/>
      <c r="E137" s="310"/>
      <c r="F137" s="310"/>
      <c r="G137" s="310"/>
      <c r="H137" s="311"/>
      <c r="I137" s="312">
        <f>I128+I135</f>
        <v>8929275.5000000019</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Payments'!Q69</f>
        <v>0</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8929275.5000000019</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744106.29</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IF(G135="H",(H135*0.02)+I135,(H135*0.05)+I135)</f>
        <v>131428.52180000002</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45" t="str">
        <f>'1461'!A152</f>
        <v>(a) Additional FTE includes FTE earned through Advanced Placement, International Baccalaureate, Advanced International Certificate of Education, Industry Certified Career</v>
      </c>
      <c r="B152" s="346"/>
      <c r="C152" s="346"/>
      <c r="D152" s="346"/>
      <c r="E152" s="346"/>
      <c r="F152" s="346"/>
      <c r="G152" s="346"/>
      <c r="H152" s="346"/>
      <c r="I152" s="346"/>
      <c r="J152" s="77"/>
      <c r="K152" s="76"/>
      <c r="L152" s="76"/>
      <c r="M152" s="76"/>
      <c r="N152" s="73"/>
      <c r="O152" s="73"/>
      <c r="P152" s="73"/>
      <c r="Q152" s="73"/>
      <c r="R152" s="73"/>
      <c r="S152" s="73"/>
      <c r="T152" s="73"/>
      <c r="U152" s="73"/>
    </row>
    <row r="153" spans="1:21" ht="15.75" customHeight="1" x14ac:dyDescent="0.25">
      <c r="A153" s="351" t="s">
        <v>372</v>
      </c>
      <c r="B153" s="346"/>
      <c r="C153" s="346"/>
      <c r="D153" s="346"/>
      <c r="E153" s="346"/>
      <c r="F153" s="346"/>
      <c r="G153" s="346"/>
      <c r="H153" s="346"/>
      <c r="I153" s="346"/>
      <c r="J153" s="77"/>
      <c r="K153" s="76"/>
      <c r="L153" s="76"/>
      <c r="M153" s="76"/>
      <c r="N153" s="73"/>
      <c r="O153" s="73"/>
      <c r="P153" s="73"/>
      <c r="Q153" s="73"/>
      <c r="R153" s="73"/>
      <c r="S153" s="73"/>
      <c r="T153" s="73"/>
      <c r="U153" s="73"/>
    </row>
    <row r="154" spans="1:21" x14ac:dyDescent="0.25">
      <c r="A154" s="345" t="s">
        <v>373</v>
      </c>
      <c r="B154" s="347"/>
      <c r="C154" s="347"/>
      <c r="D154" s="347"/>
      <c r="E154" s="347"/>
      <c r="F154" s="347"/>
      <c r="G154" s="347"/>
      <c r="H154" s="347"/>
      <c r="I154" s="347"/>
      <c r="J154" s="76"/>
      <c r="K154" s="76"/>
      <c r="L154" s="76"/>
      <c r="M154" s="76"/>
      <c r="N154" s="73"/>
      <c r="O154" s="73"/>
      <c r="P154" s="73"/>
      <c r="Q154" s="73"/>
      <c r="R154" s="73"/>
      <c r="S154" s="73"/>
      <c r="T154" s="73"/>
      <c r="U154" s="73"/>
    </row>
    <row r="155" spans="1:21" s="76" customFormat="1" x14ac:dyDescent="0.2">
      <c r="A155" s="345" t="s">
        <v>374</v>
      </c>
      <c r="B155" s="347"/>
      <c r="C155" s="347"/>
      <c r="D155" s="347"/>
      <c r="E155" s="347"/>
      <c r="F155" s="347"/>
      <c r="G155" s="347"/>
      <c r="H155" s="347"/>
      <c r="I155" s="347"/>
      <c r="N155" s="625"/>
      <c r="O155" s="625"/>
      <c r="P155" s="625"/>
      <c r="Q155" s="625"/>
      <c r="R155" s="625"/>
      <c r="S155" s="625"/>
      <c r="T155" s="625"/>
      <c r="U155" s="625"/>
    </row>
    <row r="156" spans="1:21" s="76" customFormat="1" x14ac:dyDescent="0.2">
      <c r="A156" s="345" t="s">
        <v>375</v>
      </c>
      <c r="B156" s="347"/>
      <c r="C156" s="347"/>
      <c r="D156" s="347"/>
      <c r="E156" s="347"/>
      <c r="F156" s="347"/>
      <c r="G156" s="347"/>
      <c r="H156" s="347"/>
      <c r="I156" s="347"/>
      <c r="N156" s="73"/>
      <c r="O156" s="73"/>
      <c r="P156" s="73"/>
      <c r="Q156" s="73"/>
      <c r="R156" s="73"/>
      <c r="S156" s="73"/>
      <c r="T156" s="73"/>
      <c r="U156" s="73"/>
    </row>
    <row r="157" spans="1:21" s="76" customFormat="1" x14ac:dyDescent="0.2">
      <c r="A157" s="345" t="s">
        <v>376</v>
      </c>
      <c r="B157" s="347"/>
      <c r="C157" s="347"/>
      <c r="D157" s="347"/>
      <c r="E157" s="347"/>
      <c r="F157" s="347"/>
      <c r="G157" s="347"/>
      <c r="H157" s="347"/>
      <c r="I157" s="347"/>
      <c r="N157" s="78"/>
      <c r="O157" s="79"/>
      <c r="P157" s="79"/>
      <c r="Q157" s="79"/>
      <c r="R157" s="79"/>
      <c r="S157" s="79"/>
      <c r="T157" s="79"/>
      <c r="U157" s="79"/>
    </row>
    <row r="158" spans="1:21" s="76" customFormat="1" x14ac:dyDescent="0.2">
      <c r="A158" s="345" t="s">
        <v>377</v>
      </c>
      <c r="B158" s="347"/>
      <c r="C158" s="347"/>
      <c r="D158" s="347"/>
      <c r="E158" s="347"/>
      <c r="F158" s="347"/>
      <c r="G158" s="347"/>
      <c r="H158" s="347"/>
      <c r="I158" s="347"/>
      <c r="N158" s="78"/>
    </row>
    <row r="159" spans="1:21" s="76" customFormat="1" x14ac:dyDescent="0.2">
      <c r="A159" s="345" t="s">
        <v>379</v>
      </c>
      <c r="B159" s="347"/>
      <c r="C159" s="347"/>
      <c r="D159" s="347"/>
      <c r="E159" s="347"/>
      <c r="F159" s="347"/>
      <c r="G159" s="347"/>
      <c r="H159" s="347"/>
      <c r="I159" s="347"/>
      <c r="N159" s="78"/>
    </row>
    <row r="160" spans="1:21" s="76" customFormat="1" x14ac:dyDescent="0.2">
      <c r="A160" s="351" t="s">
        <v>378</v>
      </c>
      <c r="B160" s="347"/>
      <c r="C160" s="347"/>
      <c r="D160" s="347"/>
      <c r="E160" s="347"/>
      <c r="F160" s="347"/>
      <c r="G160" s="347"/>
      <c r="H160" s="347"/>
      <c r="I160" s="347"/>
      <c r="N160" s="78"/>
    </row>
    <row r="161" spans="1:14" s="76" customFormat="1" x14ac:dyDescent="0.2">
      <c r="A161" s="345" t="s">
        <v>380</v>
      </c>
      <c r="B161" s="347"/>
      <c r="C161" s="347"/>
      <c r="D161" s="347"/>
      <c r="E161" s="347"/>
      <c r="F161" s="347"/>
      <c r="G161" s="347"/>
      <c r="H161" s="347"/>
      <c r="I161" s="347"/>
      <c r="N161" s="78"/>
    </row>
    <row r="162" spans="1:14" s="76" customFormat="1" x14ac:dyDescent="0.2">
      <c r="A162" s="351" t="str">
        <f>'1461'!A162</f>
        <v>"All Adjusted ESE Riders" should include only ESE Riders.</v>
      </c>
      <c r="B162" s="347"/>
      <c r="C162" s="347"/>
      <c r="D162" s="347"/>
      <c r="E162" s="347"/>
      <c r="F162" s="347"/>
      <c r="G162" s="347"/>
      <c r="H162" s="347"/>
      <c r="I162" s="347"/>
      <c r="N162" s="78"/>
    </row>
    <row r="163" spans="1:14" s="76" customFormat="1" x14ac:dyDescent="0.2">
      <c r="A163" s="345" t="s">
        <v>383</v>
      </c>
      <c r="B163" s="347"/>
      <c r="C163" s="347"/>
      <c r="D163" s="347"/>
      <c r="E163" s="347"/>
      <c r="F163" s="347"/>
      <c r="G163" s="347"/>
      <c r="H163" s="347"/>
      <c r="I163" s="347"/>
      <c r="N163" s="78"/>
    </row>
    <row r="164" spans="1:14" s="76" customFormat="1" ht="15.75" customHeight="1" x14ac:dyDescent="0.2">
      <c r="A164" s="345" t="str">
        <f>'1461'!A164</f>
        <v xml:space="preserve">(j) Funding based on student eligibility and meals provided, if participating in the National School Lunch Program. </v>
      </c>
      <c r="B164" s="347"/>
      <c r="C164" s="347"/>
      <c r="D164" s="347"/>
      <c r="E164" s="347"/>
      <c r="F164" s="347"/>
      <c r="G164" s="347"/>
      <c r="H164" s="347"/>
      <c r="I164" s="347"/>
      <c r="N164" s="78"/>
    </row>
    <row r="165" spans="1:14" s="76" customFormat="1" ht="15.75" customHeight="1" x14ac:dyDescent="0.2">
      <c r="A165" s="345" t="s">
        <v>385</v>
      </c>
      <c r="B165" s="347"/>
      <c r="C165" s="347"/>
      <c r="D165" s="347"/>
      <c r="E165" s="347"/>
      <c r="F165" s="347"/>
      <c r="G165" s="347"/>
      <c r="H165" s="347"/>
      <c r="I165" s="347"/>
      <c r="N165" s="78"/>
    </row>
    <row r="166" spans="1:14" s="76" customFormat="1" ht="15.75" customHeight="1" x14ac:dyDescent="0.2">
      <c r="A166" s="351" t="s">
        <v>384</v>
      </c>
      <c r="B166" s="347"/>
      <c r="C166" s="347"/>
      <c r="D166" s="347"/>
      <c r="E166" s="347"/>
      <c r="F166" s="347"/>
      <c r="G166" s="347"/>
      <c r="H166" s="347"/>
      <c r="I166" s="347"/>
      <c r="N166" s="78"/>
    </row>
    <row r="167" spans="1:14" s="76" customFormat="1" ht="15.75" customHeight="1" x14ac:dyDescent="0.2">
      <c r="A167" s="345" t="s">
        <v>386</v>
      </c>
      <c r="B167" s="347"/>
      <c r="C167" s="347"/>
      <c r="D167" s="347"/>
      <c r="E167" s="347"/>
      <c r="F167" s="347"/>
      <c r="G167" s="347"/>
      <c r="H167" s="347"/>
      <c r="I167" s="347"/>
      <c r="N167" s="78"/>
    </row>
    <row r="168" spans="1:14" s="76" customFormat="1" ht="15.75" customHeight="1" x14ac:dyDescent="0.2">
      <c r="A168" s="351" t="str">
        <f>'1461'!A168</f>
        <v xml:space="preserve">unweighted full-time equivalent students. </v>
      </c>
      <c r="B168" s="347"/>
      <c r="C168" s="347"/>
      <c r="D168" s="347"/>
      <c r="E168" s="347"/>
      <c r="F168" s="347"/>
      <c r="G168" s="347"/>
      <c r="H168" s="347"/>
      <c r="I168" s="347"/>
      <c r="N168" s="78"/>
    </row>
    <row r="169" spans="1:14" s="76" customFormat="1" ht="15.75" customHeight="1" x14ac:dyDescent="0.2">
      <c r="A169" s="345" t="s">
        <v>388</v>
      </c>
      <c r="B169" s="347"/>
      <c r="C169" s="347"/>
      <c r="D169" s="347"/>
      <c r="E169" s="347"/>
      <c r="F169" s="347"/>
      <c r="G169" s="347"/>
      <c r="H169" s="347"/>
      <c r="I169" s="347"/>
      <c r="N169" s="78"/>
    </row>
    <row r="170" spans="1:14" s="76" customFormat="1" ht="15.75" customHeight="1" x14ac:dyDescent="0.2">
      <c r="A170" s="351" t="s">
        <v>387</v>
      </c>
      <c r="B170" s="347"/>
      <c r="C170" s="347"/>
      <c r="D170" s="347"/>
      <c r="E170" s="347"/>
      <c r="F170" s="347"/>
      <c r="G170" s="347"/>
      <c r="H170" s="347"/>
      <c r="I170" s="347"/>
      <c r="N170" s="78"/>
    </row>
    <row r="171" spans="1:14" s="76" customFormat="1" ht="15.75" customHeight="1" x14ac:dyDescent="0.2">
      <c r="A171" s="345"/>
      <c r="B171" s="347"/>
      <c r="C171" s="347"/>
      <c r="D171" s="347"/>
      <c r="E171" s="347"/>
      <c r="F171" s="347"/>
      <c r="G171" s="347"/>
      <c r="H171" s="347"/>
      <c r="I171" s="347"/>
      <c r="N171" s="78"/>
    </row>
    <row r="172" spans="1:14" s="76" customFormat="1" ht="15.75" customHeight="1" x14ac:dyDescent="0.25">
      <c r="A172" s="358" t="str">
        <f>'1461'!A172</f>
        <v>Administrative fees:</v>
      </c>
      <c r="B172" s="347"/>
      <c r="C172" s="347"/>
      <c r="D172" s="347"/>
      <c r="E172" s="347"/>
      <c r="F172" s="347"/>
      <c r="G172" s="347"/>
      <c r="H172" s="347"/>
      <c r="I172" s="347"/>
      <c r="J172" s="3"/>
      <c r="K172" s="3"/>
      <c r="L172" s="3"/>
      <c r="M172" s="3"/>
      <c r="N172" s="78"/>
    </row>
    <row r="173" spans="1:14" s="76" customFormat="1" ht="15.75" customHeight="1" x14ac:dyDescent="0.25">
      <c r="A173" s="362" t="str">
        <f>'1461'!A173</f>
        <v xml:space="preserve">Administrative fees charged by the school district pursuant to s. 1002.33(20)(a), F.S., shall be calculated based upon 5% of available funds from the FEFP and categorical </v>
      </c>
      <c r="B173" s="350"/>
      <c r="C173" s="350"/>
      <c r="D173" s="350"/>
      <c r="E173" s="350"/>
      <c r="F173" s="350"/>
      <c r="G173" s="350"/>
      <c r="H173" s="350"/>
      <c r="I173" s="350"/>
      <c r="J173" s="3"/>
      <c r="K173" s="3"/>
      <c r="L173" s="3"/>
      <c r="M173" s="3"/>
      <c r="N173" s="78"/>
    </row>
    <row r="174" spans="1:14" s="76" customFormat="1" ht="15.75" customHeight="1" x14ac:dyDescent="0.25">
      <c r="A174" s="363" t="str">
        <f>'1461'!A174</f>
        <v>funding for which charter students may be eligible.  To calculate the administrative fee to be withheld for schools with more than 250 students, divide the school</v>
      </c>
      <c r="B174" s="357"/>
      <c r="C174" s="357"/>
      <c r="D174" s="357"/>
      <c r="E174" s="357"/>
      <c r="F174" s="357"/>
      <c r="G174" s="357"/>
      <c r="H174" s="357"/>
      <c r="I174" s="357"/>
      <c r="J174" s="3"/>
      <c r="K174" s="3"/>
      <c r="L174" s="3"/>
      <c r="M174" s="3"/>
      <c r="N174" s="78"/>
    </row>
    <row r="175" spans="1:14" s="76" customFormat="1" ht="15.75" customHeight="1" x14ac:dyDescent="0.25">
      <c r="A175" s="363" t="s">
        <v>389</v>
      </c>
      <c r="B175" s="357"/>
      <c r="C175" s="357"/>
      <c r="D175" s="357"/>
      <c r="E175" s="357"/>
      <c r="F175" s="357"/>
      <c r="G175" s="357"/>
      <c r="H175" s="357"/>
      <c r="I175" s="357"/>
      <c r="J175" s="3"/>
      <c r="K175" s="3"/>
      <c r="L175" s="3"/>
      <c r="M175" s="3"/>
      <c r="N175" s="78"/>
    </row>
    <row r="176" spans="1:14" s="76" customFormat="1" ht="15.75" customHeight="1" x14ac:dyDescent="0.2">
      <c r="A176" s="363" t="s">
        <v>390</v>
      </c>
      <c r="B176" s="357"/>
      <c r="C176" s="357"/>
      <c r="D176" s="357"/>
      <c r="E176" s="357"/>
      <c r="F176" s="357"/>
      <c r="G176" s="357"/>
      <c r="H176" s="357"/>
      <c r="I176" s="357"/>
      <c r="N176" s="78"/>
    </row>
    <row r="177" spans="1:21" s="76" customFormat="1" ht="15.75" customHeight="1" x14ac:dyDescent="0.2">
      <c r="A177" s="362"/>
      <c r="B177" s="357"/>
      <c r="C177" s="357"/>
      <c r="D177" s="357"/>
      <c r="E177" s="357"/>
      <c r="F177" s="357"/>
      <c r="G177" s="357"/>
      <c r="H177" s="357"/>
      <c r="I177" s="357"/>
      <c r="N177" s="78"/>
    </row>
    <row r="178" spans="1:21" ht="15.75" customHeight="1" x14ac:dyDescent="0.25">
      <c r="A178" s="362" t="str">
        <f>'1461'!A178</f>
        <v xml:space="preserve">For high performing charter schools, administrative fees charged by the school district shall be calculated based upon 2% of available funds from the FEFP and categorical </v>
      </c>
      <c r="B178" s="350"/>
      <c r="C178" s="350"/>
      <c r="D178" s="350"/>
      <c r="E178" s="350"/>
      <c r="F178" s="350"/>
      <c r="G178" s="350"/>
      <c r="H178" s="350"/>
      <c r="I178" s="350"/>
      <c r="J178" s="76"/>
      <c r="K178" s="76"/>
      <c r="L178" s="76"/>
      <c r="M178" s="76"/>
      <c r="N178" s="78"/>
      <c r="O178" s="76"/>
      <c r="P178" s="76"/>
      <c r="Q178" s="76"/>
      <c r="R178" s="76"/>
      <c r="S178" s="76"/>
      <c r="T178" s="76"/>
      <c r="U178" s="76"/>
    </row>
    <row r="179" spans="1:21" ht="15.75" customHeight="1" x14ac:dyDescent="0.25">
      <c r="A179" s="363" t="str">
        <f>'1461'!A179</f>
        <v>funding for which charter students may be eligible.  To calculate the administrative fee to be withheld for schools with more than 250 students, divide the school</v>
      </c>
      <c r="B179" s="350"/>
      <c r="C179" s="350"/>
      <c r="D179" s="350"/>
      <c r="E179" s="350"/>
      <c r="F179" s="350"/>
      <c r="G179" s="350"/>
      <c r="H179" s="350"/>
      <c r="I179" s="350"/>
      <c r="J179" s="76"/>
      <c r="K179" s="76"/>
      <c r="L179" s="76"/>
      <c r="M179" s="76"/>
      <c r="N179" s="74"/>
    </row>
    <row r="180" spans="1:21" s="76" customFormat="1" ht="15.75" customHeight="1" x14ac:dyDescent="0.25">
      <c r="A180" s="363" t="str">
        <f>'1461'!A180</f>
        <v xml:space="preserve">population into 250. Multiply that fraction times the funds available, then times 2%.  </v>
      </c>
      <c r="B180" s="350"/>
      <c r="C180" s="350"/>
      <c r="D180" s="350"/>
      <c r="E180" s="350"/>
      <c r="F180" s="350"/>
      <c r="G180" s="350"/>
      <c r="H180" s="350"/>
      <c r="I180" s="350"/>
      <c r="N180" s="74"/>
      <c r="O180" s="3"/>
      <c r="P180" s="3"/>
      <c r="Q180" s="3"/>
      <c r="R180" s="3"/>
      <c r="S180" s="3"/>
      <c r="T180" s="3"/>
      <c r="U180" s="3"/>
    </row>
    <row r="181" spans="1:21" x14ac:dyDescent="0.25">
      <c r="A181" s="345"/>
      <c r="B181" s="350"/>
      <c r="C181" s="350"/>
      <c r="D181" s="350"/>
      <c r="E181" s="350"/>
      <c r="F181" s="350"/>
      <c r="G181" s="350"/>
      <c r="H181" s="350"/>
      <c r="I181" s="350"/>
      <c r="N181" s="78"/>
      <c r="O181" s="76"/>
      <c r="P181" s="76"/>
      <c r="Q181" s="76"/>
      <c r="R181" s="76"/>
      <c r="S181" s="76"/>
      <c r="T181" s="76"/>
      <c r="U181" s="76"/>
    </row>
    <row r="182" spans="1:21" x14ac:dyDescent="0.25">
      <c r="A182" s="358" t="str">
        <f>'1461'!A182</f>
        <v>Other:</v>
      </c>
      <c r="B182" s="356"/>
      <c r="C182" s="356"/>
      <c r="D182" s="356"/>
      <c r="E182" s="356"/>
      <c r="F182" s="356"/>
      <c r="G182" s="356"/>
      <c r="H182" s="356"/>
      <c r="I182" s="356"/>
      <c r="N182" s="78"/>
      <c r="O182" s="76"/>
      <c r="P182" s="76"/>
      <c r="Q182" s="76"/>
      <c r="R182" s="76"/>
      <c r="S182" s="76"/>
      <c r="T182" s="76"/>
      <c r="U182" s="76"/>
    </row>
    <row r="183" spans="1:21" x14ac:dyDescent="0.25">
      <c r="A183" s="362" t="str">
        <f>'1461'!A183</f>
        <v>FEFP and categorical funding are recalculated during the year to reflect the revised number of full-time equivalent students reported during the survey periods designated</v>
      </c>
      <c r="B183" s="350"/>
      <c r="C183" s="350"/>
      <c r="D183" s="350"/>
      <c r="E183" s="350"/>
      <c r="F183" s="350"/>
      <c r="G183" s="350"/>
      <c r="H183" s="350"/>
      <c r="I183" s="350"/>
      <c r="N183" s="78"/>
      <c r="O183" s="76"/>
      <c r="P183" s="76"/>
      <c r="Q183" s="76"/>
      <c r="R183" s="76"/>
      <c r="S183" s="76"/>
      <c r="T183" s="76"/>
      <c r="U183" s="76"/>
    </row>
    <row r="184" spans="1:21" x14ac:dyDescent="0.25">
      <c r="A184" s="363" t="str">
        <f>'1461'!A184</f>
        <v>by the Commissioner of Education.</v>
      </c>
      <c r="B184" s="357"/>
      <c r="C184" s="357"/>
      <c r="D184" s="357"/>
      <c r="E184" s="357"/>
      <c r="F184" s="357"/>
      <c r="G184" s="357"/>
      <c r="H184" s="357"/>
      <c r="I184" s="357"/>
      <c r="N184" s="74"/>
    </row>
    <row r="185" spans="1:21" x14ac:dyDescent="0.25">
      <c r="A185" s="362" t="str">
        <f>'1461'!A185</f>
        <v>Revenues flow to districts from state sources and from county tax collectors on various distribution schedules.</v>
      </c>
      <c r="B185" s="350"/>
      <c r="C185" s="350"/>
      <c r="D185" s="350"/>
      <c r="E185" s="350"/>
      <c r="F185" s="350"/>
      <c r="G185" s="350"/>
      <c r="H185" s="350"/>
      <c r="I185" s="350"/>
      <c r="N185" s="74"/>
    </row>
    <row r="186" spans="1:21" x14ac:dyDescent="0.25">
      <c r="A186" s="293"/>
      <c r="B186" s="293"/>
      <c r="C186" s="293"/>
      <c r="D186" s="293"/>
      <c r="E186" s="293"/>
      <c r="F186" s="293"/>
      <c r="G186" s="293"/>
      <c r="H186" s="293"/>
      <c r="I186" s="293"/>
      <c r="N186" s="74"/>
    </row>
    <row r="187" spans="1:21" x14ac:dyDescent="0.25">
      <c r="A187" s="74"/>
      <c r="N187" s="74"/>
    </row>
    <row r="188" spans="1:21" x14ac:dyDescent="0.25">
      <c r="A188" s="74"/>
      <c r="N188" s="74"/>
    </row>
    <row r="189" spans="1:21" x14ac:dyDescent="0.25">
      <c r="A189" s="74"/>
      <c r="N189" s="74"/>
    </row>
    <row r="190" spans="1:21" x14ac:dyDescent="0.25">
      <c r="A190" s="74"/>
      <c r="B190" s="135"/>
      <c r="C190" s="135"/>
      <c r="D190" s="135"/>
      <c r="E190" s="135"/>
      <c r="F190" s="135"/>
      <c r="G190" s="135"/>
      <c r="H190" s="135"/>
      <c r="I190" s="135"/>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58">
    <mergeCell ref="A123:B123"/>
    <mergeCell ref="F123:G123"/>
    <mergeCell ref="N123:O123"/>
    <mergeCell ref="P123:Q123"/>
    <mergeCell ref="R123:S123"/>
    <mergeCell ref="A124:B124"/>
    <mergeCell ref="N124:O124"/>
    <mergeCell ref="N155:U155"/>
    <mergeCell ref="N135:U135"/>
    <mergeCell ref="N126:P126"/>
    <mergeCell ref="A126:C126"/>
    <mergeCell ref="F126:H126"/>
    <mergeCell ref="N130:T130"/>
    <mergeCell ref="A128:H128"/>
    <mergeCell ref="A132:G132"/>
    <mergeCell ref="N136:U136"/>
    <mergeCell ref="A133:G133"/>
    <mergeCell ref="R122:S122"/>
    <mergeCell ref="A117:C117"/>
    <mergeCell ref="F117:I117"/>
    <mergeCell ref="N117:U117"/>
    <mergeCell ref="C118:E118"/>
    <mergeCell ref="F119:G119"/>
    <mergeCell ref="A120:B120"/>
    <mergeCell ref="F120:G120"/>
    <mergeCell ref="N120:O120"/>
    <mergeCell ref="P120:Q120"/>
    <mergeCell ref="A121:B121"/>
    <mergeCell ref="F121:G121"/>
    <mergeCell ref="N121:O121"/>
    <mergeCell ref="P121:Q121"/>
    <mergeCell ref="R121:S121"/>
    <mergeCell ref="A122:B122"/>
    <mergeCell ref="F122:G122"/>
    <mergeCell ref="N122:O122"/>
    <mergeCell ref="P122:Q122"/>
    <mergeCell ref="F110:I110"/>
    <mergeCell ref="N110:P110"/>
    <mergeCell ref="Q110:T110"/>
    <mergeCell ref="R120:S12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6" t="s">
        <v>15</v>
      </c>
      <c r="C1" s="567"/>
      <c r="D1" s="567"/>
      <c r="E1" s="567"/>
      <c r="F1" s="567"/>
      <c r="G1" s="567"/>
      <c r="H1" s="567"/>
      <c r="I1" s="567"/>
      <c r="J1" s="135"/>
      <c r="K1" s="135"/>
      <c r="L1" s="135"/>
      <c r="N1" s="82">
        <f>A1</f>
        <v>0</v>
      </c>
      <c r="O1" s="658" t="s">
        <v>15</v>
      </c>
      <c r="P1" s="659"/>
      <c r="Q1" s="659"/>
      <c r="R1" s="659"/>
      <c r="S1" s="659"/>
      <c r="T1" s="659"/>
      <c r="U1" s="659"/>
    </row>
    <row r="2" spans="1:21" ht="21" x14ac:dyDescent="0.35">
      <c r="A2" s="1" t="s">
        <v>111</v>
      </c>
      <c r="B2" s="2"/>
      <c r="C2" s="2"/>
      <c r="D2" s="2"/>
      <c r="E2" s="2"/>
      <c r="F2" s="2"/>
      <c r="G2" s="2"/>
      <c r="H2" s="2"/>
      <c r="I2" s="2"/>
      <c r="N2" s="660" t="s">
        <v>18</v>
      </c>
      <c r="O2" s="660"/>
      <c r="P2" s="660"/>
      <c r="Q2" s="660"/>
      <c r="R2" s="660"/>
      <c r="S2" s="660"/>
      <c r="T2" s="660"/>
      <c r="U2" s="660"/>
    </row>
    <row r="3" spans="1:21" x14ac:dyDescent="0.25">
      <c r="A3" s="81" t="str">
        <f>'1461'!A3</f>
        <v>Based on the FLDOE 2024-25 Conference Calculation</v>
      </c>
      <c r="N3" s="627" t="str">
        <f>A3</f>
        <v>Based on the FLDOE 2024-25 Conference Calculation</v>
      </c>
      <c r="O3" s="627"/>
      <c r="P3" s="627"/>
      <c r="Q3" s="627"/>
      <c r="R3" s="627"/>
      <c r="S3" s="627"/>
      <c r="T3" s="627"/>
      <c r="U3" s="627"/>
    </row>
    <row r="4" spans="1:21" x14ac:dyDescent="0.25">
      <c r="A4" s="568" t="s">
        <v>0</v>
      </c>
      <c r="B4" s="568"/>
      <c r="C4" s="569" t="s">
        <v>9</v>
      </c>
      <c r="D4" s="569"/>
      <c r="E4" s="569"/>
      <c r="F4" s="4" t="str">
        <f>'1461'!F4</f>
        <v>July 2024</v>
      </c>
      <c r="G4" s="4"/>
      <c r="H4" s="4"/>
      <c r="I4" s="4"/>
      <c r="N4" s="661" t="s">
        <v>0</v>
      </c>
      <c r="O4" s="661"/>
      <c r="P4" s="662" t="str">
        <f>C4</f>
        <v>Palm Beach</v>
      </c>
      <c r="Q4" s="662"/>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70" t="s">
        <v>433</v>
      </c>
      <c r="B7" s="664"/>
      <c r="C7" s="664"/>
      <c r="D7" s="664"/>
      <c r="E7" s="664"/>
      <c r="F7" s="664"/>
      <c r="G7" s="664"/>
      <c r="H7" s="664"/>
      <c r="I7" s="664"/>
      <c r="N7" s="661" t="str">
        <f>A7</f>
        <v>1A.   2023-24 FEFP State and Local Funding</v>
      </c>
      <c r="O7" s="661"/>
      <c r="P7" s="661"/>
      <c r="Q7" s="661"/>
      <c r="R7" s="661"/>
      <c r="S7" s="661"/>
      <c r="T7" s="661"/>
      <c r="U7" s="661"/>
    </row>
    <row r="8" spans="1:21" x14ac:dyDescent="0.25">
      <c r="A8" s="84"/>
      <c r="B8" s="85" t="s">
        <v>92</v>
      </c>
      <c r="C8" s="299">
        <f>'1461'!C8</f>
        <v>5330.98</v>
      </c>
      <c r="D8" s="86"/>
      <c r="E8" s="87"/>
      <c r="F8" s="84"/>
      <c r="G8" s="85" t="s">
        <v>393</v>
      </c>
      <c r="H8" s="287">
        <f>'1461'!H8</f>
        <v>1.0407999999999999</v>
      </c>
      <c r="I8" s="75"/>
      <c r="N8" s="665" t="s">
        <v>10</v>
      </c>
      <c r="O8" s="665"/>
      <c r="P8" s="666">
        <f>C8</f>
        <v>5330.98</v>
      </c>
      <c r="Q8" s="666"/>
      <c r="R8" s="648" t="s">
        <v>394</v>
      </c>
      <c r="S8" s="649"/>
      <c r="T8" s="650">
        <f>H8</f>
        <v>1.0407999999999999</v>
      </c>
      <c r="U8" s="650"/>
    </row>
    <row r="9" spans="1:21" x14ac:dyDescent="0.25">
      <c r="A9" s="84"/>
      <c r="B9" s="85"/>
      <c r="C9" s="222"/>
      <c r="D9" s="86"/>
      <c r="E9" s="87"/>
      <c r="F9" s="84"/>
      <c r="G9" s="85" t="s">
        <v>391</v>
      </c>
      <c r="H9" s="287">
        <f>'1461'!H9</f>
        <v>1</v>
      </c>
      <c r="I9" s="75"/>
      <c r="N9" s="12"/>
      <c r="O9" s="12"/>
      <c r="P9" s="13"/>
      <c r="Q9" s="13"/>
      <c r="R9" s="387" t="s">
        <v>392</v>
      </c>
      <c r="S9" s="384"/>
      <c r="T9" s="650">
        <f>H9</f>
        <v>1</v>
      </c>
      <c r="U9" s="650"/>
    </row>
    <row r="10" spans="1:21" x14ac:dyDescent="0.25">
      <c r="A10" s="7"/>
      <c r="B10" s="42" t="s">
        <v>310</v>
      </c>
      <c r="C10" s="456" t="str">
        <f>'1461'!C10</f>
        <v xml:space="preserve"> </v>
      </c>
      <c r="D10" s="88" t="str">
        <f>'1461'!D10</f>
        <v xml:space="preserve"> </v>
      </c>
      <c r="E10" s="8"/>
      <c r="F10" s="9"/>
      <c r="G10" s="9"/>
      <c r="H10" s="10"/>
      <c r="I10" s="305" t="str">
        <f>'1461'!I10</f>
        <v>2024-25</v>
      </c>
      <c r="N10" s="12"/>
      <c r="O10" s="12"/>
      <c r="P10" s="13"/>
      <c r="Q10" s="13"/>
      <c r="R10" s="14"/>
      <c r="S10" s="14"/>
      <c r="T10" s="15"/>
      <c r="U10" s="366" t="str">
        <f>I10</f>
        <v>2024-25</v>
      </c>
    </row>
    <row r="11" spans="1:21" x14ac:dyDescent="0.25">
      <c r="A11" s="7"/>
      <c r="B11" s="7"/>
      <c r="C11" s="88" t="str">
        <f>'1461'!C11</f>
        <v>Oct 2023</v>
      </c>
      <c r="D11" s="333" t="str">
        <f>'1461'!D11</f>
        <v>Feb 2024</v>
      </c>
      <c r="E11" s="89" t="s">
        <v>8</v>
      </c>
      <c r="F11" s="571" t="s">
        <v>1</v>
      </c>
      <c r="G11" s="571"/>
      <c r="H11" s="10" t="s">
        <v>60</v>
      </c>
      <c r="I11" s="11" t="s">
        <v>27</v>
      </c>
      <c r="N11" s="12"/>
      <c r="O11" s="12"/>
      <c r="P11" s="13"/>
      <c r="Q11" s="13"/>
      <c r="R11" s="651" t="s">
        <v>1</v>
      </c>
      <c r="S11" s="651"/>
      <c r="T11" s="15" t="s">
        <v>60</v>
      </c>
      <c r="U11" s="16" t="s">
        <v>27</v>
      </c>
    </row>
    <row r="12" spans="1:21" ht="15.75" customHeight="1" x14ac:dyDescent="0.25">
      <c r="A12" s="572" t="s">
        <v>1</v>
      </c>
      <c r="B12" s="572"/>
      <c r="C12" s="324" t="str">
        <f>'1461'!C12</f>
        <v>FTE</v>
      </c>
      <c r="D12" s="324" t="str">
        <f>'1461'!D12</f>
        <v>FTE</v>
      </c>
      <c r="E12" s="324" t="s">
        <v>2</v>
      </c>
      <c r="F12" s="573" t="s">
        <v>63</v>
      </c>
      <c r="G12" s="573"/>
      <c r="H12" s="17" t="s">
        <v>59</v>
      </c>
      <c r="I12" s="388" t="s">
        <v>395</v>
      </c>
      <c r="N12" s="639" t="s">
        <v>1</v>
      </c>
      <c r="O12" s="639"/>
      <c r="P12" s="652" t="s">
        <v>19</v>
      </c>
      <c r="Q12" s="652"/>
      <c r="R12" s="653" t="s">
        <v>63</v>
      </c>
      <c r="S12" s="653"/>
      <c r="T12" s="18" t="s">
        <v>59</v>
      </c>
      <c r="U12" s="19" t="str">
        <f>I12</f>
        <v>(WFTE x BSA x CWF x SDF)</v>
      </c>
    </row>
    <row r="13" spans="1:21" x14ac:dyDescent="0.25">
      <c r="A13" s="574" t="s">
        <v>36</v>
      </c>
      <c r="B13" s="574"/>
      <c r="C13" s="91"/>
      <c r="D13" s="91"/>
      <c r="E13" s="92" t="s">
        <v>37</v>
      </c>
      <c r="F13" s="575" t="s">
        <v>38</v>
      </c>
      <c r="G13" s="575"/>
      <c r="H13" s="20" t="s">
        <v>39</v>
      </c>
      <c r="I13" s="21" t="s">
        <v>40</v>
      </c>
      <c r="N13" s="654" t="s">
        <v>36</v>
      </c>
      <c r="O13" s="654"/>
      <c r="P13" s="655" t="s">
        <v>37</v>
      </c>
      <c r="Q13" s="655"/>
      <c r="R13" s="656" t="s">
        <v>38</v>
      </c>
      <c r="S13" s="656"/>
      <c r="T13" s="22" t="s">
        <v>39</v>
      </c>
      <c r="U13" s="23" t="s">
        <v>40</v>
      </c>
    </row>
    <row r="14" spans="1:21" x14ac:dyDescent="0.25">
      <c r="A14" s="576" t="s">
        <v>20</v>
      </c>
      <c r="B14" s="576"/>
      <c r="C14" s="143">
        <v>0</v>
      </c>
      <c r="D14" s="141">
        <v>0</v>
      </c>
      <c r="E14" s="187">
        <f>IF(D$30=0,C14*2,C14+D14)</f>
        <v>0</v>
      </c>
      <c r="F14" s="667">
        <f>'1461'!F14:G14</f>
        <v>1.1180000000000001</v>
      </c>
      <c r="G14" s="667"/>
      <c r="H14" s="145">
        <f>ROUND(E14*F14,4)</f>
        <v>0</v>
      </c>
      <c r="I14" s="111">
        <f>ROUND(ROUND(ROUND(H14*$C$8,4)*($H$8),2)*(MAX($H$9,1)),2)</f>
        <v>0</v>
      </c>
      <c r="N14" s="641" t="s">
        <v>20</v>
      </c>
      <c r="O14" s="641"/>
      <c r="P14" s="642">
        <f t="shared" ref="P14:P29" si="0">IF($H$133=1,E14,0)</f>
        <v>0</v>
      </c>
      <c r="Q14" s="642"/>
      <c r="R14" s="657">
        <v>1</v>
      </c>
      <c r="S14" s="657"/>
      <c r="T14" s="95">
        <f>ROUND(P14*R14,4)</f>
        <v>0</v>
      </c>
      <c r="U14" s="473">
        <f>ROUND(ROUND(ROUND(T14*$C$8,4)*($H$8),2)*(MAX($H$9,1)),2)</f>
        <v>0</v>
      </c>
    </row>
    <row r="15" spans="1:21" x14ac:dyDescent="0.25">
      <c r="A15" s="578" t="s">
        <v>21</v>
      </c>
      <c r="B15" s="578"/>
      <c r="C15" s="143">
        <v>0</v>
      </c>
      <c r="D15" s="143">
        <v>0</v>
      </c>
      <c r="E15" s="116">
        <f t="shared" ref="E15:E29" si="1">IF(D$30=0,C15*2,C15+D15)</f>
        <v>0</v>
      </c>
      <c r="F15" s="663">
        <f>'1461'!F15:G15</f>
        <v>1.1180000000000001</v>
      </c>
      <c r="G15" s="663"/>
      <c r="H15" s="80">
        <f t="shared" ref="H15:H29" si="2">ROUND(E15*F15,4)</f>
        <v>0</v>
      </c>
      <c r="I15" s="101">
        <f t="shared" ref="I15:I29" si="3">ROUND(ROUND(ROUND(H15*$C$8,4)*($H$8),2)*(MAX($H$9,1)),2)</f>
        <v>0</v>
      </c>
      <c r="J15" s="65" t="str">
        <f>IF(ROUND(E15,2)=ROUND(SUM(E57:E59),2)," ","CHECK PK-3 LINES BELOW")</f>
        <v xml:space="preserve"> </v>
      </c>
      <c r="N15" s="601" t="s">
        <v>21</v>
      </c>
      <c r="O15" s="601"/>
      <c r="P15" s="642">
        <f t="shared" si="0"/>
        <v>0</v>
      </c>
      <c r="Q15" s="642"/>
      <c r="R15" s="647">
        <v>1</v>
      </c>
      <c r="S15" s="647"/>
      <c r="T15" s="95">
        <f t="shared" ref="T15:T29" si="4">ROUND(P15*R15,4)</f>
        <v>0</v>
      </c>
      <c r="U15" s="473">
        <f t="shared" ref="U15:U29" si="5">ROUND(ROUND(ROUND(T15*$C$8,4)*($H$8),2)*(MAX($H$9,1)),2)</f>
        <v>0</v>
      </c>
    </row>
    <row r="16" spans="1:21" x14ac:dyDescent="0.25">
      <c r="A16" s="578" t="s">
        <v>22</v>
      </c>
      <c r="B16" s="578"/>
      <c r="C16" s="143">
        <v>0</v>
      </c>
      <c r="D16" s="143">
        <v>0</v>
      </c>
      <c r="E16" s="116">
        <f t="shared" si="1"/>
        <v>0</v>
      </c>
      <c r="F16" s="663">
        <f>'1461'!F16:G16</f>
        <v>1</v>
      </c>
      <c r="G16" s="663"/>
      <c r="H16" s="80">
        <f t="shared" si="2"/>
        <v>0</v>
      </c>
      <c r="I16" s="101">
        <f t="shared" si="3"/>
        <v>0</v>
      </c>
      <c r="N16" s="601" t="s">
        <v>22</v>
      </c>
      <c r="O16" s="601"/>
      <c r="P16" s="642">
        <f t="shared" si="0"/>
        <v>0</v>
      </c>
      <c r="Q16" s="642"/>
      <c r="R16" s="647">
        <v>1</v>
      </c>
      <c r="S16" s="647"/>
      <c r="T16" s="95">
        <f t="shared" si="4"/>
        <v>0</v>
      </c>
      <c r="U16" s="473">
        <f t="shared" si="5"/>
        <v>0</v>
      </c>
    </row>
    <row r="17" spans="1:21" x14ac:dyDescent="0.25">
      <c r="A17" s="578" t="s">
        <v>23</v>
      </c>
      <c r="B17" s="578"/>
      <c r="C17" s="143">
        <v>0</v>
      </c>
      <c r="D17" s="143">
        <v>0</v>
      </c>
      <c r="E17" s="116">
        <f t="shared" si="1"/>
        <v>0</v>
      </c>
      <c r="F17" s="663">
        <f>'1461'!F17:G17</f>
        <v>1</v>
      </c>
      <c r="G17" s="663"/>
      <c r="H17" s="80">
        <f t="shared" si="2"/>
        <v>0</v>
      </c>
      <c r="I17" s="101">
        <f t="shared" si="3"/>
        <v>0</v>
      </c>
      <c r="J17" s="65" t="str">
        <f>IF(ROUND(E17,2)=ROUND(SUM(E60:E62),2)," ","CHECK 4-8 LINES BELOW")</f>
        <v xml:space="preserve"> </v>
      </c>
      <c r="N17" s="601" t="s">
        <v>23</v>
      </c>
      <c r="O17" s="601"/>
      <c r="P17" s="642">
        <f t="shared" si="0"/>
        <v>0</v>
      </c>
      <c r="Q17" s="642"/>
      <c r="R17" s="647">
        <v>1</v>
      </c>
      <c r="S17" s="647"/>
      <c r="T17" s="95">
        <f t="shared" si="4"/>
        <v>0</v>
      </c>
      <c r="U17" s="473">
        <f t="shared" si="5"/>
        <v>0</v>
      </c>
    </row>
    <row r="18" spans="1:21" x14ac:dyDescent="0.25">
      <c r="A18" s="578" t="s">
        <v>24</v>
      </c>
      <c r="B18" s="578"/>
      <c r="C18" s="143">
        <v>0</v>
      </c>
      <c r="D18" s="143">
        <v>0</v>
      </c>
      <c r="E18" s="116">
        <f t="shared" si="1"/>
        <v>0</v>
      </c>
      <c r="F18" s="663">
        <f>'1461'!F18:G18</f>
        <v>0.97799999999999998</v>
      </c>
      <c r="G18" s="663"/>
      <c r="H18" s="80">
        <f t="shared" si="2"/>
        <v>0</v>
      </c>
      <c r="I18" s="101">
        <f t="shared" si="3"/>
        <v>0</v>
      </c>
      <c r="N18" s="601" t="s">
        <v>24</v>
      </c>
      <c r="O18" s="601"/>
      <c r="P18" s="642">
        <f t="shared" si="0"/>
        <v>0</v>
      </c>
      <c r="Q18" s="642"/>
      <c r="R18" s="647">
        <v>1</v>
      </c>
      <c r="S18" s="647"/>
      <c r="T18" s="95">
        <f t="shared" si="4"/>
        <v>0</v>
      </c>
      <c r="U18" s="473">
        <f t="shared" si="5"/>
        <v>0</v>
      </c>
    </row>
    <row r="19" spans="1:21" x14ac:dyDescent="0.25">
      <c r="A19" s="578" t="s">
        <v>25</v>
      </c>
      <c r="B19" s="578"/>
      <c r="C19" s="143">
        <v>30.18</v>
      </c>
      <c r="D19" s="143">
        <v>31.76</v>
      </c>
      <c r="E19" s="116">
        <f t="shared" si="1"/>
        <v>61.94</v>
      </c>
      <c r="F19" s="663">
        <f>'1461'!F19:G19</f>
        <v>0.97799999999999998</v>
      </c>
      <c r="G19" s="663"/>
      <c r="H19" s="80">
        <f t="shared" si="2"/>
        <v>60.577300000000001</v>
      </c>
      <c r="I19" s="101">
        <f t="shared" si="3"/>
        <v>336112.18</v>
      </c>
      <c r="J19" s="65" t="str">
        <f>IF(ROUND(E19,2)=ROUND(SUM(E63:E65),2)," ","CHECK 4-8 LINES BELOW")</f>
        <v xml:space="preserve"> </v>
      </c>
      <c r="N19" s="601" t="s">
        <v>25</v>
      </c>
      <c r="O19" s="601"/>
      <c r="P19" s="642">
        <f t="shared" si="0"/>
        <v>61.94</v>
      </c>
      <c r="Q19" s="642"/>
      <c r="R19" s="647">
        <v>1</v>
      </c>
      <c r="S19" s="647"/>
      <c r="T19" s="95">
        <f t="shared" si="4"/>
        <v>61.94</v>
      </c>
      <c r="U19" s="472">
        <f t="shared" si="5"/>
        <v>343673.1</v>
      </c>
    </row>
    <row r="20" spans="1:21" x14ac:dyDescent="0.25">
      <c r="A20" s="578" t="s">
        <v>79</v>
      </c>
      <c r="B20" s="578"/>
      <c r="C20" s="143">
        <v>0</v>
      </c>
      <c r="D20" s="143">
        <v>0</v>
      </c>
      <c r="E20" s="116">
        <f t="shared" si="1"/>
        <v>0</v>
      </c>
      <c r="F20" s="663">
        <f>'1461'!F20:G20</f>
        <v>3.6970000000000001</v>
      </c>
      <c r="G20" s="663"/>
      <c r="H20" s="80">
        <f t="shared" si="2"/>
        <v>0</v>
      </c>
      <c r="I20" s="101">
        <f t="shared" si="3"/>
        <v>0</v>
      </c>
      <c r="N20" s="601" t="s">
        <v>79</v>
      </c>
      <c r="O20" s="601"/>
      <c r="P20" s="642">
        <f t="shared" si="0"/>
        <v>0</v>
      </c>
      <c r="Q20" s="642"/>
      <c r="R20" s="647">
        <v>1</v>
      </c>
      <c r="S20" s="647"/>
      <c r="T20" s="95">
        <f t="shared" si="4"/>
        <v>0</v>
      </c>
      <c r="U20" s="473">
        <f t="shared" si="5"/>
        <v>0</v>
      </c>
    </row>
    <row r="21" spans="1:21" x14ac:dyDescent="0.25">
      <c r="A21" s="578" t="s">
        <v>80</v>
      </c>
      <c r="B21" s="578"/>
      <c r="C21" s="143">
        <v>0</v>
      </c>
      <c r="D21" s="143">
        <v>0</v>
      </c>
      <c r="E21" s="116">
        <f t="shared" si="1"/>
        <v>0</v>
      </c>
      <c r="F21" s="663">
        <f>'1461'!F21:G21</f>
        <v>3.6970000000000001</v>
      </c>
      <c r="G21" s="663"/>
      <c r="H21" s="80">
        <f t="shared" si="2"/>
        <v>0</v>
      </c>
      <c r="I21" s="101">
        <f t="shared" si="3"/>
        <v>0</v>
      </c>
      <c r="N21" s="601" t="s">
        <v>80</v>
      </c>
      <c r="O21" s="601"/>
      <c r="P21" s="642">
        <f t="shared" si="0"/>
        <v>0</v>
      </c>
      <c r="Q21" s="642"/>
      <c r="R21" s="647">
        <v>1</v>
      </c>
      <c r="S21" s="647"/>
      <c r="T21" s="95">
        <f t="shared" si="4"/>
        <v>0</v>
      </c>
      <c r="U21" s="473">
        <f t="shared" si="5"/>
        <v>0</v>
      </c>
    </row>
    <row r="22" spans="1:21" x14ac:dyDescent="0.25">
      <c r="A22" s="578" t="s">
        <v>81</v>
      </c>
      <c r="B22" s="578"/>
      <c r="C22" s="143">
        <v>5.21</v>
      </c>
      <c r="D22" s="143">
        <v>4.8</v>
      </c>
      <c r="E22" s="116">
        <f t="shared" si="1"/>
        <v>10.01</v>
      </c>
      <c r="F22" s="663">
        <f>'1461'!F22:G22</f>
        <v>3.6970000000000001</v>
      </c>
      <c r="G22" s="663"/>
      <c r="H22" s="80">
        <f t="shared" si="2"/>
        <v>37.006999999999998</v>
      </c>
      <c r="I22" s="101">
        <f t="shared" si="3"/>
        <v>205332.75</v>
      </c>
      <c r="N22" s="601" t="s">
        <v>81</v>
      </c>
      <c r="O22" s="601"/>
      <c r="P22" s="642">
        <f t="shared" si="0"/>
        <v>10.01</v>
      </c>
      <c r="Q22" s="642"/>
      <c r="R22" s="647">
        <v>1</v>
      </c>
      <c r="S22" s="647"/>
      <c r="T22" s="95">
        <f t="shared" si="4"/>
        <v>10.01</v>
      </c>
      <c r="U22" s="473">
        <f t="shared" si="5"/>
        <v>55540.32</v>
      </c>
    </row>
    <row r="23" spans="1:21" x14ac:dyDescent="0.25">
      <c r="A23" s="578" t="s">
        <v>82</v>
      </c>
      <c r="B23" s="578"/>
      <c r="C23" s="143">
        <v>0</v>
      </c>
      <c r="D23" s="143">
        <v>0</v>
      </c>
      <c r="E23" s="116">
        <f t="shared" si="1"/>
        <v>0</v>
      </c>
      <c r="F23" s="663">
        <f>'1461'!F23:G23</f>
        <v>5.992</v>
      </c>
      <c r="G23" s="663"/>
      <c r="H23" s="80">
        <f t="shared" si="2"/>
        <v>0</v>
      </c>
      <c r="I23" s="101">
        <f t="shared" si="3"/>
        <v>0</v>
      </c>
      <c r="N23" s="601" t="s">
        <v>82</v>
      </c>
      <c r="O23" s="601"/>
      <c r="P23" s="642">
        <f t="shared" si="0"/>
        <v>0</v>
      </c>
      <c r="Q23" s="642"/>
      <c r="R23" s="647">
        <v>1</v>
      </c>
      <c r="S23" s="647"/>
      <c r="T23" s="95">
        <f t="shared" si="4"/>
        <v>0</v>
      </c>
      <c r="U23" s="473">
        <f t="shared" si="5"/>
        <v>0</v>
      </c>
    </row>
    <row r="24" spans="1:21" x14ac:dyDescent="0.25">
      <c r="A24" s="578" t="s">
        <v>83</v>
      </c>
      <c r="B24" s="578"/>
      <c r="C24" s="143">
        <v>0</v>
      </c>
      <c r="D24" s="143">
        <v>0</v>
      </c>
      <c r="E24" s="116">
        <f t="shared" si="1"/>
        <v>0</v>
      </c>
      <c r="F24" s="663">
        <f>'1461'!F24:G24</f>
        <v>5.992</v>
      </c>
      <c r="G24" s="663"/>
      <c r="H24" s="80">
        <f t="shared" si="2"/>
        <v>0</v>
      </c>
      <c r="I24" s="101">
        <f t="shared" si="3"/>
        <v>0</v>
      </c>
      <c r="N24" s="601" t="s">
        <v>83</v>
      </c>
      <c r="O24" s="601"/>
      <c r="P24" s="642">
        <f t="shared" si="0"/>
        <v>0</v>
      </c>
      <c r="Q24" s="642"/>
      <c r="R24" s="647">
        <v>1</v>
      </c>
      <c r="S24" s="647"/>
      <c r="T24" s="95">
        <f t="shared" si="4"/>
        <v>0</v>
      </c>
      <c r="U24" s="473">
        <f t="shared" si="5"/>
        <v>0</v>
      </c>
    </row>
    <row r="25" spans="1:21" x14ac:dyDescent="0.25">
      <c r="A25" s="578" t="s">
        <v>84</v>
      </c>
      <c r="B25" s="578"/>
      <c r="C25" s="143">
        <v>0</v>
      </c>
      <c r="D25" s="143">
        <v>0</v>
      </c>
      <c r="E25" s="116">
        <f t="shared" si="1"/>
        <v>0</v>
      </c>
      <c r="F25" s="663">
        <f>'1461'!F25:G25</f>
        <v>5.992</v>
      </c>
      <c r="G25" s="663"/>
      <c r="H25" s="80">
        <f t="shared" si="2"/>
        <v>0</v>
      </c>
      <c r="I25" s="101">
        <f t="shared" si="3"/>
        <v>0</v>
      </c>
      <c r="N25" s="601" t="s">
        <v>84</v>
      </c>
      <c r="O25" s="601"/>
      <c r="P25" s="642">
        <f t="shared" si="0"/>
        <v>0</v>
      </c>
      <c r="Q25" s="642"/>
      <c r="R25" s="647">
        <v>1</v>
      </c>
      <c r="S25" s="647"/>
      <c r="T25" s="95">
        <f t="shared" si="4"/>
        <v>0</v>
      </c>
      <c r="U25" s="473">
        <f t="shared" si="5"/>
        <v>0</v>
      </c>
    </row>
    <row r="26" spans="1:21" x14ac:dyDescent="0.25">
      <c r="A26" s="578" t="s">
        <v>85</v>
      </c>
      <c r="B26" s="578"/>
      <c r="C26" s="143">
        <v>0</v>
      </c>
      <c r="D26" s="143">
        <v>0</v>
      </c>
      <c r="E26" s="116">
        <f t="shared" si="1"/>
        <v>0</v>
      </c>
      <c r="F26" s="663">
        <f>'1461'!F26:G26</f>
        <v>1.1919999999999999</v>
      </c>
      <c r="G26" s="663"/>
      <c r="H26" s="80">
        <f t="shared" si="2"/>
        <v>0</v>
      </c>
      <c r="I26" s="101">
        <f t="shared" si="3"/>
        <v>0</v>
      </c>
      <c r="N26" s="601" t="s">
        <v>85</v>
      </c>
      <c r="O26" s="601"/>
      <c r="P26" s="642">
        <f t="shared" si="0"/>
        <v>0</v>
      </c>
      <c r="Q26" s="642"/>
      <c r="R26" s="647">
        <v>1</v>
      </c>
      <c r="S26" s="647"/>
      <c r="T26" s="95">
        <f t="shared" si="4"/>
        <v>0</v>
      </c>
      <c r="U26" s="473">
        <f t="shared" si="5"/>
        <v>0</v>
      </c>
    </row>
    <row r="27" spans="1:21" x14ac:dyDescent="0.25">
      <c r="A27" s="578" t="s">
        <v>86</v>
      </c>
      <c r="B27" s="578"/>
      <c r="C27" s="143">
        <v>0</v>
      </c>
      <c r="D27" s="143">
        <v>0</v>
      </c>
      <c r="E27" s="116">
        <f t="shared" si="1"/>
        <v>0</v>
      </c>
      <c r="F27" s="663">
        <f>'1461'!F27:G27</f>
        <v>1.1919999999999999</v>
      </c>
      <c r="G27" s="663"/>
      <c r="H27" s="80">
        <f t="shared" si="2"/>
        <v>0</v>
      </c>
      <c r="I27" s="101">
        <f t="shared" si="3"/>
        <v>0</v>
      </c>
      <c r="N27" s="601" t="s">
        <v>86</v>
      </c>
      <c r="O27" s="601"/>
      <c r="P27" s="642">
        <f t="shared" si="0"/>
        <v>0</v>
      </c>
      <c r="Q27" s="642"/>
      <c r="R27" s="647">
        <v>1</v>
      </c>
      <c r="S27" s="647"/>
      <c r="T27" s="95">
        <f t="shared" si="4"/>
        <v>0</v>
      </c>
      <c r="U27" s="473">
        <f t="shared" si="5"/>
        <v>0</v>
      </c>
    </row>
    <row r="28" spans="1:21" x14ac:dyDescent="0.25">
      <c r="A28" s="578" t="s">
        <v>87</v>
      </c>
      <c r="B28" s="578"/>
      <c r="C28" s="143">
        <v>0</v>
      </c>
      <c r="D28" s="143">
        <v>0</v>
      </c>
      <c r="E28" s="116">
        <f t="shared" si="1"/>
        <v>0</v>
      </c>
      <c r="F28" s="663">
        <f>'1461'!F28:G28</f>
        <v>1.1919999999999999</v>
      </c>
      <c r="G28" s="663"/>
      <c r="H28" s="80">
        <f t="shared" si="2"/>
        <v>0</v>
      </c>
      <c r="I28" s="101">
        <f t="shared" si="3"/>
        <v>0</v>
      </c>
      <c r="N28" s="601" t="s">
        <v>87</v>
      </c>
      <c r="O28" s="601"/>
      <c r="P28" s="642">
        <f t="shared" si="0"/>
        <v>0</v>
      </c>
      <c r="Q28" s="642"/>
      <c r="R28" s="647">
        <v>1</v>
      </c>
      <c r="S28" s="647"/>
      <c r="T28" s="95">
        <f t="shared" si="4"/>
        <v>0</v>
      </c>
      <c r="U28" s="473">
        <f t="shared" si="5"/>
        <v>0</v>
      </c>
    </row>
    <row r="29" spans="1:21" x14ac:dyDescent="0.25">
      <c r="A29" s="578" t="s">
        <v>88</v>
      </c>
      <c r="B29" s="578"/>
      <c r="C29" s="110">
        <v>0</v>
      </c>
      <c r="D29" s="110">
        <v>0</v>
      </c>
      <c r="E29" s="154">
        <f t="shared" si="1"/>
        <v>0</v>
      </c>
      <c r="F29" s="663">
        <f>'1461'!F29:G29</f>
        <v>1.079</v>
      </c>
      <c r="G29" s="663"/>
      <c r="H29" s="93">
        <f t="shared" si="2"/>
        <v>0</v>
      </c>
      <c r="I29" s="94">
        <f t="shared" si="3"/>
        <v>0</v>
      </c>
      <c r="N29" s="616" t="s">
        <v>88</v>
      </c>
      <c r="O29" s="616"/>
      <c r="P29" s="642">
        <f t="shared" si="0"/>
        <v>0</v>
      </c>
      <c r="Q29" s="642"/>
      <c r="R29" s="643">
        <v>1</v>
      </c>
      <c r="S29" s="643"/>
      <c r="T29" s="95">
        <f t="shared" si="4"/>
        <v>0</v>
      </c>
      <c r="U29" s="473">
        <f t="shared" si="5"/>
        <v>0</v>
      </c>
    </row>
    <row r="30" spans="1:21" x14ac:dyDescent="0.25">
      <c r="A30" s="590" t="s">
        <v>5</v>
      </c>
      <c r="B30" s="590"/>
      <c r="C30" s="94">
        <f>SUM(C14:C29)</f>
        <v>35.39</v>
      </c>
      <c r="D30" s="94">
        <f>SUM(D14:D29)</f>
        <v>36.56</v>
      </c>
      <c r="E30" s="94">
        <f>SUM(E14:E29)</f>
        <v>71.95</v>
      </c>
      <c r="F30" s="582"/>
      <c r="G30" s="582"/>
      <c r="H30" s="99">
        <f>SUM(H14:H29)</f>
        <v>97.584299999999999</v>
      </c>
      <c r="I30" s="94">
        <f>SUM(I14:I29)</f>
        <v>541444.92999999993</v>
      </c>
      <c r="N30" s="644" t="s">
        <v>5</v>
      </c>
      <c r="O30" s="644"/>
      <c r="P30" s="645">
        <f>SUM(P14:P29)</f>
        <v>71.95</v>
      </c>
      <c r="Q30" s="645"/>
      <c r="R30" s="617"/>
      <c r="S30" s="617"/>
      <c r="T30" s="100">
        <f>SUM(T14:T29)</f>
        <v>71.95</v>
      </c>
      <c r="U30" s="473">
        <f>SUM(U14:U29)</f>
        <v>399213.42</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0" t="s">
        <v>233</v>
      </c>
      <c r="G34" s="670"/>
      <c r="H34" s="670"/>
      <c r="I34" s="101"/>
      <c r="N34" s="28"/>
      <c r="O34" s="28"/>
      <c r="P34" s="29"/>
      <c r="Q34" s="29"/>
      <c r="R34" s="30"/>
      <c r="S34" s="30"/>
      <c r="T34" s="102"/>
      <c r="U34" s="103"/>
    </row>
    <row r="35" spans="1:21" hidden="1" x14ac:dyDescent="0.25">
      <c r="A35" s="3"/>
      <c r="B35" s="69"/>
      <c r="C35" s="69"/>
      <c r="D35" s="69"/>
      <c r="E35" s="69"/>
      <c r="F35" s="670"/>
      <c r="G35" s="670"/>
      <c r="H35" s="670"/>
      <c r="I35" s="24" t="s">
        <v>61</v>
      </c>
      <c r="N35" s="627" t="s">
        <v>26</v>
      </c>
      <c r="O35" s="627"/>
      <c r="P35" s="627"/>
      <c r="Q35" s="627"/>
      <c r="R35" s="627"/>
      <c r="S35" s="627"/>
      <c r="T35" s="627"/>
      <c r="U35" s="25" t="str">
        <f>I35</f>
        <v>2015-16</v>
      </c>
    </row>
    <row r="36" spans="1:21" hidden="1" x14ac:dyDescent="0.25">
      <c r="A36" s="26"/>
      <c r="B36" s="26"/>
      <c r="C36" s="88" t="s">
        <v>93</v>
      </c>
      <c r="D36" s="88" t="s">
        <v>94</v>
      </c>
      <c r="E36" s="89" t="s">
        <v>8</v>
      </c>
      <c r="F36" s="670"/>
      <c r="G36" s="670"/>
      <c r="H36" s="670"/>
      <c r="I36" s="24" t="s">
        <v>27</v>
      </c>
      <c r="N36" s="28"/>
      <c r="O36" s="28"/>
      <c r="P36" s="29"/>
      <c r="Q36" s="29"/>
      <c r="R36" s="30"/>
      <c r="S36" s="30"/>
      <c r="T36" s="102"/>
      <c r="U36" s="25" t="s">
        <v>27</v>
      </c>
    </row>
    <row r="37" spans="1:21" ht="26.25" hidden="1" x14ac:dyDescent="0.25">
      <c r="A37" s="572" t="s">
        <v>50</v>
      </c>
      <c r="B37" s="572"/>
      <c r="C37" s="90" t="s">
        <v>2</v>
      </c>
      <c r="D37" s="90" t="s">
        <v>2</v>
      </c>
      <c r="E37" s="90" t="s">
        <v>2</v>
      </c>
      <c r="F37" s="671"/>
      <c r="G37" s="671"/>
      <c r="H37" s="671"/>
      <c r="I37" s="31" t="s">
        <v>395</v>
      </c>
      <c r="N37" s="639" t="s">
        <v>50</v>
      </c>
      <c r="O37" s="639"/>
      <c r="P37" s="640" t="s">
        <v>19</v>
      </c>
      <c r="Q37" s="640"/>
      <c r="R37" s="640"/>
      <c r="S37" s="640"/>
      <c r="T37" s="640"/>
      <c r="U37" s="19" t="str">
        <f>I37</f>
        <v>(WFTE x BSA x CWF x SDF)</v>
      </c>
    </row>
    <row r="38" spans="1:21" hidden="1" x14ac:dyDescent="0.25">
      <c r="A38" s="576" t="s">
        <v>45</v>
      </c>
      <c r="B38" s="576"/>
      <c r="C38" s="147">
        <v>0</v>
      </c>
      <c r="D38" s="147">
        <v>0</v>
      </c>
      <c r="E38" s="187">
        <f t="shared" ref="E38:E43" si="6">IF(D$44=0,C38*2,C38+D38)</f>
        <v>0</v>
      </c>
      <c r="F38" s="148"/>
      <c r="G38" s="148"/>
      <c r="H38" s="148"/>
      <c r="I38" s="111">
        <f>ROUND(ROUND(ROUND(E38*$C$8,4)*($H$8),2)*(MAX($H$9,1)),2)</f>
        <v>0</v>
      </c>
      <c r="N38" s="641" t="s">
        <v>45</v>
      </c>
      <c r="O38" s="641"/>
      <c r="P38" s="608">
        <f t="shared" ref="P38:P43" si="7">IF($H$133=1,E38,0)</f>
        <v>0</v>
      </c>
      <c r="Q38" s="608"/>
      <c r="R38" s="608"/>
      <c r="S38" s="608"/>
      <c r="T38" s="608"/>
      <c r="U38" s="98">
        <f>ROUND(ROUND(ROUND(P38*$C$8,4)*($H$8),2)*(MAX($H$9,1)),2)</f>
        <v>0</v>
      </c>
    </row>
    <row r="39" spans="1:21" hidden="1" x14ac:dyDescent="0.25">
      <c r="A39" s="578" t="s">
        <v>46</v>
      </c>
      <c r="B39" s="578"/>
      <c r="C39" s="150">
        <v>0</v>
      </c>
      <c r="D39" s="150">
        <v>0</v>
      </c>
      <c r="E39" s="116">
        <f t="shared" si="6"/>
        <v>0</v>
      </c>
      <c r="F39" s="151"/>
      <c r="G39" s="151"/>
      <c r="H39" s="151"/>
      <c r="I39" s="101">
        <f t="shared" ref="I39:I43" si="8">ROUND(ROUND(ROUND(E39*$C$8,4)*($H$8),2)*(MAX($H$9,1)),2)</f>
        <v>0</v>
      </c>
      <c r="N39" s="601" t="s">
        <v>46</v>
      </c>
      <c r="O39" s="601"/>
      <c r="P39" s="608">
        <f t="shared" si="7"/>
        <v>0</v>
      </c>
      <c r="Q39" s="608"/>
      <c r="R39" s="608"/>
      <c r="S39" s="608"/>
      <c r="T39" s="608"/>
      <c r="U39" s="98">
        <f t="shared" ref="U39:U43" si="9">ROUND(ROUND(ROUND(P39*$C$8,4)*($H$8),2)*(MAX($H$9,1)),2)</f>
        <v>0</v>
      </c>
    </row>
    <row r="40" spans="1:21" hidden="1" x14ac:dyDescent="0.25">
      <c r="A40" s="583" t="s">
        <v>47</v>
      </c>
      <c r="B40" s="583"/>
      <c r="C40" s="150">
        <v>0</v>
      </c>
      <c r="D40" s="150">
        <v>0</v>
      </c>
      <c r="E40" s="116">
        <f t="shared" si="6"/>
        <v>0</v>
      </c>
      <c r="F40" s="151"/>
      <c r="G40" s="151"/>
      <c r="H40" s="151"/>
      <c r="I40" s="101">
        <f t="shared" si="8"/>
        <v>0</v>
      </c>
      <c r="N40" s="646" t="s">
        <v>47</v>
      </c>
      <c r="O40" s="646"/>
      <c r="P40" s="608">
        <f t="shared" si="7"/>
        <v>0</v>
      </c>
      <c r="Q40" s="608"/>
      <c r="R40" s="608"/>
      <c r="S40" s="608"/>
      <c r="T40" s="608"/>
      <c r="U40" s="98">
        <f t="shared" si="9"/>
        <v>0</v>
      </c>
    </row>
    <row r="41" spans="1:21" hidden="1" x14ac:dyDescent="0.25">
      <c r="A41" s="578" t="s">
        <v>48</v>
      </c>
      <c r="B41" s="578"/>
      <c r="C41" s="150">
        <v>0</v>
      </c>
      <c r="D41" s="150">
        <v>0</v>
      </c>
      <c r="E41" s="116">
        <f t="shared" si="6"/>
        <v>0</v>
      </c>
      <c r="F41" s="151"/>
      <c r="G41" s="151"/>
      <c r="H41" s="151"/>
      <c r="I41" s="101">
        <f t="shared" si="8"/>
        <v>0</v>
      </c>
      <c r="N41" s="601" t="s">
        <v>48</v>
      </c>
      <c r="O41" s="601"/>
      <c r="P41" s="608">
        <f t="shared" si="7"/>
        <v>0</v>
      </c>
      <c r="Q41" s="608"/>
      <c r="R41" s="608"/>
      <c r="S41" s="608"/>
      <c r="T41" s="608"/>
      <c r="U41" s="98">
        <f t="shared" si="9"/>
        <v>0</v>
      </c>
    </row>
    <row r="42" spans="1:21" hidden="1" x14ac:dyDescent="0.25">
      <c r="A42" s="578" t="s">
        <v>49</v>
      </c>
      <c r="B42" s="578"/>
      <c r="C42" s="150"/>
      <c r="D42" s="150">
        <v>0</v>
      </c>
      <c r="E42" s="116">
        <f t="shared" si="6"/>
        <v>0</v>
      </c>
      <c r="F42" s="151"/>
      <c r="G42" s="151"/>
      <c r="H42" s="151"/>
      <c r="I42" s="101">
        <f t="shared" si="8"/>
        <v>0</v>
      </c>
      <c r="N42" s="601" t="s">
        <v>49</v>
      </c>
      <c r="O42" s="601"/>
      <c r="P42" s="608">
        <f t="shared" si="7"/>
        <v>0</v>
      </c>
      <c r="Q42" s="608"/>
      <c r="R42" s="608"/>
      <c r="S42" s="608"/>
      <c r="T42" s="608"/>
      <c r="U42" s="98">
        <f t="shared" si="9"/>
        <v>0</v>
      </c>
    </row>
    <row r="43" spans="1:21" hidden="1" x14ac:dyDescent="0.25">
      <c r="A43" s="578" t="s">
        <v>41</v>
      </c>
      <c r="B43" s="578"/>
      <c r="C43" s="149">
        <v>0</v>
      </c>
      <c r="D43" s="149">
        <v>0</v>
      </c>
      <c r="E43" s="154">
        <f t="shared" si="6"/>
        <v>0</v>
      </c>
      <c r="F43" s="151"/>
      <c r="G43" s="151"/>
      <c r="H43" s="151"/>
      <c r="I43" s="94">
        <f t="shared" si="8"/>
        <v>0</v>
      </c>
      <c r="N43" s="616" t="s">
        <v>41</v>
      </c>
      <c r="O43" s="616"/>
      <c r="P43" s="608">
        <f t="shared" si="7"/>
        <v>0</v>
      </c>
      <c r="Q43" s="608"/>
      <c r="R43" s="608"/>
      <c r="S43" s="608"/>
      <c r="T43" s="60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3" t="s">
        <v>43</v>
      </c>
      <c r="O44" s="603"/>
      <c r="P44" s="603"/>
      <c r="Q44" s="603"/>
      <c r="R44" s="33">
        <f>SUM(P38:R43)</f>
        <v>0</v>
      </c>
      <c r="S44" s="617" t="s">
        <v>51</v>
      </c>
      <c r="T44" s="617"/>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97.584299999999999</v>
      </c>
      <c r="F46" s="34"/>
      <c r="G46" s="106"/>
      <c r="H46" s="107" t="s">
        <v>98</v>
      </c>
      <c r="I46" s="94">
        <f>SUM(I44,I30)</f>
        <v>541444.92999999993</v>
      </c>
      <c r="N46" s="603" t="s">
        <v>44</v>
      </c>
      <c r="O46" s="603"/>
      <c r="P46" s="603"/>
      <c r="Q46" s="603"/>
      <c r="R46" s="35">
        <f>R44+T30</f>
        <v>71.95</v>
      </c>
      <c r="S46" s="617" t="s">
        <v>42</v>
      </c>
      <c r="T46" s="617"/>
      <c r="U46" s="108">
        <f>SUM(U44,U30)</f>
        <v>399213.42</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396</v>
      </c>
      <c r="B48" s="26"/>
      <c r="C48" s="26"/>
      <c r="D48" s="26"/>
      <c r="E48" s="26"/>
      <c r="F48" s="34"/>
      <c r="G48" s="27"/>
      <c r="H48" s="27"/>
      <c r="I48" s="101"/>
      <c r="N48" s="383" t="s">
        <v>396</v>
      </c>
      <c r="O48" s="28"/>
      <c r="P48" s="28"/>
      <c r="Q48" s="28"/>
      <c r="R48" s="35"/>
      <c r="S48" s="30"/>
      <c r="T48" s="30"/>
      <c r="U48" s="402"/>
    </row>
    <row r="49" spans="1:22" s="391" customFormat="1" ht="9" customHeight="1" x14ac:dyDescent="0.2">
      <c r="A49" s="481" t="s">
        <v>397</v>
      </c>
      <c r="F49" s="392"/>
      <c r="G49" s="393"/>
      <c r="H49" s="393"/>
      <c r="I49" s="394"/>
      <c r="N49" s="403" t="s">
        <v>397</v>
      </c>
      <c r="O49" s="395"/>
      <c r="P49" s="395"/>
      <c r="Q49" s="395"/>
      <c r="R49" s="396"/>
      <c r="S49" s="397"/>
      <c r="T49" s="397"/>
      <c r="U49" s="404"/>
    </row>
    <row r="50" spans="1:22" s="391" customFormat="1" ht="11.25" customHeight="1" x14ac:dyDescent="0.2">
      <c r="A50" s="483" t="s">
        <v>398</v>
      </c>
      <c r="F50" s="392"/>
      <c r="G50" s="393"/>
      <c r="H50" s="393"/>
      <c r="I50" s="394"/>
      <c r="N50" s="405" t="s">
        <v>398</v>
      </c>
      <c r="O50" s="395"/>
      <c r="P50" s="395"/>
      <c r="Q50" s="395"/>
      <c r="R50" s="396"/>
      <c r="S50" s="397"/>
      <c r="T50" s="397"/>
      <c r="U50" s="404"/>
    </row>
    <row r="51" spans="1:22" x14ac:dyDescent="0.25">
      <c r="A51" s="389"/>
      <c r="B51" s="399" t="s">
        <v>399</v>
      </c>
      <c r="C51" s="26"/>
      <c r="D51" s="26"/>
      <c r="E51" s="43" t="s">
        <v>400</v>
      </c>
      <c r="F51" s="400">
        <f>I46</f>
        <v>541444.92999999993</v>
      </c>
      <c r="G51" s="109" t="s">
        <v>6</v>
      </c>
      <c r="H51" s="401">
        <v>4.5199999999999997E-2</v>
      </c>
      <c r="I51" s="101">
        <f>ROUND(F51*H51,2)</f>
        <v>24473.31</v>
      </c>
      <c r="N51" s="406"/>
      <c r="O51" s="407" t="s">
        <v>399</v>
      </c>
      <c r="P51" s="28"/>
      <c r="Q51" s="44" t="s">
        <v>400</v>
      </c>
      <c r="R51" s="408">
        <f>U30</f>
        <v>399213.42</v>
      </c>
      <c r="S51" s="409" t="s">
        <v>6</v>
      </c>
      <c r="T51" s="410">
        <v>4.5199999999999997E-2</v>
      </c>
      <c r="U51" s="402">
        <f>ROUND(R51*T51,2)</f>
        <v>18044.45</v>
      </c>
    </row>
    <row r="52" spans="1:22" x14ac:dyDescent="0.25">
      <c r="A52" s="26"/>
      <c r="B52" s="81" t="s">
        <v>401</v>
      </c>
      <c r="C52" s="26"/>
      <c r="D52" s="26"/>
      <c r="E52" s="43" t="s">
        <v>400</v>
      </c>
      <c r="F52" s="400">
        <f>I46</f>
        <v>541444.92999999993</v>
      </c>
      <c r="G52" s="109" t="s">
        <v>6</v>
      </c>
      <c r="H52" s="401">
        <v>1.41E-2</v>
      </c>
      <c r="I52" s="101">
        <f>ROUND(F52*H52,2)</f>
        <v>7634.37</v>
      </c>
      <c r="N52" s="28"/>
      <c r="O52" s="383" t="s">
        <v>401</v>
      </c>
      <c r="P52" s="28"/>
      <c r="Q52" s="44" t="s">
        <v>400</v>
      </c>
      <c r="R52" s="408">
        <f>U30</f>
        <v>399213.42</v>
      </c>
      <c r="S52" s="409" t="s">
        <v>6</v>
      </c>
      <c r="T52" s="410">
        <v>1.41E-2</v>
      </c>
      <c r="U52" s="411">
        <f>ROUND(R52*T52,2)</f>
        <v>5628.91</v>
      </c>
    </row>
    <row r="53" spans="1:22" x14ac:dyDescent="0.25">
      <c r="A53" s="26"/>
      <c r="B53" s="81" t="s">
        <v>402</v>
      </c>
      <c r="C53" s="26"/>
      <c r="D53" s="26"/>
      <c r="E53" s="43"/>
      <c r="F53" s="400"/>
      <c r="G53" s="109"/>
      <c r="H53" s="401"/>
      <c r="I53" s="97">
        <f>SUM(I51:I52)</f>
        <v>32107.68</v>
      </c>
      <c r="N53" s="28"/>
      <c r="O53" s="383" t="s">
        <v>402</v>
      </c>
      <c r="P53" s="28"/>
      <c r="Q53" s="44"/>
      <c r="R53" s="408"/>
      <c r="S53" s="409"/>
      <c r="T53" s="410"/>
      <c r="U53" s="402">
        <f>SUM(U51:U52)</f>
        <v>23673.360000000001</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440</v>
      </c>
      <c r="G55" s="109" t="s">
        <v>441</v>
      </c>
      <c r="H55" s="454" t="s">
        <v>442</v>
      </c>
      <c r="I55" s="101"/>
      <c r="N55" s="448"/>
      <c r="O55" s="448"/>
      <c r="P55" s="464"/>
      <c r="Q55" s="465"/>
      <c r="R55" s="466"/>
      <c r="S55" s="468" t="s">
        <v>441</v>
      </c>
      <c r="T55" s="469" t="s">
        <v>442</v>
      </c>
      <c r="U55" s="467"/>
      <c r="V55" s="424"/>
    </row>
    <row r="56" spans="1:22" x14ac:dyDescent="0.25">
      <c r="A56" s="36" t="s">
        <v>443</v>
      </c>
      <c r="B56" s="36"/>
      <c r="C56" s="324" t="str">
        <f>'1461'!C56</f>
        <v>FTE</v>
      </c>
      <c r="D56" s="324" t="str">
        <f>'1461'!D56</f>
        <v>FTE</v>
      </c>
      <c r="E56" s="90" t="s">
        <v>2</v>
      </c>
      <c r="F56" s="439" t="s">
        <v>444</v>
      </c>
      <c r="G56" s="441" t="s">
        <v>444</v>
      </c>
      <c r="H56" s="455" t="s">
        <v>445</v>
      </c>
      <c r="I56" s="36"/>
      <c r="N56" s="459" t="s">
        <v>443</v>
      </c>
      <c r="O56" s="459"/>
      <c r="P56" s="620" t="s">
        <v>2</v>
      </c>
      <c r="Q56" s="620"/>
      <c r="R56" s="459" t="s">
        <v>449</v>
      </c>
      <c r="S56" s="450" t="s">
        <v>444</v>
      </c>
      <c r="T56" s="470" t="s">
        <v>445</v>
      </c>
      <c r="U56" s="459"/>
      <c r="V56" s="458"/>
    </row>
    <row r="57" spans="1:22" x14ac:dyDescent="0.25">
      <c r="A57" s="588" t="s">
        <v>447</v>
      </c>
      <c r="B57" s="588"/>
      <c r="C57" s="143">
        <v>0</v>
      </c>
      <c r="D57" s="143">
        <v>0</v>
      </c>
      <c r="E57" s="116">
        <f t="shared" ref="E57:E62" si="10">IF(D$72=0,C57*2,C57+D57)</f>
        <v>0</v>
      </c>
      <c r="F57" s="443" t="s">
        <v>439</v>
      </c>
      <c r="G57" s="443">
        <v>251</v>
      </c>
      <c r="H57" s="457">
        <f>'1461'!H57</f>
        <v>1047</v>
      </c>
      <c r="I57" s="101">
        <f>ROUND(E57*H57,2)</f>
        <v>0</v>
      </c>
      <c r="N57" s="618" t="s">
        <v>447</v>
      </c>
      <c r="O57" s="618"/>
      <c r="P57" s="621"/>
      <c r="Q57" s="621"/>
      <c r="R57" s="449" t="s">
        <v>439</v>
      </c>
      <c r="S57" s="449">
        <v>251</v>
      </c>
      <c r="T57" s="460">
        <f>H57</f>
        <v>1047</v>
      </c>
      <c r="U57" s="474">
        <f>ROUND(P57*T57,2)</f>
        <v>0</v>
      </c>
      <c r="V57" s="424"/>
    </row>
    <row r="58" spans="1:22" x14ac:dyDescent="0.25">
      <c r="A58" s="589"/>
      <c r="B58" s="589"/>
      <c r="C58" s="143">
        <v>0</v>
      </c>
      <c r="D58" s="143">
        <v>0</v>
      </c>
      <c r="E58" s="116">
        <f t="shared" si="10"/>
        <v>0</v>
      </c>
      <c r="F58" s="443" t="s">
        <v>439</v>
      </c>
      <c r="G58" s="443">
        <v>252</v>
      </c>
      <c r="H58" s="457">
        <f>'1461'!H58</f>
        <v>3380</v>
      </c>
      <c r="I58" s="101">
        <f t="shared" ref="I58:I65" si="11">ROUND(E58*H58,2)</f>
        <v>0</v>
      </c>
      <c r="N58" s="619"/>
      <c r="O58" s="619"/>
      <c r="P58" s="622"/>
      <c r="Q58" s="622"/>
      <c r="R58" s="449" t="s">
        <v>439</v>
      </c>
      <c r="S58" s="449">
        <v>252</v>
      </c>
      <c r="T58" s="460">
        <f t="shared" ref="T58:T65" si="12">H58</f>
        <v>3380</v>
      </c>
      <c r="U58" s="474">
        <f t="shared" ref="U58:U65" si="13">ROUND(P58*T58,2)</f>
        <v>0</v>
      </c>
      <c r="V58" s="424"/>
    </row>
    <row r="59" spans="1:22" x14ac:dyDescent="0.25">
      <c r="A59" s="589"/>
      <c r="B59" s="589"/>
      <c r="C59" s="143">
        <v>0</v>
      </c>
      <c r="D59" s="143">
        <v>0</v>
      </c>
      <c r="E59" s="116">
        <f t="shared" si="10"/>
        <v>0</v>
      </c>
      <c r="F59" s="443" t="s">
        <v>439</v>
      </c>
      <c r="G59" s="443">
        <v>253</v>
      </c>
      <c r="H59" s="457">
        <f>'1461'!H59</f>
        <v>6896</v>
      </c>
      <c r="I59" s="101">
        <f t="shared" si="11"/>
        <v>0</v>
      </c>
      <c r="N59" s="619"/>
      <c r="O59" s="619"/>
      <c r="P59" s="622"/>
      <c r="Q59" s="622"/>
      <c r="R59" s="449" t="s">
        <v>439</v>
      </c>
      <c r="S59" s="449">
        <v>253</v>
      </c>
      <c r="T59" s="460">
        <f t="shared" si="12"/>
        <v>6896</v>
      </c>
      <c r="U59" s="474">
        <f t="shared" si="13"/>
        <v>0</v>
      </c>
      <c r="V59" s="424"/>
    </row>
    <row r="60" spans="1:22" x14ac:dyDescent="0.25">
      <c r="A60" s="589"/>
      <c r="B60" s="589"/>
      <c r="C60" s="143">
        <v>0</v>
      </c>
      <c r="D60" s="143">
        <v>0</v>
      </c>
      <c r="E60" s="116">
        <f t="shared" si="10"/>
        <v>0</v>
      </c>
      <c r="F60" s="444" t="s">
        <v>13</v>
      </c>
      <c r="G60" s="443">
        <v>251</v>
      </c>
      <c r="H60" s="457">
        <f>'1461'!H60</f>
        <v>1173</v>
      </c>
      <c r="I60" s="101">
        <f t="shared" si="11"/>
        <v>0</v>
      </c>
      <c r="N60" s="619"/>
      <c r="O60" s="619"/>
      <c r="P60" s="622"/>
      <c r="Q60" s="622"/>
      <c r="R60" s="40" t="s">
        <v>13</v>
      </c>
      <c r="S60" s="449">
        <v>251</v>
      </c>
      <c r="T60" s="460">
        <f t="shared" si="12"/>
        <v>1173</v>
      </c>
      <c r="U60" s="474">
        <f t="shared" si="13"/>
        <v>0</v>
      </c>
      <c r="V60" s="424"/>
    </row>
    <row r="61" spans="1:22" x14ac:dyDescent="0.25">
      <c r="A61" s="589"/>
      <c r="B61" s="589"/>
      <c r="C61" s="143">
        <v>0</v>
      </c>
      <c r="D61" s="143">
        <v>0</v>
      </c>
      <c r="E61" s="116">
        <f t="shared" si="10"/>
        <v>0</v>
      </c>
      <c r="F61" s="444" t="s">
        <v>13</v>
      </c>
      <c r="G61" s="443">
        <v>252</v>
      </c>
      <c r="H61" s="457">
        <f>'1461'!H61</f>
        <v>3506</v>
      </c>
      <c r="I61" s="101">
        <f t="shared" si="11"/>
        <v>0</v>
      </c>
      <c r="N61" s="619"/>
      <c r="O61" s="619"/>
      <c r="P61" s="622"/>
      <c r="Q61" s="622"/>
      <c r="R61" s="40" t="s">
        <v>13</v>
      </c>
      <c r="S61" s="449">
        <v>252</v>
      </c>
      <c r="T61" s="460">
        <f t="shared" si="12"/>
        <v>3506</v>
      </c>
      <c r="U61" s="474">
        <f t="shared" si="13"/>
        <v>0</v>
      </c>
      <c r="V61" s="424"/>
    </row>
    <row r="62" spans="1:22" x14ac:dyDescent="0.25">
      <c r="A62" s="589"/>
      <c r="B62" s="589"/>
      <c r="C62" s="143">
        <v>0</v>
      </c>
      <c r="D62" s="143">
        <v>0</v>
      </c>
      <c r="E62" s="116">
        <f t="shared" si="10"/>
        <v>0</v>
      </c>
      <c r="F62" s="444" t="s">
        <v>13</v>
      </c>
      <c r="G62" s="443">
        <v>253</v>
      </c>
      <c r="H62" s="457">
        <f>'1461'!H62</f>
        <v>7023</v>
      </c>
      <c r="I62" s="101">
        <f t="shared" si="11"/>
        <v>0</v>
      </c>
      <c r="N62" s="619"/>
      <c r="O62" s="619"/>
      <c r="P62" s="622"/>
      <c r="Q62" s="622"/>
      <c r="R62" s="40" t="s">
        <v>13</v>
      </c>
      <c r="S62" s="449">
        <v>253</v>
      </c>
      <c r="T62" s="460">
        <f t="shared" si="12"/>
        <v>7023</v>
      </c>
      <c r="U62" s="474">
        <f t="shared" si="13"/>
        <v>0</v>
      </c>
      <c r="V62" s="424"/>
    </row>
    <row r="63" spans="1:22" x14ac:dyDescent="0.25">
      <c r="A63" s="589"/>
      <c r="B63" s="589"/>
      <c r="C63" s="143">
        <v>0.7</v>
      </c>
      <c r="D63" s="143">
        <v>1.1100000000000001</v>
      </c>
      <c r="E63" s="116">
        <f>IF(D$66=0,C63*2,C63+D63)</f>
        <v>1.81</v>
      </c>
      <c r="F63" s="444" t="s">
        <v>14</v>
      </c>
      <c r="G63" s="443">
        <v>251</v>
      </c>
      <c r="H63" s="457">
        <f>'1461'!H63</f>
        <v>835</v>
      </c>
      <c r="I63" s="101">
        <f t="shared" si="11"/>
        <v>1511.35</v>
      </c>
      <c r="N63" s="619"/>
      <c r="O63" s="619"/>
      <c r="P63" s="622"/>
      <c r="Q63" s="622"/>
      <c r="R63" s="40" t="s">
        <v>14</v>
      </c>
      <c r="S63" s="449">
        <v>251</v>
      </c>
      <c r="T63" s="460">
        <f t="shared" si="12"/>
        <v>835</v>
      </c>
      <c r="U63" s="474">
        <f t="shared" si="13"/>
        <v>0</v>
      </c>
      <c r="V63" s="424"/>
    </row>
    <row r="64" spans="1:22" x14ac:dyDescent="0.25">
      <c r="A64" s="589"/>
      <c r="B64" s="589"/>
      <c r="C64" s="143">
        <v>0.5</v>
      </c>
      <c r="D64" s="143">
        <v>0.9</v>
      </c>
      <c r="E64" s="116">
        <f>IF(D$66=0,C64*2,C64+D64)</f>
        <v>1.4</v>
      </c>
      <c r="F64" s="444" t="s">
        <v>14</v>
      </c>
      <c r="G64" s="443">
        <v>252</v>
      </c>
      <c r="H64" s="457">
        <f>'1461'!H64</f>
        <v>3168</v>
      </c>
      <c r="I64" s="101">
        <f t="shared" si="11"/>
        <v>4435.2</v>
      </c>
      <c r="N64" s="619"/>
      <c r="O64" s="619"/>
      <c r="P64" s="622"/>
      <c r="Q64" s="622"/>
      <c r="R64" s="40" t="s">
        <v>14</v>
      </c>
      <c r="S64" s="449">
        <v>252</v>
      </c>
      <c r="T64" s="460">
        <f t="shared" si="12"/>
        <v>3168</v>
      </c>
      <c r="U64" s="474">
        <f t="shared" si="13"/>
        <v>0</v>
      </c>
      <c r="V64" s="424"/>
    </row>
    <row r="65" spans="1:22" ht="16.5" thickBot="1" x14ac:dyDescent="0.3">
      <c r="A65" s="589"/>
      <c r="B65" s="589"/>
      <c r="C65" s="143">
        <v>28.98</v>
      </c>
      <c r="D65" s="143">
        <v>29.75</v>
      </c>
      <c r="E65" s="116">
        <f>IF(D$66=0,C65*2,C65+D65)</f>
        <v>58.730000000000004</v>
      </c>
      <c r="F65" s="444" t="s">
        <v>14</v>
      </c>
      <c r="G65" s="443">
        <v>253</v>
      </c>
      <c r="H65" s="457">
        <f>'1461'!H65</f>
        <v>6685</v>
      </c>
      <c r="I65" s="101">
        <f t="shared" si="11"/>
        <v>392610.05</v>
      </c>
      <c r="N65" s="619"/>
      <c r="O65" s="619"/>
      <c r="P65" s="623"/>
      <c r="Q65" s="623"/>
      <c r="R65" s="40" t="s">
        <v>14</v>
      </c>
      <c r="S65" s="449">
        <v>253</v>
      </c>
      <c r="T65" s="460">
        <f t="shared" si="12"/>
        <v>6685</v>
      </c>
      <c r="U65" s="475">
        <f t="shared" si="13"/>
        <v>0</v>
      </c>
      <c r="V65" s="424"/>
    </row>
    <row r="66" spans="1:22" ht="16.5" thickBot="1" x14ac:dyDescent="0.3">
      <c r="A66" s="440"/>
      <c r="C66" s="97">
        <f>SUM(C57:C65)</f>
        <v>30.18</v>
      </c>
      <c r="D66" s="97">
        <f>SUM(D57:D65)</f>
        <v>31.76</v>
      </c>
      <c r="E66" s="97">
        <f>SUM(E57:E65)</f>
        <v>61.940000000000005</v>
      </c>
      <c r="F66" s="590" t="s">
        <v>448</v>
      </c>
      <c r="G66" s="590"/>
      <c r="H66" s="590"/>
      <c r="I66" s="97">
        <f>SUM(I57:I65)</f>
        <v>398556.6</v>
      </c>
      <c r="N66" s="446"/>
      <c r="O66" s="51"/>
      <c r="P66" s="602">
        <f>SUM(P57:P65)</f>
        <v>0</v>
      </c>
      <c r="Q66" s="602"/>
      <c r="R66" s="603" t="s">
        <v>448</v>
      </c>
      <c r="S66" s="603"/>
      <c r="T66" s="603"/>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450</v>
      </c>
      <c r="N68" s="453" t="s">
        <v>458</v>
      </c>
      <c r="O68" s="51"/>
      <c r="P68" s="51"/>
      <c r="Q68" s="51"/>
      <c r="R68" s="51"/>
      <c r="S68" s="51"/>
      <c r="T68" s="51"/>
      <c r="U68" s="51"/>
    </row>
    <row r="69" spans="1:22" x14ac:dyDescent="0.25">
      <c r="A69" s="584" t="s">
        <v>403</v>
      </c>
      <c r="B69" s="578"/>
      <c r="C69" s="112">
        <f>E30</f>
        <v>71.95</v>
      </c>
      <c r="D69" s="565" t="s">
        <v>414</v>
      </c>
      <c r="E69" s="565"/>
      <c r="F69" s="565"/>
      <c r="G69" s="565"/>
      <c r="H69" s="300">
        <f>'1461'!H69</f>
        <v>210228.91</v>
      </c>
      <c r="I69" s="113"/>
      <c r="N69" s="600" t="s">
        <v>407</v>
      </c>
      <c r="O69" s="601"/>
      <c r="P69" s="41">
        <f>P30</f>
        <v>71.95</v>
      </c>
      <c r="Q69" s="606" t="s">
        <v>409</v>
      </c>
      <c r="R69" s="607"/>
      <c r="S69" s="607"/>
      <c r="T69" s="604">
        <f>H69</f>
        <v>210228.91</v>
      </c>
      <c r="U69" s="604"/>
    </row>
    <row r="70" spans="1:22" x14ac:dyDescent="0.25">
      <c r="B70" s="69"/>
      <c r="G70" s="42" t="s">
        <v>12</v>
      </c>
      <c r="H70" s="114">
        <f>ROUND(C69/H69,6)</f>
        <v>3.4200000000000002E-4</v>
      </c>
      <c r="I70" s="115"/>
      <c r="N70" s="601"/>
      <c r="O70" s="601"/>
      <c r="P70" s="601"/>
      <c r="Q70" s="601"/>
      <c r="R70" s="601"/>
      <c r="S70" s="601"/>
      <c r="T70" s="605">
        <f>ROUND(P69/T69,6)</f>
        <v>3.4200000000000002E-4</v>
      </c>
      <c r="U70" s="605"/>
    </row>
    <row r="71" spans="1:22" x14ac:dyDescent="0.25">
      <c r="A71" s="442" t="s">
        <v>451</v>
      </c>
      <c r="N71" s="453" t="s">
        <v>459</v>
      </c>
      <c r="O71" s="51"/>
      <c r="P71" s="51"/>
      <c r="Q71" s="51"/>
      <c r="R71" s="51"/>
      <c r="S71" s="51"/>
      <c r="T71" s="51"/>
      <c r="U71" s="51"/>
    </row>
    <row r="72" spans="1:22" x14ac:dyDescent="0.25">
      <c r="A72" s="584" t="s">
        <v>404</v>
      </c>
      <c r="B72" s="578"/>
      <c r="C72" s="112">
        <f>H30</f>
        <v>97.584299999999999</v>
      </c>
      <c r="D72" s="565" t="s">
        <v>415</v>
      </c>
      <c r="E72" s="565"/>
      <c r="F72" s="565"/>
      <c r="G72" s="565"/>
      <c r="H72" s="301">
        <f>'1461'!H72</f>
        <v>234891.44</v>
      </c>
      <c r="I72" s="116"/>
      <c r="N72" s="600" t="s">
        <v>408</v>
      </c>
      <c r="O72" s="601"/>
      <c r="P72" s="41">
        <f>T30</f>
        <v>71.95</v>
      </c>
      <c r="Q72" s="606" t="s">
        <v>410</v>
      </c>
      <c r="R72" s="607"/>
      <c r="S72" s="607"/>
      <c r="T72" s="604">
        <f>H72</f>
        <v>234891.44</v>
      </c>
      <c r="U72" s="604"/>
    </row>
    <row r="73" spans="1:22" x14ac:dyDescent="0.25">
      <c r="G73" s="42" t="s">
        <v>12</v>
      </c>
      <c r="H73" s="114">
        <f>ROUND(C72/H72,6)</f>
        <v>4.15E-4</v>
      </c>
      <c r="I73" s="114"/>
      <c r="N73" s="601"/>
      <c r="O73" s="601"/>
      <c r="P73" s="601"/>
      <c r="Q73" s="601"/>
      <c r="R73" s="601"/>
      <c r="S73" s="601"/>
      <c r="T73" s="605">
        <f>ROUND(P72/T72,6)</f>
        <v>3.0600000000000001E-4</v>
      </c>
      <c r="U73" s="605"/>
    </row>
    <row r="74" spans="1:22" x14ac:dyDescent="0.25">
      <c r="A74" s="417" t="s">
        <v>452</v>
      </c>
      <c r="B74" s="414"/>
      <c r="C74" s="414"/>
      <c r="D74" s="414"/>
      <c r="E74" s="414"/>
      <c r="F74" s="414"/>
      <c r="G74" s="414"/>
      <c r="H74" s="414"/>
      <c r="I74" s="414"/>
      <c r="N74" s="416" t="s">
        <v>460</v>
      </c>
      <c r="O74" s="415"/>
      <c r="P74" s="415"/>
      <c r="Q74" s="415"/>
      <c r="R74" s="415"/>
      <c r="S74" s="415"/>
      <c r="T74" s="415"/>
      <c r="U74" s="415"/>
      <c r="V74" s="414"/>
    </row>
    <row r="75" spans="1:22" x14ac:dyDescent="0.25">
      <c r="A75" s="584" t="s">
        <v>405</v>
      </c>
      <c r="B75" s="578"/>
      <c r="C75" s="112">
        <f>E30</f>
        <v>71.95</v>
      </c>
      <c r="D75" s="557" t="s">
        <v>416</v>
      </c>
      <c r="E75" s="557"/>
      <c r="F75" s="557"/>
      <c r="G75" s="557"/>
      <c r="H75" s="300">
        <f>'1461'!H75</f>
        <v>187665.41</v>
      </c>
      <c r="I75" s="113"/>
      <c r="N75" s="600" t="s">
        <v>406</v>
      </c>
      <c r="O75" s="601"/>
      <c r="P75" s="41">
        <f>P30</f>
        <v>71.95</v>
      </c>
      <c r="Q75" s="636" t="s">
        <v>411</v>
      </c>
      <c r="R75" s="637"/>
      <c r="S75" s="637"/>
      <c r="T75" s="604">
        <f>H75</f>
        <v>187665.41</v>
      </c>
      <c r="U75" s="604"/>
    </row>
    <row r="76" spans="1:22" x14ac:dyDescent="0.25">
      <c r="B76" s="69"/>
      <c r="G76" s="42" t="s">
        <v>12</v>
      </c>
      <c r="H76" s="114">
        <f>ROUND(C75/H75,6)</f>
        <v>3.8299999999999999E-4</v>
      </c>
      <c r="I76" s="115"/>
      <c r="N76" s="601"/>
      <c r="O76" s="601"/>
      <c r="P76" s="601"/>
      <c r="Q76" s="601"/>
      <c r="R76" s="601"/>
      <c r="S76" s="601"/>
      <c r="T76" s="605">
        <f>ROUND(P75/T75,6)</f>
        <v>3.8299999999999999E-4</v>
      </c>
      <c r="U76" s="605"/>
    </row>
    <row r="77" spans="1:22" x14ac:dyDescent="0.25">
      <c r="A77" s="417" t="s">
        <v>453</v>
      </c>
      <c r="B77" s="414"/>
      <c r="C77" s="414"/>
      <c r="D77" s="414"/>
      <c r="E77" s="414"/>
      <c r="F77" s="414"/>
      <c r="G77" s="414"/>
      <c r="H77" s="414"/>
      <c r="I77" s="414"/>
      <c r="N77" s="416" t="s">
        <v>461</v>
      </c>
      <c r="O77" s="415"/>
      <c r="P77" s="415"/>
      <c r="Q77" s="415"/>
      <c r="R77" s="415"/>
      <c r="S77" s="415"/>
      <c r="T77" s="415"/>
      <c r="U77" s="415"/>
      <c r="V77" s="414"/>
    </row>
    <row r="78" spans="1:22" x14ac:dyDescent="0.25">
      <c r="A78" s="584" t="s">
        <v>405</v>
      </c>
      <c r="B78" s="578"/>
      <c r="C78" s="112">
        <f>E30</f>
        <v>71.95</v>
      </c>
      <c r="D78" s="585" t="s">
        <v>417</v>
      </c>
      <c r="E78" s="585"/>
      <c r="F78" s="585"/>
      <c r="G78" s="585"/>
      <c r="H78" s="300">
        <f>'1461'!H78</f>
        <v>209892.26</v>
      </c>
      <c r="I78" s="113"/>
      <c r="N78" s="600" t="s">
        <v>406</v>
      </c>
      <c r="O78" s="601"/>
      <c r="P78" s="41">
        <f>P30</f>
        <v>71.95</v>
      </c>
      <c r="Q78" s="634" t="s">
        <v>412</v>
      </c>
      <c r="R78" s="635"/>
      <c r="S78" s="635"/>
      <c r="T78" s="604">
        <f>H78</f>
        <v>209892.26</v>
      </c>
      <c r="U78" s="604"/>
    </row>
    <row r="79" spans="1:22" x14ac:dyDescent="0.25">
      <c r="B79" s="69"/>
      <c r="G79" s="42" t="s">
        <v>12</v>
      </c>
      <c r="H79" s="114">
        <f>ROUND(C78/H78,6)</f>
        <v>3.4299999999999999E-4</v>
      </c>
      <c r="I79" s="115"/>
      <c r="N79" s="601"/>
      <c r="O79" s="601"/>
      <c r="P79" s="601"/>
      <c r="Q79" s="601"/>
      <c r="R79" s="601"/>
      <c r="S79" s="601"/>
      <c r="T79" s="605">
        <f>ROUND(P78/T78,6)</f>
        <v>3.4299999999999999E-4</v>
      </c>
      <c r="U79" s="605"/>
    </row>
    <row r="80" spans="1:22" x14ac:dyDescent="0.25">
      <c r="A80" s="417" t="s">
        <v>454</v>
      </c>
      <c r="B80" s="414"/>
      <c r="C80" s="414"/>
      <c r="D80" s="414"/>
      <c r="E80" s="414"/>
      <c r="F80" s="414"/>
      <c r="G80" s="414"/>
      <c r="H80" s="414"/>
      <c r="I80" s="414"/>
      <c r="N80" s="416" t="s">
        <v>462</v>
      </c>
      <c r="O80" s="415"/>
      <c r="P80" s="415"/>
      <c r="Q80" s="415"/>
      <c r="R80" s="415"/>
      <c r="S80" s="415"/>
      <c r="T80" s="415"/>
      <c r="U80" s="415"/>
      <c r="V80" s="414"/>
    </row>
    <row r="81" spans="1:21" x14ac:dyDescent="0.25">
      <c r="A81" s="584" t="s">
        <v>413</v>
      </c>
      <c r="B81" s="578"/>
      <c r="C81" s="112">
        <f>E30</f>
        <v>71.95</v>
      </c>
      <c r="D81" s="557" t="s">
        <v>418</v>
      </c>
      <c r="E81" s="557"/>
      <c r="F81" s="557"/>
      <c r="G81" s="557"/>
      <c r="H81" s="300">
        <f>'1461'!H81</f>
        <v>187328.76</v>
      </c>
      <c r="I81" s="113"/>
      <c r="N81" s="600" t="s">
        <v>419</v>
      </c>
      <c r="O81" s="601"/>
      <c r="P81" s="41">
        <f>P30</f>
        <v>71.95</v>
      </c>
      <c r="Q81" s="636" t="s">
        <v>420</v>
      </c>
      <c r="R81" s="637"/>
      <c r="S81" s="637"/>
      <c r="T81" s="604">
        <f>H81</f>
        <v>187328.76</v>
      </c>
      <c r="U81" s="604"/>
    </row>
    <row r="82" spans="1:21" x14ac:dyDescent="0.25">
      <c r="B82" s="69"/>
      <c r="G82" s="42" t="s">
        <v>12</v>
      </c>
      <c r="H82" s="114">
        <f>ROUND(C81/H81,6)</f>
        <v>3.8400000000000001E-4</v>
      </c>
      <c r="I82" s="115"/>
      <c r="N82" s="601"/>
      <c r="O82" s="601"/>
      <c r="P82" s="601"/>
      <c r="Q82" s="601"/>
      <c r="R82" s="601"/>
      <c r="S82" s="601"/>
      <c r="T82" s="605">
        <f>ROUND(P81/T81,6)</f>
        <v>3.8400000000000001E-4</v>
      </c>
      <c r="U82" s="605"/>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455</v>
      </c>
      <c r="D85" s="69"/>
      <c r="E85" s="43" t="s">
        <v>299</v>
      </c>
      <c r="F85" s="302">
        <f>'1461'!F85</f>
        <v>46163704</v>
      </c>
      <c r="G85" s="37" t="s">
        <v>6</v>
      </c>
      <c r="H85" s="422">
        <f>H79</f>
        <v>3.4299999999999999E-4</v>
      </c>
      <c r="I85" s="101">
        <f>ROUND(F85*H85,2)</f>
        <v>15834.15</v>
      </c>
      <c r="N85" s="453" t="s">
        <v>455</v>
      </c>
      <c r="O85" s="51"/>
      <c r="P85" s="51"/>
      <c r="Q85" s="44"/>
      <c r="R85" s="419">
        <f>F85</f>
        <v>46163704</v>
      </c>
      <c r="S85" s="38" t="s">
        <v>6</v>
      </c>
      <c r="T85" s="421">
        <f>T79</f>
        <v>3.4299999999999999E-4</v>
      </c>
      <c r="U85" s="473">
        <f>ROUND(R85*T85,2)</f>
        <v>15834.15</v>
      </c>
    </row>
    <row r="86" spans="1:21" x14ac:dyDescent="0.25">
      <c r="A86" s="399"/>
      <c r="D86" s="69"/>
      <c r="E86" s="43"/>
      <c r="F86" s="117"/>
      <c r="G86" s="37"/>
      <c r="H86" s="422"/>
      <c r="I86" s="101"/>
      <c r="N86" s="51"/>
      <c r="O86" s="51"/>
      <c r="P86" s="51"/>
      <c r="Q86" s="44"/>
      <c r="R86" s="420"/>
      <c r="S86" s="38"/>
      <c r="T86" s="421"/>
      <c r="U86" s="477"/>
    </row>
    <row r="87" spans="1:21" x14ac:dyDescent="0.25">
      <c r="A87" s="587" t="s">
        <v>71</v>
      </c>
      <c r="B87" s="578"/>
      <c r="C87" s="578"/>
      <c r="D87" s="69"/>
      <c r="E87" s="43"/>
      <c r="F87" s="117"/>
      <c r="G87" s="37"/>
      <c r="H87" s="422"/>
      <c r="I87" s="101"/>
      <c r="N87" s="600" t="s">
        <v>463</v>
      </c>
      <c r="O87" s="601"/>
      <c r="P87" s="601"/>
      <c r="Q87" s="51"/>
      <c r="R87" s="420"/>
      <c r="S87" s="51"/>
      <c r="T87" s="38"/>
      <c r="U87" s="478"/>
    </row>
    <row r="88" spans="1:21" x14ac:dyDescent="0.25">
      <c r="A88" s="587" t="s">
        <v>99</v>
      </c>
      <c r="B88" s="578"/>
      <c r="C88" s="578"/>
      <c r="D88" s="69"/>
      <c r="E88" s="43" t="s">
        <v>3</v>
      </c>
      <c r="F88" s="302">
        <f>'1461'!F88</f>
        <v>0</v>
      </c>
      <c r="G88" s="37" t="s">
        <v>6</v>
      </c>
      <c r="H88" s="422">
        <f>H70</f>
        <v>3.4200000000000002E-4</v>
      </c>
      <c r="I88" s="101">
        <f>ROUND(F88*H88,2)</f>
        <v>0</v>
      </c>
      <c r="N88" s="638" t="s">
        <v>99</v>
      </c>
      <c r="O88" s="601"/>
      <c r="P88" s="601"/>
      <c r="Q88" s="44"/>
      <c r="R88" s="419">
        <f>F88</f>
        <v>0</v>
      </c>
      <c r="S88" s="38" t="s">
        <v>6</v>
      </c>
      <c r="T88" s="421">
        <f>T70</f>
        <v>3.4200000000000002E-4</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456</v>
      </c>
      <c r="D90" s="69"/>
      <c r="E90" s="43" t="s">
        <v>421</v>
      </c>
      <c r="F90" s="302">
        <f>'1461'!F90</f>
        <v>19042026</v>
      </c>
      <c r="G90" s="37" t="s">
        <v>6</v>
      </c>
      <c r="H90" s="422">
        <f>H82</f>
        <v>3.8400000000000001E-4</v>
      </c>
      <c r="I90" s="101">
        <f>ROUND(F90*H90,2)</f>
        <v>7312.14</v>
      </c>
      <c r="N90" s="453" t="s">
        <v>456</v>
      </c>
      <c r="O90" s="51"/>
      <c r="P90" s="51"/>
      <c r="Q90" s="44"/>
      <c r="R90" s="419">
        <f>F90</f>
        <v>19042026</v>
      </c>
      <c r="S90" s="38" t="s">
        <v>6</v>
      </c>
      <c r="T90" s="421">
        <f>T82</f>
        <v>3.8400000000000001E-4</v>
      </c>
      <c r="U90" s="473">
        <f>ROUND(R90*T90,2)</f>
        <v>7312.14</v>
      </c>
    </row>
    <row r="91" spans="1:21" x14ac:dyDescent="0.25">
      <c r="A91" s="399"/>
      <c r="D91" s="69"/>
      <c r="E91" s="43"/>
      <c r="F91" s="117"/>
      <c r="G91" s="37"/>
      <c r="H91" s="422"/>
      <c r="I91" s="101"/>
      <c r="N91" s="407"/>
      <c r="O91" s="51"/>
      <c r="P91" s="51"/>
      <c r="Q91" s="44"/>
      <c r="R91" s="419"/>
      <c r="S91" s="38"/>
      <c r="T91" s="421"/>
      <c r="U91" s="473"/>
    </row>
    <row r="92" spans="1:21" x14ac:dyDescent="0.25">
      <c r="A92" s="451" t="s">
        <v>457</v>
      </c>
      <c r="D92" s="69"/>
      <c r="E92" s="43" t="s">
        <v>3</v>
      </c>
      <c r="F92" s="302">
        <f>'1461'!F92</f>
        <v>11441151</v>
      </c>
      <c r="G92" s="37" t="s">
        <v>6</v>
      </c>
      <c r="H92" s="422">
        <f>H76</f>
        <v>3.8299999999999999E-4</v>
      </c>
      <c r="I92" s="101">
        <f t="shared" ref="I92:I96" si="14">ROUND(F92*H92,2)</f>
        <v>4381.96</v>
      </c>
      <c r="N92" s="453" t="s">
        <v>457</v>
      </c>
      <c r="O92" s="51"/>
      <c r="P92" s="51"/>
      <c r="Q92" s="44"/>
      <c r="R92" s="419">
        <f t="shared" ref="R92:R96" si="15">F92</f>
        <v>11441151</v>
      </c>
      <c r="S92" s="38" t="s">
        <v>6</v>
      </c>
      <c r="T92" s="421">
        <f>T76</f>
        <v>3.8299999999999999E-4</v>
      </c>
      <c r="U92" s="473">
        <f>ROUND(R92*T92,2)</f>
        <v>4381.96</v>
      </c>
    </row>
    <row r="93" spans="1:21" x14ac:dyDescent="0.25">
      <c r="A93" s="81"/>
      <c r="D93" s="69"/>
      <c r="E93" s="43"/>
      <c r="F93" s="117"/>
      <c r="G93" s="37"/>
      <c r="H93" s="422"/>
      <c r="I93" s="101"/>
      <c r="N93" s="383"/>
      <c r="O93" s="51"/>
      <c r="P93" s="51"/>
      <c r="Q93" s="44"/>
      <c r="R93" s="420"/>
      <c r="S93" s="38"/>
      <c r="T93" s="421"/>
      <c r="U93" s="477"/>
    </row>
    <row r="94" spans="1:21" x14ac:dyDescent="0.25">
      <c r="A94" s="584" t="s">
        <v>422</v>
      </c>
      <c r="B94" s="578"/>
      <c r="C94" s="578"/>
      <c r="D94" s="69"/>
      <c r="E94" s="43" t="s">
        <v>4</v>
      </c>
      <c r="F94" s="302">
        <f>'1461'!F94</f>
        <v>247265670</v>
      </c>
      <c r="G94" s="37" t="s">
        <v>6</v>
      </c>
      <c r="H94" s="422">
        <f>H73</f>
        <v>4.15E-4</v>
      </c>
      <c r="I94" s="101">
        <f t="shared" si="14"/>
        <v>102615.25</v>
      </c>
      <c r="N94" s="601" t="s">
        <v>422</v>
      </c>
      <c r="O94" s="601"/>
      <c r="P94" s="601"/>
      <c r="Q94" s="44"/>
      <c r="R94" s="419">
        <f t="shared" si="15"/>
        <v>247265670</v>
      </c>
      <c r="S94" s="38" t="s">
        <v>6</v>
      </c>
      <c r="T94" s="421">
        <f>T73</f>
        <v>3.0600000000000001E-4</v>
      </c>
      <c r="U94" s="473">
        <f>ROUND(R94*T94,2)</f>
        <v>75663.3</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4" t="s">
        <v>423</v>
      </c>
      <c r="B96" s="578"/>
      <c r="C96" s="578"/>
      <c r="D96" s="69"/>
      <c r="E96" s="43" t="s">
        <v>4</v>
      </c>
      <c r="F96" s="302">
        <f>'1461'!F96</f>
        <v>0</v>
      </c>
      <c r="G96" s="37" t="s">
        <v>6</v>
      </c>
      <c r="H96" s="422">
        <f>H73</f>
        <v>4.15E-4</v>
      </c>
      <c r="I96" s="101">
        <f t="shared" si="14"/>
        <v>0</v>
      </c>
      <c r="N96" s="600" t="s">
        <v>423</v>
      </c>
      <c r="O96" s="601"/>
      <c r="P96" s="601"/>
      <c r="Q96" s="44"/>
      <c r="R96" s="419">
        <f t="shared" si="15"/>
        <v>0</v>
      </c>
      <c r="S96" s="38" t="s">
        <v>6</v>
      </c>
      <c r="T96" s="421">
        <f>T73</f>
        <v>3.0600000000000001E-4</v>
      </c>
      <c r="U96" s="473">
        <f>ROUND(R96*T96,2)</f>
        <v>0</v>
      </c>
    </row>
    <row r="97" spans="1:21" x14ac:dyDescent="0.25">
      <c r="A97" s="530"/>
      <c r="B97" s="529"/>
      <c r="C97" s="529"/>
      <c r="D97" s="529"/>
      <c r="E97" s="527"/>
      <c r="F97" s="117"/>
      <c r="G97" s="528"/>
      <c r="H97" s="422"/>
      <c r="I97" s="101"/>
      <c r="N97" s="533"/>
      <c r="O97" s="532"/>
      <c r="P97" s="532"/>
      <c r="Q97" s="44"/>
      <c r="R97" s="535"/>
      <c r="S97" s="534"/>
      <c r="T97" s="421"/>
      <c r="U97" s="477"/>
    </row>
    <row r="98" spans="1:21" x14ac:dyDescent="0.25">
      <c r="A98" s="530" t="s">
        <v>497</v>
      </c>
      <c r="B98" s="529"/>
      <c r="C98" s="529"/>
      <c r="D98" s="529"/>
      <c r="E98" s="527" t="s">
        <v>3</v>
      </c>
      <c r="F98" s="290">
        <v>0</v>
      </c>
      <c r="G98" s="528" t="s">
        <v>6</v>
      </c>
      <c r="H98" s="422">
        <f>H70</f>
        <v>3.4200000000000002E-4</v>
      </c>
      <c r="I98" s="101">
        <f t="shared" ref="I98" si="16">ROUND(F98*H98,2)</f>
        <v>0</v>
      </c>
      <c r="N98" s="533" t="s">
        <v>497</v>
      </c>
      <c r="O98" s="533"/>
      <c r="P98" s="533"/>
      <c r="Q98" s="44"/>
      <c r="R98" s="536">
        <f>F98</f>
        <v>0</v>
      </c>
      <c r="S98" s="534" t="s">
        <v>6</v>
      </c>
      <c r="T98" s="421">
        <f>T70</f>
        <v>3.4200000000000002E-4</v>
      </c>
      <c r="U98" s="473">
        <f>ROUND(R98*T98,2)</f>
        <v>0</v>
      </c>
    </row>
    <row r="99" spans="1:21" x14ac:dyDescent="0.25">
      <c r="A99" s="530"/>
      <c r="B99" s="529"/>
      <c r="C99" s="529"/>
      <c r="D99" s="529"/>
      <c r="E99" s="527"/>
      <c r="F99" s="276"/>
      <c r="G99" s="528"/>
      <c r="H99" s="422"/>
      <c r="I99" s="101"/>
      <c r="N99" s="533"/>
      <c r="O99" s="533"/>
      <c r="P99" s="533"/>
      <c r="Q99" s="44"/>
      <c r="R99" s="535"/>
      <c r="S99" s="534"/>
      <c r="T99" s="421"/>
      <c r="U99" s="477"/>
    </row>
    <row r="100" spans="1:21" x14ac:dyDescent="0.25">
      <c r="A100" s="81"/>
      <c r="B100" s="69"/>
      <c r="C100" s="69"/>
      <c r="D100" s="69"/>
      <c r="E100" s="43"/>
      <c r="F100" s="117"/>
      <c r="G100" s="37"/>
      <c r="H100" s="422"/>
      <c r="I100" s="101"/>
      <c r="N100" s="383"/>
      <c r="O100" s="45"/>
      <c r="P100" s="45"/>
      <c r="Q100" s="44"/>
      <c r="R100" s="420"/>
      <c r="S100" s="38"/>
      <c r="T100" s="421"/>
      <c r="U100" s="103"/>
    </row>
    <row r="101" spans="1:21" x14ac:dyDescent="0.25">
      <c r="A101" s="399" t="s">
        <v>498</v>
      </c>
      <c r="N101" s="407" t="s">
        <v>498</v>
      </c>
      <c r="O101" s="51"/>
      <c r="P101" s="51"/>
      <c r="Q101" s="51"/>
      <c r="R101" s="51"/>
      <c r="S101" s="51"/>
      <c r="T101" s="51"/>
      <c r="U101" s="51"/>
    </row>
    <row r="102" spans="1:21" x14ac:dyDescent="0.25">
      <c r="B102" s="69"/>
      <c r="C102" s="563" t="s">
        <v>60</v>
      </c>
      <c r="D102" s="563"/>
      <c r="E102" s="69"/>
      <c r="F102" s="39" t="s">
        <v>28</v>
      </c>
      <c r="G102" s="69"/>
      <c r="H102" s="69"/>
      <c r="I102" s="69"/>
      <c r="N102" s="45"/>
      <c r="O102" s="45"/>
      <c r="P102" s="45"/>
      <c r="Q102" s="45"/>
      <c r="R102" s="45"/>
      <c r="S102" s="45"/>
      <c r="T102" s="45"/>
      <c r="U102" s="45"/>
    </row>
    <row r="103" spans="1:21" x14ac:dyDescent="0.25">
      <c r="A103" s="3"/>
      <c r="B103" s="118"/>
      <c r="C103" s="564" t="s">
        <v>101</v>
      </c>
      <c r="D103" s="564"/>
      <c r="E103" s="423" t="s">
        <v>426</v>
      </c>
      <c r="F103" s="120" t="s">
        <v>106</v>
      </c>
      <c r="G103" s="121"/>
      <c r="H103" s="121"/>
      <c r="I103" s="121"/>
      <c r="N103" s="631" t="s">
        <v>35</v>
      </c>
      <c r="O103" s="631"/>
      <c r="P103" s="672" t="s">
        <v>428</v>
      </c>
      <c r="Q103" s="633"/>
      <c r="R103" s="604" t="s">
        <v>31</v>
      </c>
      <c r="S103" s="604"/>
      <c r="T103" s="604"/>
      <c r="U103" s="604"/>
    </row>
    <row r="104" spans="1:21" x14ac:dyDescent="0.25">
      <c r="A104" s="26"/>
      <c r="B104" s="52" t="s">
        <v>105</v>
      </c>
      <c r="C104" s="596">
        <f>H14+H15+H20+H23+H26</f>
        <v>0</v>
      </c>
      <c r="D104" s="596"/>
      <c r="E104" s="46">
        <f>H8</f>
        <v>1.0407999999999999</v>
      </c>
      <c r="F104" s="303">
        <f>'1461'!F104</f>
        <v>950.92</v>
      </c>
      <c r="G104" s="39" t="s">
        <v>12</v>
      </c>
      <c r="H104" s="101">
        <f>ROUND(C104*E104*F104,2)</f>
        <v>0</v>
      </c>
      <c r="I104" s="104"/>
      <c r="N104" s="28" t="s">
        <v>17</v>
      </c>
      <c r="O104" s="47">
        <f>T14+T15+T20+T23+T26</f>
        <v>0</v>
      </c>
      <c r="P104" s="611">
        <f>T8</f>
        <v>1.0407999999999999</v>
      </c>
      <c r="Q104" s="611"/>
      <c r="R104" s="48">
        <f>F104</f>
        <v>950.92</v>
      </c>
      <c r="S104" s="40" t="s">
        <v>12</v>
      </c>
      <c r="T104" s="479">
        <f>ROUND(O104*P104*R104,2)</f>
        <v>0</v>
      </c>
      <c r="U104" s="102"/>
    </row>
    <row r="105" spans="1:21" x14ac:dyDescent="0.25">
      <c r="A105" s="49"/>
      <c r="B105" s="49" t="s">
        <v>104</v>
      </c>
      <c r="C105" s="596">
        <f>H16+H17+H21+H24+H27</f>
        <v>0</v>
      </c>
      <c r="D105" s="596"/>
      <c r="E105" s="46">
        <f>H8</f>
        <v>1.0407999999999999</v>
      </c>
      <c r="F105" s="303">
        <f>'1461'!F105</f>
        <v>907.92</v>
      </c>
      <c r="G105" s="39" t="s">
        <v>12</v>
      </c>
      <c r="H105" s="101">
        <f>ROUND(C105*E105*F105,2)</f>
        <v>0</v>
      </c>
      <c r="N105" s="50" t="s">
        <v>13</v>
      </c>
      <c r="O105" s="47">
        <f>T16+T17+T21+T24+T27</f>
        <v>0</v>
      </c>
      <c r="P105" s="611">
        <f>T8</f>
        <v>1.0407999999999999</v>
      </c>
      <c r="Q105" s="611"/>
      <c r="R105" s="48">
        <f>F105</f>
        <v>907.92</v>
      </c>
      <c r="S105" s="40" t="s">
        <v>12</v>
      </c>
      <c r="T105" s="479">
        <f>ROUND(O105*P105*R105,2)</f>
        <v>0</v>
      </c>
      <c r="U105" s="51"/>
    </row>
    <row r="106" spans="1:21" ht="16.5" thickBot="1" x14ac:dyDescent="0.3">
      <c r="A106" s="52"/>
      <c r="B106" s="52" t="s">
        <v>103</v>
      </c>
      <c r="C106" s="596">
        <f>H18+H19+H22+H25+H28+H29</f>
        <v>97.584299999999999</v>
      </c>
      <c r="D106" s="596"/>
      <c r="E106" s="46">
        <f>H8</f>
        <v>1.0407999999999999</v>
      </c>
      <c r="F106" s="303">
        <f>'1461'!F106</f>
        <v>910.12</v>
      </c>
      <c r="G106" s="39" t="s">
        <v>12</v>
      </c>
      <c r="H106" s="94">
        <f>ROUND(C106*E106*F106,2)</f>
        <v>92437.01</v>
      </c>
      <c r="N106" s="53" t="s">
        <v>14</v>
      </c>
      <c r="O106" s="54">
        <f>T18+T19+T22+T25+T28+T29</f>
        <v>71.95</v>
      </c>
      <c r="P106" s="611">
        <f>T8</f>
        <v>1.0407999999999999</v>
      </c>
      <c r="Q106" s="611"/>
      <c r="R106" s="48">
        <f>F106</f>
        <v>910.12</v>
      </c>
      <c r="S106" s="40" t="s">
        <v>12</v>
      </c>
      <c r="T106" s="479">
        <f>ROUND(O106*P106*R106,2)</f>
        <v>68154.850000000006</v>
      </c>
      <c r="U106" s="51"/>
    </row>
    <row r="107" spans="1:21" ht="16.5" thickBot="1" x14ac:dyDescent="0.3">
      <c r="A107" s="55"/>
      <c r="B107" s="122" t="s">
        <v>102</v>
      </c>
      <c r="C107" s="586">
        <f>SUM(C104:C106)</f>
        <v>97.584299999999999</v>
      </c>
      <c r="D107" s="586"/>
      <c r="E107" s="123"/>
      <c r="F107" s="123"/>
      <c r="G107" s="123"/>
      <c r="H107" s="124" t="s">
        <v>100</v>
      </c>
      <c r="I107" s="101">
        <f>IF(A1=75,0,H106+H105+H104)</f>
        <v>92437.01</v>
      </c>
      <c r="N107" s="56" t="s">
        <v>89</v>
      </c>
      <c r="O107" s="57">
        <f>SUM(O104:O106)</f>
        <v>71.95</v>
      </c>
      <c r="P107" s="612" t="s">
        <v>16</v>
      </c>
      <c r="Q107" s="613"/>
      <c r="R107" s="613"/>
      <c r="S107" s="613"/>
      <c r="T107" s="613"/>
      <c r="U107" s="473">
        <f>IF(N1=75,0,T106+T105+T104)</f>
        <v>68154.850000000006</v>
      </c>
    </row>
    <row r="108" spans="1:21" ht="16.5" thickTop="1" x14ac:dyDescent="0.25">
      <c r="A108" s="555" t="s">
        <v>65</v>
      </c>
      <c r="B108" s="555"/>
      <c r="C108" s="555"/>
      <c r="D108" s="555"/>
      <c r="E108" s="555"/>
      <c r="F108" s="555"/>
      <c r="G108" s="555"/>
      <c r="H108" s="555"/>
      <c r="I108" s="555"/>
      <c r="N108" s="614" t="s">
        <v>65</v>
      </c>
      <c r="O108" s="614"/>
      <c r="P108" s="614"/>
      <c r="Q108" s="614"/>
      <c r="R108" s="614"/>
      <c r="S108" s="614"/>
      <c r="T108" s="614"/>
      <c r="U108" s="614"/>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0" t="s">
        <v>499</v>
      </c>
      <c r="C110" s="8"/>
      <c r="D110" s="8"/>
      <c r="E110" s="43" t="s">
        <v>32</v>
      </c>
      <c r="F110" s="556"/>
      <c r="G110" s="556"/>
      <c r="H110" s="556"/>
      <c r="I110" s="556"/>
      <c r="N110" s="600" t="s">
        <v>499</v>
      </c>
      <c r="O110" s="601"/>
      <c r="P110" s="601"/>
      <c r="Q110" s="615"/>
      <c r="R110" s="615"/>
      <c r="S110" s="615"/>
      <c r="T110" s="615"/>
      <c r="U110" s="103"/>
    </row>
    <row r="111" spans="1:21" x14ac:dyDescent="0.25">
      <c r="B111" s="69"/>
      <c r="C111" s="88" t="s">
        <v>494</v>
      </c>
      <c r="D111" s="333" t="s">
        <v>495</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57" t="s">
        <v>381</v>
      </c>
      <c r="B113" s="558"/>
      <c r="C113" s="143">
        <v>34</v>
      </c>
      <c r="D113" s="143">
        <v>36</v>
      </c>
      <c r="E113" s="116">
        <f>(C113+D113)/2</f>
        <v>35</v>
      </c>
      <c r="F113" s="126" t="s">
        <v>30</v>
      </c>
      <c r="G113" s="304">
        <f>'1461'!G113</f>
        <v>576</v>
      </c>
      <c r="I113" s="101">
        <f>ROUND(G113*E113,2)</f>
        <v>20160</v>
      </c>
      <c r="N113" s="630" t="s">
        <v>52</v>
      </c>
      <c r="O113" s="630"/>
      <c r="P113" s="610">
        <f>IF(H133=1,E113,0)</f>
        <v>35</v>
      </c>
      <c r="Q113" s="610"/>
      <c r="R113" s="610"/>
      <c r="S113" s="83" t="s">
        <v>30</v>
      </c>
      <c r="T113" s="58">
        <f>G113</f>
        <v>576</v>
      </c>
      <c r="U113" s="473">
        <f>ROUND(T113*P113,2)</f>
        <v>20160</v>
      </c>
    </row>
    <row r="114" spans="1:21" x14ac:dyDescent="0.25">
      <c r="A114" s="557" t="s">
        <v>382</v>
      </c>
      <c r="B114" s="558"/>
      <c r="C114" s="143">
        <v>0</v>
      </c>
      <c r="D114" s="143">
        <v>0</v>
      </c>
      <c r="E114" s="116">
        <f>(C114+D114)/2</f>
        <v>0</v>
      </c>
      <c r="F114" s="126" t="s">
        <v>30</v>
      </c>
      <c r="G114" s="304">
        <f>'1461'!G114</f>
        <v>1823</v>
      </c>
      <c r="I114" s="101">
        <f>ROUND(G114*E114,2)</f>
        <v>0</v>
      </c>
      <c r="N114" s="630" t="s">
        <v>64</v>
      </c>
      <c r="O114" s="630"/>
      <c r="P114" s="608"/>
      <c r="Q114" s="608"/>
      <c r="R114" s="608"/>
      <c r="S114" s="83" t="s">
        <v>30</v>
      </c>
      <c r="T114" s="58">
        <f>G114</f>
        <v>1823</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4" t="s">
        <v>430</v>
      </c>
      <c r="B117" s="578"/>
      <c r="C117" s="578"/>
      <c r="D117" s="69"/>
      <c r="E117" s="39" t="s">
        <v>300</v>
      </c>
      <c r="F117" s="563"/>
      <c r="G117" s="563"/>
      <c r="H117" s="563"/>
      <c r="I117" s="563"/>
      <c r="N117" s="600" t="s">
        <v>431</v>
      </c>
      <c r="O117" s="601"/>
      <c r="P117" s="601"/>
      <c r="Q117" s="601"/>
      <c r="R117" s="601"/>
      <c r="S117" s="601"/>
      <c r="T117" s="601"/>
      <c r="U117" s="601"/>
    </row>
    <row r="118" spans="1:21" hidden="1" x14ac:dyDescent="0.25">
      <c r="B118" s="69"/>
      <c r="C118" s="564" t="s">
        <v>66</v>
      </c>
      <c r="D118" s="564"/>
      <c r="E118" s="564"/>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5" t="s">
        <v>109</v>
      </c>
      <c r="G119" s="563"/>
      <c r="H119" s="37" t="s">
        <v>29</v>
      </c>
      <c r="I119" s="37"/>
      <c r="N119" s="45"/>
      <c r="O119" s="45"/>
      <c r="P119" s="45"/>
      <c r="Q119" s="45"/>
      <c r="R119" s="45"/>
      <c r="S119" s="45"/>
      <c r="T119" s="45"/>
      <c r="U119" s="45"/>
    </row>
    <row r="120" spans="1:21" hidden="1" x14ac:dyDescent="0.25">
      <c r="A120" s="564" t="s">
        <v>69</v>
      </c>
      <c r="B120" s="564"/>
      <c r="C120" s="90" t="s">
        <v>2</v>
      </c>
      <c r="D120" s="90" t="s">
        <v>2</v>
      </c>
      <c r="E120" s="59" t="s">
        <v>2</v>
      </c>
      <c r="F120" s="564" t="s">
        <v>28</v>
      </c>
      <c r="G120" s="564"/>
      <c r="H120" s="59" t="s">
        <v>28</v>
      </c>
      <c r="I120" s="59" t="s">
        <v>8</v>
      </c>
      <c r="N120" s="609" t="s">
        <v>53</v>
      </c>
      <c r="O120" s="609"/>
      <c r="P120" s="610" t="s">
        <v>66</v>
      </c>
      <c r="Q120" s="610"/>
      <c r="R120" s="609" t="s">
        <v>54</v>
      </c>
      <c r="S120" s="609"/>
      <c r="T120" s="60" t="s">
        <v>55</v>
      </c>
      <c r="U120" s="60" t="s">
        <v>8</v>
      </c>
    </row>
    <row r="121" spans="1:21" hidden="1" x14ac:dyDescent="0.25">
      <c r="A121" s="561" t="s">
        <v>56</v>
      </c>
      <c r="B121" s="561"/>
      <c r="C121" s="141">
        <v>0</v>
      </c>
      <c r="D121" s="141">
        <v>0</v>
      </c>
      <c r="E121" s="187">
        <f>IF(D30=0,C121*2,C121+D121)</f>
        <v>0</v>
      </c>
      <c r="F121" s="562">
        <v>0</v>
      </c>
      <c r="G121" s="562"/>
      <c r="H121" s="224">
        <f>IF(C121=0,0,125)</f>
        <v>0</v>
      </c>
      <c r="I121" s="101">
        <f>ROUND((H121+F121)*E121,2)</f>
        <v>0</v>
      </c>
      <c r="N121" s="601" t="s">
        <v>56</v>
      </c>
      <c r="O121" s="601"/>
      <c r="P121" s="608">
        <f>IF(H$133=1,C121,0)</f>
        <v>0</v>
      </c>
      <c r="Q121" s="608"/>
      <c r="R121" s="628">
        <f>F121</f>
        <v>0</v>
      </c>
      <c r="S121" s="628"/>
      <c r="T121" s="62">
        <f>H121</f>
        <v>0</v>
      </c>
      <c r="U121" s="96">
        <f>ROUND((T121+R121)*P121,0)</f>
        <v>0</v>
      </c>
    </row>
    <row r="122" spans="1:21" hidden="1" x14ac:dyDescent="0.25">
      <c r="A122" s="581" t="s">
        <v>57</v>
      </c>
      <c r="B122" s="581"/>
      <c r="C122" s="143">
        <v>0</v>
      </c>
      <c r="D122" s="143">
        <v>0</v>
      </c>
      <c r="E122" s="116">
        <f>IF(D31=0,C122*2,C122+D122)</f>
        <v>0</v>
      </c>
      <c r="F122" s="598">
        <f>ROUND(F121/2,2)</f>
        <v>0</v>
      </c>
      <c r="G122" s="598"/>
      <c r="H122" s="224">
        <f>IF(C122=0,0,62.5)</f>
        <v>0</v>
      </c>
      <c r="I122" s="101">
        <f>ROUND((H122+F122)*E122,2)</f>
        <v>0</v>
      </c>
      <c r="N122" s="601" t="s">
        <v>57</v>
      </c>
      <c r="O122" s="601"/>
      <c r="P122" s="608">
        <f>IF(H$133=1,C122,0)</f>
        <v>0</v>
      </c>
      <c r="Q122" s="608"/>
      <c r="R122" s="629">
        <f>ROUND(R121/2,2)</f>
        <v>0</v>
      </c>
      <c r="S122" s="629"/>
      <c r="T122" s="62">
        <f>H122</f>
        <v>0</v>
      </c>
      <c r="U122" s="96">
        <f>ROUND((T122+R122)*P122,0)</f>
        <v>0</v>
      </c>
    </row>
    <row r="123" spans="1:21" ht="16.5" hidden="1" thickBot="1" x14ac:dyDescent="0.3">
      <c r="A123" s="581" t="s">
        <v>58</v>
      </c>
      <c r="B123" s="581"/>
      <c r="C123" s="143">
        <v>0</v>
      </c>
      <c r="D123" s="143">
        <v>0</v>
      </c>
      <c r="E123" s="116">
        <f>IF(D32=0,C123*2,C123+D123)</f>
        <v>0</v>
      </c>
      <c r="F123" s="599"/>
      <c r="G123" s="599"/>
      <c r="H123" s="225">
        <f>IF(H121&gt;0,436,0)</f>
        <v>0</v>
      </c>
      <c r="I123" s="101">
        <f>ROUND(H123*E123,2)</f>
        <v>0</v>
      </c>
      <c r="N123" s="616" t="s">
        <v>58</v>
      </c>
      <c r="O123" s="616"/>
      <c r="P123" s="608">
        <f>IF(H$133=1,C123,0)</f>
        <v>0</v>
      </c>
      <c r="Q123" s="608"/>
      <c r="R123" s="609"/>
      <c r="S123" s="609"/>
      <c r="T123" s="64">
        <f>H123</f>
        <v>0</v>
      </c>
      <c r="U123" s="103">
        <f>ROUND(T123*P123,0)</f>
        <v>0</v>
      </c>
    </row>
    <row r="124" spans="1:21" ht="16.5" hidden="1" thickBot="1" x14ac:dyDescent="0.3">
      <c r="A124" s="563" t="s">
        <v>8</v>
      </c>
      <c r="B124" s="563"/>
      <c r="C124" s="65"/>
      <c r="D124" s="65"/>
      <c r="E124" s="65"/>
      <c r="F124" s="65"/>
      <c r="G124" s="65"/>
      <c r="H124" s="65"/>
      <c r="I124" s="97">
        <f>SUM(I121:I123)</f>
        <v>0</v>
      </c>
      <c r="N124" s="627" t="s">
        <v>8</v>
      </c>
      <c r="O124" s="627"/>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4" t="s">
        <v>432</v>
      </c>
      <c r="B126" s="578"/>
      <c r="C126" s="578"/>
      <c r="D126" s="69"/>
      <c r="E126" s="68" t="s">
        <v>34</v>
      </c>
      <c r="F126" s="597"/>
      <c r="G126" s="597"/>
      <c r="H126" s="597"/>
      <c r="I126" s="154">
        <v>0</v>
      </c>
      <c r="N126" s="600" t="s">
        <v>432</v>
      </c>
      <c r="O126" s="601"/>
      <c r="P126" s="601"/>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90" t="s">
        <v>8</v>
      </c>
      <c r="B128" s="590"/>
      <c r="C128" s="590"/>
      <c r="D128" s="590"/>
      <c r="E128" s="590"/>
      <c r="F128" s="590"/>
      <c r="G128" s="590"/>
      <c r="H128" s="590"/>
      <c r="I128" s="94">
        <f>SUM(I46,I66,I85,I88,I90,I92,I94,I96,I107,I113,I114,I124,I126)</f>
        <v>1182742.0399999998</v>
      </c>
      <c r="N128" s="453"/>
      <c r="O128" s="452"/>
      <c r="P128" s="452"/>
      <c r="Q128" s="306"/>
      <c r="R128" s="306"/>
      <c r="S128" s="306"/>
      <c r="T128" s="306"/>
      <c r="U128" s="480">
        <f>SUM(U30,U85,U88,U90,U92,U94,U96,U107,U113,U114,U124,U126)</f>
        <v>590719.82000000007</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434</v>
      </c>
      <c r="B130" s="26"/>
      <c r="C130" s="26"/>
      <c r="D130" s="26"/>
      <c r="E130" s="26"/>
      <c r="F130" s="26"/>
      <c r="G130" s="26"/>
      <c r="H130" s="26"/>
      <c r="I130" s="101">
        <f>I128-I53</f>
        <v>1150634.3599999999</v>
      </c>
      <c r="N130" s="601" t="s">
        <v>434</v>
      </c>
      <c r="O130" s="601"/>
      <c r="P130" s="601"/>
      <c r="Q130" s="601"/>
      <c r="R130" s="601"/>
      <c r="S130" s="601"/>
      <c r="T130" s="601"/>
      <c r="U130" s="132">
        <f>U128-U53</f>
        <v>567046.46000000008</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4" t="s">
        <v>502</v>
      </c>
      <c r="B132" s="578"/>
      <c r="C132" s="578"/>
      <c r="D132" s="578"/>
      <c r="E132" s="578"/>
      <c r="F132" s="578"/>
      <c r="G132" s="578"/>
      <c r="H132" s="81" t="s">
        <v>333</v>
      </c>
      <c r="I132" s="134"/>
      <c r="N132" s="600" t="s">
        <v>502</v>
      </c>
      <c r="O132" s="601"/>
      <c r="P132" s="601"/>
      <c r="Q132" s="601"/>
      <c r="R132" s="601"/>
      <c r="S132" s="601"/>
      <c r="T132" s="601"/>
      <c r="U132" s="138"/>
    </row>
    <row r="133" spans="1:21" x14ac:dyDescent="0.25">
      <c r="A133" s="578" t="s">
        <v>70</v>
      </c>
      <c r="B133" s="578"/>
      <c r="C133" s="578"/>
      <c r="D133" s="578"/>
      <c r="E133" s="578"/>
      <c r="F133" s="578"/>
      <c r="G133" s="578"/>
      <c r="H133" s="70">
        <f>IF(E30=0,"",IF((E15+E17+SUM(E19:E25))/E30&gt;0.75,1,""))</f>
        <v>1</v>
      </c>
      <c r="I133" s="116">
        <f>U130</f>
        <v>567046.46000000008</v>
      </c>
      <c r="N133" s="601" t="s">
        <v>70</v>
      </c>
      <c r="O133" s="601"/>
      <c r="P133" s="601"/>
      <c r="Q133" s="601"/>
      <c r="R133" s="601"/>
      <c r="S133" s="601"/>
      <c r="T133" s="601"/>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567046.46000000008</v>
      </c>
      <c r="I135" s="94">
        <f>ROUND(IF(E30=0,0,IF(E30&gt;250,-(((250/E30)*H135)*IF(G135="H",0.02,0.05)),IF(G135="H",-0.02*H135,-0.05*H135))),2)</f>
        <v>-28352.32</v>
      </c>
      <c r="N135" s="626"/>
      <c r="O135" s="626"/>
      <c r="P135" s="626"/>
      <c r="Q135" s="626"/>
      <c r="R135" s="626"/>
      <c r="S135" s="626"/>
      <c r="T135" s="626"/>
      <c r="U135" s="626"/>
    </row>
    <row r="136" spans="1:21" x14ac:dyDescent="0.25">
      <c r="B136" s="69"/>
      <c r="C136" s="69"/>
      <c r="D136" s="69"/>
      <c r="E136" s="69"/>
      <c r="F136" s="69"/>
      <c r="G136" s="69"/>
      <c r="H136" s="65"/>
      <c r="I136" s="101"/>
      <c r="N136" s="624" t="s">
        <v>7</v>
      </c>
      <c r="O136" s="624"/>
      <c r="P136" s="624"/>
      <c r="Q136" s="624"/>
      <c r="R136" s="624"/>
      <c r="S136" s="624"/>
      <c r="T136" s="624"/>
      <c r="U136" s="624"/>
    </row>
    <row r="137" spans="1:21" x14ac:dyDescent="0.25">
      <c r="A137" s="309" t="s">
        <v>74</v>
      </c>
      <c r="B137" s="310"/>
      <c r="C137" s="310"/>
      <c r="D137" s="310"/>
      <c r="E137" s="310"/>
      <c r="F137" s="310"/>
      <c r="G137" s="310"/>
      <c r="H137" s="311"/>
      <c r="I137" s="312">
        <f>I128+I135</f>
        <v>1154389.7199999997</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Payments'!Q70</f>
        <v>0</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1154389.7199999997</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96199.14</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45" t="str">
        <f>'1461'!A152</f>
        <v>(a) Additional FTE includes FTE earned through Advanced Placement, International Baccalaureate, Advanced International Certificate of Education, Industry Certified Career</v>
      </c>
      <c r="B152" s="346"/>
      <c r="C152" s="346"/>
      <c r="D152" s="346"/>
      <c r="E152" s="346"/>
      <c r="F152" s="346"/>
      <c r="G152" s="346"/>
      <c r="H152" s="346"/>
      <c r="I152" s="346"/>
      <c r="J152" s="77"/>
      <c r="K152" s="76"/>
      <c r="L152" s="76"/>
      <c r="M152" s="76"/>
      <c r="N152" s="73"/>
      <c r="O152" s="73"/>
      <c r="P152" s="73"/>
      <c r="Q152" s="73"/>
      <c r="R152" s="73"/>
      <c r="S152" s="73"/>
      <c r="T152" s="73"/>
      <c r="U152" s="73"/>
    </row>
    <row r="153" spans="1:21" ht="15.75" customHeight="1" x14ac:dyDescent="0.25">
      <c r="A153" s="351" t="s">
        <v>372</v>
      </c>
      <c r="B153" s="346"/>
      <c r="C153" s="346"/>
      <c r="D153" s="346"/>
      <c r="E153" s="346"/>
      <c r="F153" s="346"/>
      <c r="G153" s="346"/>
      <c r="H153" s="346"/>
      <c r="I153" s="346"/>
      <c r="J153" s="77"/>
      <c r="K153" s="76"/>
      <c r="L153" s="76"/>
      <c r="M153" s="76"/>
      <c r="N153" s="73"/>
      <c r="O153" s="73"/>
      <c r="P153" s="73"/>
      <c r="Q153" s="73"/>
      <c r="R153" s="73"/>
      <c r="S153" s="73"/>
      <c r="T153" s="73"/>
      <c r="U153" s="73"/>
    </row>
    <row r="154" spans="1:21" x14ac:dyDescent="0.25">
      <c r="A154" s="345" t="s">
        <v>373</v>
      </c>
      <c r="B154" s="347"/>
      <c r="C154" s="347"/>
      <c r="D154" s="347"/>
      <c r="E154" s="347"/>
      <c r="F154" s="347"/>
      <c r="G154" s="347"/>
      <c r="H154" s="347"/>
      <c r="I154" s="347"/>
      <c r="J154" s="76"/>
      <c r="K154" s="76"/>
      <c r="L154" s="76"/>
      <c r="M154" s="76"/>
      <c r="N154" s="73"/>
      <c r="O154" s="73"/>
      <c r="P154" s="73"/>
      <c r="Q154" s="73"/>
      <c r="R154" s="73"/>
      <c r="S154" s="73"/>
      <c r="T154" s="73"/>
      <c r="U154" s="73"/>
    </row>
    <row r="155" spans="1:21" s="76" customFormat="1" x14ac:dyDescent="0.2">
      <c r="A155" s="345" t="s">
        <v>374</v>
      </c>
      <c r="B155" s="347"/>
      <c r="C155" s="347"/>
      <c r="D155" s="347"/>
      <c r="E155" s="347"/>
      <c r="F155" s="347"/>
      <c r="G155" s="347"/>
      <c r="H155" s="347"/>
      <c r="I155" s="347"/>
      <c r="N155" s="625"/>
      <c r="O155" s="625"/>
      <c r="P155" s="625"/>
      <c r="Q155" s="625"/>
      <c r="R155" s="625"/>
      <c r="S155" s="625"/>
      <c r="T155" s="625"/>
      <c r="U155" s="625"/>
    </row>
    <row r="156" spans="1:21" s="76" customFormat="1" x14ac:dyDescent="0.2">
      <c r="A156" s="345" t="s">
        <v>375</v>
      </c>
      <c r="B156" s="347"/>
      <c r="C156" s="347"/>
      <c r="D156" s="347"/>
      <c r="E156" s="347"/>
      <c r="F156" s="347"/>
      <c r="G156" s="347"/>
      <c r="H156" s="347"/>
      <c r="I156" s="347"/>
      <c r="N156" s="73"/>
      <c r="O156" s="73"/>
      <c r="P156" s="73"/>
      <c r="Q156" s="73"/>
      <c r="R156" s="73"/>
      <c r="S156" s="73"/>
      <c r="T156" s="73"/>
      <c r="U156" s="73"/>
    </row>
    <row r="157" spans="1:21" s="76" customFormat="1" x14ac:dyDescent="0.2">
      <c r="A157" s="345" t="s">
        <v>376</v>
      </c>
      <c r="B157" s="347"/>
      <c r="C157" s="347"/>
      <c r="D157" s="347"/>
      <c r="E157" s="347"/>
      <c r="F157" s="347"/>
      <c r="G157" s="347"/>
      <c r="H157" s="347"/>
      <c r="I157" s="347"/>
      <c r="N157" s="78"/>
      <c r="O157" s="79"/>
      <c r="P157" s="79"/>
      <c r="Q157" s="79"/>
      <c r="R157" s="79"/>
      <c r="S157" s="79"/>
      <c r="T157" s="79"/>
      <c r="U157" s="79"/>
    </row>
    <row r="158" spans="1:21" s="76" customFormat="1" x14ac:dyDescent="0.2">
      <c r="A158" s="345" t="s">
        <v>377</v>
      </c>
      <c r="B158" s="347"/>
      <c r="C158" s="347"/>
      <c r="D158" s="347"/>
      <c r="E158" s="347"/>
      <c r="F158" s="347"/>
      <c r="G158" s="347"/>
      <c r="H158" s="347"/>
      <c r="I158" s="347"/>
      <c r="N158" s="78"/>
    </row>
    <row r="159" spans="1:21" s="76" customFormat="1" x14ac:dyDescent="0.2">
      <c r="A159" s="345" t="s">
        <v>379</v>
      </c>
      <c r="B159" s="347"/>
      <c r="C159" s="347"/>
      <c r="D159" s="347"/>
      <c r="E159" s="347"/>
      <c r="F159" s="347"/>
      <c r="G159" s="347"/>
      <c r="H159" s="347"/>
      <c r="I159" s="347"/>
      <c r="N159" s="78"/>
    </row>
    <row r="160" spans="1:21" s="76" customFormat="1" x14ac:dyDescent="0.2">
      <c r="A160" s="351" t="s">
        <v>378</v>
      </c>
      <c r="B160" s="347"/>
      <c r="C160" s="347"/>
      <c r="D160" s="347"/>
      <c r="E160" s="347"/>
      <c r="F160" s="347"/>
      <c r="G160" s="347"/>
      <c r="H160" s="347"/>
      <c r="I160" s="347"/>
      <c r="N160" s="78"/>
    </row>
    <row r="161" spans="1:14" s="76" customFormat="1" x14ac:dyDescent="0.2">
      <c r="A161" s="345" t="s">
        <v>380</v>
      </c>
      <c r="B161" s="347"/>
      <c r="C161" s="347"/>
      <c r="D161" s="347"/>
      <c r="E161" s="347"/>
      <c r="F161" s="347"/>
      <c r="G161" s="347"/>
      <c r="H161" s="347"/>
      <c r="I161" s="347"/>
      <c r="N161" s="78"/>
    </row>
    <row r="162" spans="1:14" s="76" customFormat="1" x14ac:dyDescent="0.2">
      <c r="A162" s="351" t="str">
        <f>'1461'!A162</f>
        <v>"All Adjusted ESE Riders" should include only ESE Riders.</v>
      </c>
      <c r="B162" s="347"/>
      <c r="C162" s="347"/>
      <c r="D162" s="347"/>
      <c r="E162" s="347"/>
      <c r="F162" s="347"/>
      <c r="G162" s="347"/>
      <c r="H162" s="347"/>
      <c r="I162" s="347"/>
      <c r="N162" s="78"/>
    </row>
    <row r="163" spans="1:14" s="76" customFormat="1" x14ac:dyDescent="0.2">
      <c r="A163" s="345" t="s">
        <v>383</v>
      </c>
      <c r="B163" s="347"/>
      <c r="C163" s="347"/>
      <c r="D163" s="347"/>
      <c r="E163" s="347"/>
      <c r="F163" s="347"/>
      <c r="G163" s="347"/>
      <c r="H163" s="347"/>
      <c r="I163" s="347"/>
      <c r="N163" s="78"/>
    </row>
    <row r="164" spans="1:14" s="76" customFormat="1" ht="15.75" customHeight="1" x14ac:dyDescent="0.2">
      <c r="A164" s="345" t="str">
        <f>'1461'!A164</f>
        <v xml:space="preserve">(j) Funding based on student eligibility and meals provided, if participating in the National School Lunch Program. </v>
      </c>
      <c r="B164" s="347"/>
      <c r="C164" s="347"/>
      <c r="D164" s="347"/>
      <c r="E164" s="347"/>
      <c r="F164" s="347"/>
      <c r="G164" s="347"/>
      <c r="H164" s="347"/>
      <c r="I164" s="347"/>
      <c r="N164" s="78"/>
    </row>
    <row r="165" spans="1:14" s="76" customFormat="1" ht="15.75" customHeight="1" x14ac:dyDescent="0.2">
      <c r="A165" s="345" t="s">
        <v>385</v>
      </c>
      <c r="B165" s="347"/>
      <c r="C165" s="347"/>
      <c r="D165" s="347"/>
      <c r="E165" s="347"/>
      <c r="F165" s="347"/>
      <c r="G165" s="347"/>
      <c r="H165" s="347"/>
      <c r="I165" s="347"/>
      <c r="N165" s="78"/>
    </row>
    <row r="166" spans="1:14" s="76" customFormat="1" ht="15.75" customHeight="1" x14ac:dyDescent="0.2">
      <c r="A166" s="351" t="s">
        <v>384</v>
      </c>
      <c r="B166" s="347"/>
      <c r="C166" s="347"/>
      <c r="D166" s="347"/>
      <c r="E166" s="347"/>
      <c r="F166" s="347"/>
      <c r="G166" s="347"/>
      <c r="H166" s="347"/>
      <c r="I166" s="347"/>
      <c r="N166" s="78"/>
    </row>
    <row r="167" spans="1:14" s="76" customFormat="1" ht="15.75" customHeight="1" x14ac:dyDescent="0.2">
      <c r="A167" s="345" t="s">
        <v>386</v>
      </c>
      <c r="B167" s="347"/>
      <c r="C167" s="347"/>
      <c r="D167" s="347"/>
      <c r="E167" s="347"/>
      <c r="F167" s="347"/>
      <c r="G167" s="347"/>
      <c r="H167" s="347"/>
      <c r="I167" s="347"/>
      <c r="N167" s="78"/>
    </row>
    <row r="168" spans="1:14" s="76" customFormat="1" ht="15.75" customHeight="1" x14ac:dyDescent="0.2">
      <c r="A168" s="351" t="str">
        <f>'1461'!A168</f>
        <v xml:space="preserve">unweighted full-time equivalent students. </v>
      </c>
      <c r="B168" s="347"/>
      <c r="C168" s="347"/>
      <c r="D168" s="347"/>
      <c r="E168" s="347"/>
      <c r="F168" s="347"/>
      <c r="G168" s="347"/>
      <c r="H168" s="347"/>
      <c r="I168" s="347"/>
      <c r="N168" s="78"/>
    </row>
    <row r="169" spans="1:14" s="76" customFormat="1" ht="15.75" customHeight="1" x14ac:dyDescent="0.2">
      <c r="A169" s="345" t="s">
        <v>388</v>
      </c>
      <c r="B169" s="347"/>
      <c r="C169" s="347"/>
      <c r="D169" s="347"/>
      <c r="E169" s="347"/>
      <c r="F169" s="347"/>
      <c r="G169" s="347"/>
      <c r="H169" s="347"/>
      <c r="I169" s="347"/>
      <c r="N169" s="78"/>
    </row>
    <row r="170" spans="1:14" s="76" customFormat="1" ht="15.75" customHeight="1" x14ac:dyDescent="0.2">
      <c r="A170" s="351" t="s">
        <v>387</v>
      </c>
      <c r="B170" s="347"/>
      <c r="C170" s="347"/>
      <c r="D170" s="347"/>
      <c r="E170" s="347"/>
      <c r="F170" s="347"/>
      <c r="G170" s="347"/>
      <c r="H170" s="347"/>
      <c r="I170" s="347"/>
      <c r="N170" s="78"/>
    </row>
    <row r="171" spans="1:14" s="76" customFormat="1" ht="15.75" customHeight="1" x14ac:dyDescent="0.2">
      <c r="A171" s="345"/>
      <c r="B171" s="347"/>
      <c r="C171" s="347"/>
      <c r="D171" s="347"/>
      <c r="E171" s="347"/>
      <c r="F171" s="347"/>
      <c r="G171" s="347"/>
      <c r="H171" s="347"/>
      <c r="I171" s="347"/>
      <c r="N171" s="78"/>
    </row>
    <row r="172" spans="1:14" s="76" customFormat="1" ht="15.75" customHeight="1" x14ac:dyDescent="0.25">
      <c r="A172" s="358" t="str">
        <f>'1461'!A172</f>
        <v>Administrative fees:</v>
      </c>
      <c r="B172" s="347"/>
      <c r="C172" s="347"/>
      <c r="D172" s="347"/>
      <c r="E172" s="347"/>
      <c r="F172" s="347"/>
      <c r="G172" s="347"/>
      <c r="H172" s="347"/>
      <c r="I172" s="347"/>
      <c r="J172" s="3"/>
      <c r="K172" s="3"/>
      <c r="L172" s="3"/>
      <c r="M172" s="3"/>
      <c r="N172" s="78"/>
    </row>
    <row r="173" spans="1:14" s="76" customFormat="1" ht="15.75" customHeight="1" x14ac:dyDescent="0.25">
      <c r="A173" s="362" t="str">
        <f>'1461'!A173</f>
        <v xml:space="preserve">Administrative fees charged by the school district pursuant to s. 1002.33(20)(a), F.S., shall be calculated based upon 5% of available funds from the FEFP and categorical </v>
      </c>
      <c r="B173" s="350"/>
      <c r="C173" s="350"/>
      <c r="D173" s="350"/>
      <c r="E173" s="350"/>
      <c r="F173" s="350"/>
      <c r="G173" s="350"/>
      <c r="H173" s="350"/>
      <c r="I173" s="350"/>
      <c r="J173" s="3"/>
      <c r="K173" s="3"/>
      <c r="L173" s="3"/>
      <c r="M173" s="3"/>
      <c r="N173" s="78"/>
    </row>
    <row r="174" spans="1:14" s="76" customFormat="1" ht="15.75" customHeight="1" x14ac:dyDescent="0.25">
      <c r="A174" s="363" t="str">
        <f>'1461'!A174</f>
        <v>funding for which charter students may be eligible.  To calculate the administrative fee to be withheld for schools with more than 250 students, divide the school</v>
      </c>
      <c r="B174" s="357"/>
      <c r="C174" s="357"/>
      <c r="D174" s="357"/>
      <c r="E174" s="357"/>
      <c r="F174" s="357"/>
      <c r="G174" s="357"/>
      <c r="H174" s="357"/>
      <c r="I174" s="357"/>
      <c r="J174" s="3"/>
      <c r="K174" s="3"/>
      <c r="L174" s="3"/>
      <c r="M174" s="3"/>
      <c r="N174" s="78"/>
    </row>
    <row r="175" spans="1:14" s="76" customFormat="1" ht="15.75" customHeight="1" x14ac:dyDescent="0.25">
      <c r="A175" s="363" t="s">
        <v>389</v>
      </c>
      <c r="B175" s="357"/>
      <c r="C175" s="357"/>
      <c r="D175" s="357"/>
      <c r="E175" s="357"/>
      <c r="F175" s="357"/>
      <c r="G175" s="357"/>
      <c r="H175" s="357"/>
      <c r="I175" s="357"/>
      <c r="J175" s="3"/>
      <c r="K175" s="3"/>
      <c r="L175" s="3"/>
      <c r="M175" s="3"/>
      <c r="N175" s="78"/>
    </row>
    <row r="176" spans="1:14" s="76" customFormat="1" ht="15.75" customHeight="1" x14ac:dyDescent="0.2">
      <c r="A176" s="363" t="s">
        <v>390</v>
      </c>
      <c r="B176" s="357"/>
      <c r="C176" s="357"/>
      <c r="D176" s="357"/>
      <c r="E176" s="357"/>
      <c r="F176" s="357"/>
      <c r="G176" s="357"/>
      <c r="H176" s="357"/>
      <c r="I176" s="357"/>
      <c r="N176" s="78"/>
    </row>
    <row r="177" spans="1:21" s="76" customFormat="1" ht="15.75" customHeight="1" x14ac:dyDescent="0.2">
      <c r="A177" s="362"/>
      <c r="B177" s="357"/>
      <c r="C177" s="357"/>
      <c r="D177" s="357"/>
      <c r="E177" s="357"/>
      <c r="F177" s="357"/>
      <c r="G177" s="357"/>
      <c r="H177" s="357"/>
      <c r="I177" s="357"/>
      <c r="N177" s="78"/>
    </row>
    <row r="178" spans="1:21" ht="15.75" customHeight="1" x14ac:dyDescent="0.25">
      <c r="A178" s="362" t="str">
        <f>'1461'!A178</f>
        <v xml:space="preserve">For high performing charter schools, administrative fees charged by the school district shall be calculated based upon 2% of available funds from the FEFP and categorical </v>
      </c>
      <c r="B178" s="350"/>
      <c r="C178" s="350"/>
      <c r="D178" s="350"/>
      <c r="E178" s="350"/>
      <c r="F178" s="350"/>
      <c r="G178" s="350"/>
      <c r="H178" s="350"/>
      <c r="I178" s="350"/>
      <c r="J178" s="76"/>
      <c r="K178" s="76"/>
      <c r="L178" s="76"/>
      <c r="M178" s="76"/>
      <c r="N178" s="78"/>
      <c r="O178" s="76"/>
      <c r="P178" s="76"/>
      <c r="Q178" s="76"/>
      <c r="R178" s="76"/>
      <c r="S178" s="76"/>
      <c r="T178" s="76"/>
      <c r="U178" s="76"/>
    </row>
    <row r="179" spans="1:21" ht="15.75" customHeight="1" x14ac:dyDescent="0.25">
      <c r="A179" s="363" t="str">
        <f>'1461'!A179</f>
        <v>funding for which charter students may be eligible.  To calculate the administrative fee to be withheld for schools with more than 250 students, divide the school</v>
      </c>
      <c r="B179" s="350"/>
      <c r="C179" s="350"/>
      <c r="D179" s="350"/>
      <c r="E179" s="350"/>
      <c r="F179" s="350"/>
      <c r="G179" s="350"/>
      <c r="H179" s="350"/>
      <c r="I179" s="350"/>
      <c r="J179" s="76"/>
      <c r="K179" s="76"/>
      <c r="L179" s="76"/>
      <c r="M179" s="76"/>
      <c r="N179" s="74"/>
    </row>
    <row r="180" spans="1:21" s="76" customFormat="1" ht="15.75" customHeight="1" x14ac:dyDescent="0.25">
      <c r="A180" s="363" t="str">
        <f>'1461'!A180</f>
        <v xml:space="preserve">population into 250. Multiply that fraction times the funds available, then times 2%.  </v>
      </c>
      <c r="B180" s="350"/>
      <c r="C180" s="350"/>
      <c r="D180" s="350"/>
      <c r="E180" s="350"/>
      <c r="F180" s="350"/>
      <c r="G180" s="350"/>
      <c r="H180" s="350"/>
      <c r="I180" s="350"/>
      <c r="N180" s="74"/>
      <c r="O180" s="3"/>
      <c r="P180" s="3"/>
      <c r="Q180" s="3"/>
      <c r="R180" s="3"/>
      <c r="S180" s="3"/>
      <c r="T180" s="3"/>
      <c r="U180" s="3"/>
    </row>
    <row r="181" spans="1:21" x14ac:dyDescent="0.25">
      <c r="A181" s="345"/>
      <c r="B181" s="350"/>
      <c r="C181" s="350"/>
      <c r="D181" s="350"/>
      <c r="E181" s="350"/>
      <c r="F181" s="350"/>
      <c r="G181" s="350"/>
      <c r="H181" s="350"/>
      <c r="I181" s="350"/>
      <c r="N181" s="78"/>
      <c r="O181" s="76"/>
      <c r="P181" s="76"/>
      <c r="Q181" s="76"/>
      <c r="R181" s="76"/>
      <c r="S181" s="76"/>
      <c r="T181" s="76"/>
      <c r="U181" s="76"/>
    </row>
    <row r="182" spans="1:21" x14ac:dyDescent="0.25">
      <c r="A182" s="358" t="str">
        <f>'1461'!A182</f>
        <v>Other:</v>
      </c>
      <c r="B182" s="356"/>
      <c r="C182" s="356"/>
      <c r="D182" s="356"/>
      <c r="E182" s="356"/>
      <c r="F182" s="356"/>
      <c r="G182" s="356"/>
      <c r="H182" s="356"/>
      <c r="I182" s="356"/>
      <c r="N182" s="78"/>
      <c r="O182" s="76"/>
      <c r="P182" s="76"/>
      <c r="Q182" s="76"/>
      <c r="R182" s="76"/>
      <c r="S182" s="76"/>
      <c r="T182" s="76"/>
      <c r="U182" s="76"/>
    </row>
    <row r="183" spans="1:21" x14ac:dyDescent="0.25">
      <c r="A183" s="362" t="str">
        <f>'1461'!A183</f>
        <v>FEFP and categorical funding are recalculated during the year to reflect the revised number of full-time equivalent students reported during the survey periods designated</v>
      </c>
      <c r="B183" s="350"/>
      <c r="C183" s="350"/>
      <c r="D183" s="350"/>
      <c r="E183" s="350"/>
      <c r="F183" s="350"/>
      <c r="G183" s="350"/>
      <c r="H183" s="350"/>
      <c r="I183" s="350"/>
      <c r="N183" s="78"/>
      <c r="O183" s="76"/>
      <c r="P183" s="76"/>
      <c r="Q183" s="76"/>
      <c r="R183" s="76"/>
      <c r="S183" s="76"/>
      <c r="T183" s="76"/>
      <c r="U183" s="76"/>
    </row>
    <row r="184" spans="1:21" x14ac:dyDescent="0.25">
      <c r="A184" s="363" t="str">
        <f>'1461'!A184</f>
        <v>by the Commissioner of Education.</v>
      </c>
      <c r="B184" s="357"/>
      <c r="C184" s="357"/>
      <c r="D184" s="357"/>
      <c r="E184" s="357"/>
      <c r="F184" s="357"/>
      <c r="G184" s="357"/>
      <c r="H184" s="357"/>
      <c r="I184" s="357"/>
      <c r="N184" s="74"/>
    </row>
    <row r="185" spans="1:21" x14ac:dyDescent="0.25">
      <c r="A185" s="362" t="str">
        <f>'1461'!A185</f>
        <v>Revenues flow to districts from state sources and from county tax collectors on various distribution schedules.</v>
      </c>
      <c r="B185" s="350"/>
      <c r="C185" s="350"/>
      <c r="D185" s="350"/>
      <c r="E185" s="350"/>
      <c r="F185" s="350"/>
      <c r="G185" s="350"/>
      <c r="H185" s="350"/>
      <c r="I185" s="350"/>
      <c r="N185" s="74"/>
    </row>
    <row r="186" spans="1:21" x14ac:dyDescent="0.25">
      <c r="A186" s="293"/>
      <c r="B186" s="293"/>
      <c r="C186" s="293"/>
      <c r="D186" s="293"/>
      <c r="E186" s="293"/>
      <c r="F186" s="293"/>
      <c r="G186" s="293"/>
      <c r="H186" s="293"/>
      <c r="I186" s="293"/>
      <c r="N186" s="74"/>
    </row>
    <row r="187" spans="1:21" x14ac:dyDescent="0.25">
      <c r="A187" s="74"/>
      <c r="N187" s="74"/>
    </row>
    <row r="188" spans="1:21" x14ac:dyDescent="0.25">
      <c r="A188" s="74"/>
      <c r="N188" s="74"/>
    </row>
    <row r="189" spans="1:21" x14ac:dyDescent="0.25">
      <c r="A189" s="74"/>
      <c r="N189" s="74"/>
    </row>
    <row r="190" spans="1:21" x14ac:dyDescent="0.25">
      <c r="A190" s="74"/>
      <c r="B190" s="135"/>
      <c r="C190" s="135"/>
      <c r="D190" s="135"/>
      <c r="E190" s="135"/>
      <c r="F190" s="135"/>
      <c r="G190" s="135"/>
      <c r="H190" s="135"/>
      <c r="I190" s="135"/>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4:B124"/>
    <mergeCell ref="R121:S121"/>
    <mergeCell ref="A122:B122"/>
    <mergeCell ref="F122:G122"/>
    <mergeCell ref="N122:O122"/>
    <mergeCell ref="P122:Q122"/>
    <mergeCell ref="N155:U155"/>
    <mergeCell ref="N135:U135"/>
    <mergeCell ref="N126:P126"/>
    <mergeCell ref="A126:C126"/>
    <mergeCell ref="F126:H126"/>
    <mergeCell ref="N130:T130"/>
    <mergeCell ref="A128:H128"/>
    <mergeCell ref="A132:G132"/>
    <mergeCell ref="A133:G133"/>
    <mergeCell ref="N136:U136"/>
    <mergeCell ref="A123:B123"/>
    <mergeCell ref="F123:G123"/>
    <mergeCell ref="N123:O123"/>
    <mergeCell ref="P123:Q123"/>
    <mergeCell ref="R123:S123"/>
    <mergeCell ref="R122:S122"/>
    <mergeCell ref="A121:B121"/>
    <mergeCell ref="F121:G121"/>
    <mergeCell ref="F110:I110"/>
    <mergeCell ref="N110:P110"/>
    <mergeCell ref="Q110:T110"/>
    <mergeCell ref="R120:S120"/>
    <mergeCell ref="A113:B113"/>
    <mergeCell ref="N113:O113"/>
    <mergeCell ref="P113:R113"/>
    <mergeCell ref="A114:B114"/>
    <mergeCell ref="N114:O114"/>
    <mergeCell ref="P114:R114"/>
    <mergeCell ref="A117:C117"/>
    <mergeCell ref="F117:I117"/>
    <mergeCell ref="N117:U117"/>
    <mergeCell ref="C118:E118"/>
    <mergeCell ref="F119:G119"/>
    <mergeCell ref="A120:B120"/>
    <mergeCell ref="F120:G120"/>
    <mergeCell ref="N120:O120"/>
    <mergeCell ref="P120:Q120"/>
    <mergeCell ref="C104:D104"/>
    <mergeCell ref="P104:Q104"/>
    <mergeCell ref="C105:D105"/>
    <mergeCell ref="P105:Q105"/>
    <mergeCell ref="C106:D106"/>
    <mergeCell ref="P106:Q106"/>
    <mergeCell ref="C107:D107"/>
    <mergeCell ref="P107:T107"/>
    <mergeCell ref="A108:I108"/>
    <mergeCell ref="N108:U108"/>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A78:B78"/>
    <mergeCell ref="D78:G78"/>
    <mergeCell ref="N78:O78"/>
    <mergeCell ref="Q78:S78"/>
    <mergeCell ref="T78:U78"/>
    <mergeCell ref="N79:S79"/>
    <mergeCell ref="T79:U79"/>
    <mergeCell ref="A57:B65"/>
    <mergeCell ref="F66:H66"/>
    <mergeCell ref="P65:Q65"/>
    <mergeCell ref="P66:Q66"/>
    <mergeCell ref="R66:T66"/>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N132:T132"/>
    <mergeCell ref="N133:T133"/>
    <mergeCell ref="P56:Q56"/>
    <mergeCell ref="P57:Q57"/>
    <mergeCell ref="P58:Q58"/>
    <mergeCell ref="P59:Q59"/>
    <mergeCell ref="P60:Q60"/>
    <mergeCell ref="P61:Q61"/>
    <mergeCell ref="P62:Q62"/>
    <mergeCell ref="P63:Q63"/>
    <mergeCell ref="P64:Q64"/>
    <mergeCell ref="N88:P88"/>
    <mergeCell ref="N76:S76"/>
    <mergeCell ref="T76:U76"/>
    <mergeCell ref="N124:O124"/>
    <mergeCell ref="N121:O121"/>
    <mergeCell ref="P121:Q121"/>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CCCC"/>
    <pageSetUpPr fitToPage="1"/>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6" t="s">
        <v>15</v>
      </c>
      <c r="C1" s="567"/>
      <c r="D1" s="567"/>
      <c r="E1" s="567"/>
      <c r="F1" s="567"/>
      <c r="G1" s="567"/>
      <c r="H1" s="567"/>
      <c r="I1" s="567"/>
      <c r="J1" s="135"/>
      <c r="K1" s="135"/>
      <c r="L1" s="135"/>
      <c r="N1" s="82">
        <f>A1</f>
        <v>0</v>
      </c>
      <c r="O1" s="658" t="s">
        <v>15</v>
      </c>
      <c r="P1" s="659"/>
      <c r="Q1" s="659"/>
      <c r="R1" s="659"/>
      <c r="S1" s="659"/>
      <c r="T1" s="659"/>
      <c r="U1" s="659"/>
    </row>
    <row r="2" spans="1:21" ht="21" x14ac:dyDescent="0.35">
      <c r="A2" s="1" t="s">
        <v>112</v>
      </c>
      <c r="B2" s="2"/>
      <c r="C2" s="2"/>
      <c r="D2" s="2"/>
      <c r="E2" s="2"/>
      <c r="F2" s="2"/>
      <c r="G2" s="2"/>
      <c r="H2" s="2"/>
      <c r="I2" s="2"/>
      <c r="N2" s="660" t="s">
        <v>18</v>
      </c>
      <c r="O2" s="660"/>
      <c r="P2" s="660"/>
      <c r="Q2" s="660"/>
      <c r="R2" s="660"/>
      <c r="S2" s="660"/>
      <c r="T2" s="660"/>
      <c r="U2" s="660"/>
    </row>
    <row r="3" spans="1:21" x14ac:dyDescent="0.25">
      <c r="A3" s="81" t="str">
        <f>'1461'!A3</f>
        <v>Based on the FLDOE 2024-25 Conference Calculation</v>
      </c>
      <c r="N3" s="627" t="str">
        <f>A3</f>
        <v>Based on the FLDOE 2024-25 Conference Calculation</v>
      </c>
      <c r="O3" s="627"/>
      <c r="P3" s="627"/>
      <c r="Q3" s="627"/>
      <c r="R3" s="627"/>
      <c r="S3" s="627"/>
      <c r="T3" s="627"/>
      <c r="U3" s="627"/>
    </row>
    <row r="4" spans="1:21" x14ac:dyDescent="0.25">
      <c r="A4" s="568" t="s">
        <v>0</v>
      </c>
      <c r="B4" s="568"/>
      <c r="C4" s="569" t="s">
        <v>9</v>
      </c>
      <c r="D4" s="569"/>
      <c r="E4" s="569"/>
      <c r="F4" s="4" t="str">
        <f>'1461'!F4</f>
        <v>July 2024</v>
      </c>
      <c r="G4" s="4"/>
      <c r="H4" s="4"/>
      <c r="I4" s="4"/>
      <c r="N4" s="661" t="s">
        <v>0</v>
      </c>
      <c r="O4" s="661"/>
      <c r="P4" s="662" t="str">
        <f>C4</f>
        <v>Palm Beach</v>
      </c>
      <c r="Q4" s="662"/>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70" t="s">
        <v>433</v>
      </c>
      <c r="B7" s="664"/>
      <c r="C7" s="664"/>
      <c r="D7" s="664"/>
      <c r="E7" s="664"/>
      <c r="F7" s="664"/>
      <c r="G7" s="664"/>
      <c r="H7" s="664"/>
      <c r="I7" s="664"/>
      <c r="N7" s="661" t="str">
        <f>A7</f>
        <v>1A.   2023-24 FEFP State and Local Funding</v>
      </c>
      <c r="O7" s="661"/>
      <c r="P7" s="661"/>
      <c r="Q7" s="661"/>
      <c r="R7" s="661"/>
      <c r="S7" s="661"/>
      <c r="T7" s="661"/>
      <c r="U7" s="661"/>
    </row>
    <row r="8" spans="1:21" x14ac:dyDescent="0.25">
      <c r="A8" s="84"/>
      <c r="B8" s="85" t="s">
        <v>92</v>
      </c>
      <c r="C8" s="299">
        <f>'1461'!C8</f>
        <v>5330.98</v>
      </c>
      <c r="D8" s="86"/>
      <c r="E8" s="87"/>
      <c r="F8" s="84"/>
      <c r="G8" s="85" t="s">
        <v>393</v>
      </c>
      <c r="H8" s="287">
        <f>'1461'!H8</f>
        <v>1.0407999999999999</v>
      </c>
      <c r="I8" s="75"/>
      <c r="N8" s="665" t="s">
        <v>10</v>
      </c>
      <c r="O8" s="665"/>
      <c r="P8" s="666">
        <f>C8</f>
        <v>5330.98</v>
      </c>
      <c r="Q8" s="666"/>
      <c r="R8" s="648" t="s">
        <v>394</v>
      </c>
      <c r="S8" s="649"/>
      <c r="T8" s="650">
        <f>H8</f>
        <v>1.0407999999999999</v>
      </c>
      <c r="U8" s="650"/>
    </row>
    <row r="9" spans="1:21" x14ac:dyDescent="0.25">
      <c r="A9" s="84"/>
      <c r="B9" s="85"/>
      <c r="C9" s="222"/>
      <c r="D9" s="86"/>
      <c r="E9" s="87"/>
      <c r="F9" s="84"/>
      <c r="G9" s="85" t="s">
        <v>391</v>
      </c>
      <c r="H9" s="287">
        <f>'1461'!H9</f>
        <v>1</v>
      </c>
      <c r="I9" s="75"/>
      <c r="N9" s="12"/>
      <c r="O9" s="12"/>
      <c r="P9" s="13"/>
      <c r="Q9" s="13"/>
      <c r="R9" s="387" t="s">
        <v>392</v>
      </c>
      <c r="S9" s="384"/>
      <c r="T9" s="650">
        <f>H9</f>
        <v>1</v>
      </c>
      <c r="U9" s="650"/>
    </row>
    <row r="10" spans="1:21" x14ac:dyDescent="0.25">
      <c r="A10" s="7"/>
      <c r="B10" s="42" t="s">
        <v>310</v>
      </c>
      <c r="C10" s="334" t="str">
        <f>'1461'!C10</f>
        <v xml:space="preserve"> </v>
      </c>
      <c r="D10" s="334" t="str">
        <f>'1461'!D10</f>
        <v xml:space="preserve"> </v>
      </c>
      <c r="E10" s="8"/>
      <c r="F10" s="9"/>
      <c r="G10" s="9"/>
      <c r="H10" s="10"/>
      <c r="I10" s="305" t="str">
        <f>'1461'!I10</f>
        <v>2024-25</v>
      </c>
      <c r="N10" s="12"/>
      <c r="O10" s="12"/>
      <c r="P10" s="13"/>
      <c r="Q10" s="13"/>
      <c r="R10" s="14"/>
      <c r="S10" s="14"/>
      <c r="T10" s="15"/>
      <c r="U10" s="366" t="str">
        <f>I10</f>
        <v>2024-25</v>
      </c>
    </row>
    <row r="11" spans="1:21" x14ac:dyDescent="0.25">
      <c r="A11" s="7"/>
      <c r="B11" s="7"/>
      <c r="C11" s="88" t="str">
        <f>'1461'!C11</f>
        <v>Oct 2023</v>
      </c>
      <c r="D11" s="333" t="str">
        <f>'1461'!D11</f>
        <v>Feb 2024</v>
      </c>
      <c r="E11" s="89" t="s">
        <v>8</v>
      </c>
      <c r="F11" s="571" t="s">
        <v>1</v>
      </c>
      <c r="G11" s="571"/>
      <c r="H11" s="10" t="s">
        <v>60</v>
      </c>
      <c r="I11" s="11" t="s">
        <v>27</v>
      </c>
      <c r="N11" s="12"/>
      <c r="O11" s="12"/>
      <c r="P11" s="13"/>
      <c r="Q11" s="13"/>
      <c r="R11" s="651" t="s">
        <v>1</v>
      </c>
      <c r="S11" s="651"/>
      <c r="T11" s="15" t="s">
        <v>60</v>
      </c>
      <c r="U11" s="16" t="s">
        <v>27</v>
      </c>
    </row>
    <row r="12" spans="1:21" ht="15.75" customHeight="1" x14ac:dyDescent="0.25">
      <c r="A12" s="572" t="s">
        <v>1</v>
      </c>
      <c r="B12" s="572"/>
      <c r="C12" s="324" t="str">
        <f>'1461'!C12</f>
        <v>FTE</v>
      </c>
      <c r="D12" s="324" t="str">
        <f>'1461'!D12</f>
        <v>FTE</v>
      </c>
      <c r="E12" s="324" t="s">
        <v>2</v>
      </c>
      <c r="F12" s="573" t="s">
        <v>63</v>
      </c>
      <c r="G12" s="573"/>
      <c r="H12" s="17" t="s">
        <v>59</v>
      </c>
      <c r="I12" s="388" t="s">
        <v>395</v>
      </c>
      <c r="N12" s="639" t="s">
        <v>1</v>
      </c>
      <c r="O12" s="639"/>
      <c r="P12" s="652" t="s">
        <v>19</v>
      </c>
      <c r="Q12" s="652"/>
      <c r="R12" s="653" t="s">
        <v>63</v>
      </c>
      <c r="S12" s="653"/>
      <c r="T12" s="18" t="s">
        <v>59</v>
      </c>
      <c r="U12" s="19" t="str">
        <f>I12</f>
        <v>(WFTE x BSA x CWF x SDF)</v>
      </c>
    </row>
    <row r="13" spans="1:21" x14ac:dyDescent="0.25">
      <c r="A13" s="574" t="s">
        <v>36</v>
      </c>
      <c r="B13" s="574"/>
      <c r="C13" s="91"/>
      <c r="D13" s="91"/>
      <c r="E13" s="92" t="s">
        <v>37</v>
      </c>
      <c r="F13" s="575" t="s">
        <v>38</v>
      </c>
      <c r="G13" s="575"/>
      <c r="H13" s="20" t="s">
        <v>39</v>
      </c>
      <c r="I13" s="21" t="s">
        <v>40</v>
      </c>
      <c r="N13" s="654" t="s">
        <v>36</v>
      </c>
      <c r="O13" s="654"/>
      <c r="P13" s="655" t="s">
        <v>37</v>
      </c>
      <c r="Q13" s="655"/>
      <c r="R13" s="656" t="s">
        <v>38</v>
      </c>
      <c r="S13" s="656"/>
      <c r="T13" s="22" t="s">
        <v>39</v>
      </c>
      <c r="U13" s="23" t="s">
        <v>40</v>
      </c>
    </row>
    <row r="14" spans="1:21" x14ac:dyDescent="0.25">
      <c r="A14" s="576" t="s">
        <v>20</v>
      </c>
      <c r="B14" s="576"/>
      <c r="C14" s="143">
        <v>0</v>
      </c>
      <c r="D14" s="141">
        <v>0</v>
      </c>
      <c r="E14" s="187">
        <f>IF(D$30=0,C14*2,C14+D14)</f>
        <v>0</v>
      </c>
      <c r="F14" s="667">
        <f>'1461'!F14:G14</f>
        <v>1.1180000000000001</v>
      </c>
      <c r="G14" s="667"/>
      <c r="H14" s="145">
        <f>ROUND(E14*F14,4)</f>
        <v>0</v>
      </c>
      <c r="I14" s="111">
        <f>ROUND(ROUND(ROUND(H14*$C$8,4)*($H$8),2)*(MAX($H$9,1)),2)</f>
        <v>0</v>
      </c>
      <c r="N14" s="641" t="s">
        <v>20</v>
      </c>
      <c r="O14" s="641"/>
      <c r="P14" s="642">
        <f t="shared" ref="P14:P29" si="0">IF($H$133=1,E14,0)</f>
        <v>0</v>
      </c>
      <c r="Q14" s="642"/>
      <c r="R14" s="657">
        <v>1</v>
      </c>
      <c r="S14" s="657"/>
      <c r="T14" s="95">
        <f>ROUND(P14*R14,4)</f>
        <v>0</v>
      </c>
      <c r="U14" s="473">
        <f>ROUND(ROUND(ROUND(T14*$C$8,4)*($H$8),2)*(MAX($H$9,1)),2)</f>
        <v>0</v>
      </c>
    </row>
    <row r="15" spans="1:21" x14ac:dyDescent="0.25">
      <c r="A15" s="578" t="s">
        <v>21</v>
      </c>
      <c r="B15" s="578"/>
      <c r="C15" s="143">
        <v>1</v>
      </c>
      <c r="D15" s="143">
        <v>0</v>
      </c>
      <c r="E15" s="116">
        <f>IF(D$30=0,C15*2,C15+D15)</f>
        <v>1</v>
      </c>
      <c r="F15" s="663">
        <f>'1461'!F15:G15</f>
        <v>1.1180000000000001</v>
      </c>
      <c r="G15" s="663"/>
      <c r="H15" s="80">
        <f t="shared" ref="H15:H29" si="1">ROUND(E15*F15,4)</f>
        <v>1.1180000000000001</v>
      </c>
      <c r="I15" s="101">
        <f t="shared" ref="I15:I29" si="2">ROUND(ROUND(ROUND(H15*$C$8,4)*($H$8),2)*(MAX($H$9,1)),2)</f>
        <v>6203.21</v>
      </c>
      <c r="J15" s="65" t="str">
        <f>IF(ROUND(E15,2)=ROUND(SUM(E57:E59),2)," ","CHECK PK-3 LINES BELOW")</f>
        <v xml:space="preserve"> </v>
      </c>
      <c r="N15" s="601" t="s">
        <v>21</v>
      </c>
      <c r="O15" s="601"/>
      <c r="P15" s="642">
        <f t="shared" si="0"/>
        <v>1</v>
      </c>
      <c r="Q15" s="642"/>
      <c r="R15" s="647">
        <v>1</v>
      </c>
      <c r="S15" s="647"/>
      <c r="T15" s="95">
        <f t="shared" ref="T15:T29" si="3">ROUND(P15*R15,4)</f>
        <v>1</v>
      </c>
      <c r="U15" s="473">
        <f t="shared" ref="U15:U29" si="4">ROUND(ROUND(ROUND(T15*$C$8,4)*($H$8),2)*(MAX($H$9,1)),2)</f>
        <v>5548.48</v>
      </c>
    </row>
    <row r="16" spans="1:21" x14ac:dyDescent="0.25">
      <c r="A16" s="578" t="s">
        <v>22</v>
      </c>
      <c r="B16" s="578"/>
      <c r="C16" s="143">
        <v>0</v>
      </c>
      <c r="D16" s="143">
        <v>0</v>
      </c>
      <c r="E16" s="116">
        <f t="shared" ref="E16:E29" si="5">IF(D$30=0,C16*2,C16+D16)</f>
        <v>0</v>
      </c>
      <c r="F16" s="663">
        <f>'1461'!F16:G16</f>
        <v>1</v>
      </c>
      <c r="G16" s="663"/>
      <c r="H16" s="80">
        <f t="shared" si="1"/>
        <v>0</v>
      </c>
      <c r="I16" s="101">
        <f t="shared" si="2"/>
        <v>0</v>
      </c>
      <c r="N16" s="601" t="s">
        <v>22</v>
      </c>
      <c r="O16" s="601"/>
      <c r="P16" s="642">
        <f t="shared" si="0"/>
        <v>0</v>
      </c>
      <c r="Q16" s="642"/>
      <c r="R16" s="647">
        <v>1</v>
      </c>
      <c r="S16" s="647"/>
      <c r="T16" s="95">
        <f t="shared" si="3"/>
        <v>0</v>
      </c>
      <c r="U16" s="473">
        <f t="shared" si="4"/>
        <v>0</v>
      </c>
    </row>
    <row r="17" spans="1:21" x14ac:dyDescent="0.25">
      <c r="A17" s="578" t="s">
        <v>23</v>
      </c>
      <c r="B17" s="578"/>
      <c r="C17" s="143">
        <v>0</v>
      </c>
      <c r="D17" s="143">
        <v>0</v>
      </c>
      <c r="E17" s="116">
        <f t="shared" si="5"/>
        <v>0</v>
      </c>
      <c r="F17" s="663">
        <f>'1461'!F17:G17</f>
        <v>1</v>
      </c>
      <c r="G17" s="663"/>
      <c r="H17" s="80">
        <f t="shared" si="1"/>
        <v>0</v>
      </c>
      <c r="I17" s="101">
        <f t="shared" si="2"/>
        <v>0</v>
      </c>
      <c r="J17" s="65" t="str">
        <f>IF(ROUND(E17,2)=ROUND(SUM(E60:E62),2)," ","CHECK 4-8 LINES BELOW")</f>
        <v xml:space="preserve"> </v>
      </c>
      <c r="N17" s="601" t="s">
        <v>23</v>
      </c>
      <c r="O17" s="601"/>
      <c r="P17" s="642">
        <f t="shared" si="0"/>
        <v>0</v>
      </c>
      <c r="Q17" s="642"/>
      <c r="R17" s="647">
        <v>1</v>
      </c>
      <c r="S17" s="647"/>
      <c r="T17" s="95">
        <f t="shared" si="3"/>
        <v>0</v>
      </c>
      <c r="U17" s="473">
        <f t="shared" si="4"/>
        <v>0</v>
      </c>
    </row>
    <row r="18" spans="1:21" x14ac:dyDescent="0.25">
      <c r="A18" s="578" t="s">
        <v>24</v>
      </c>
      <c r="B18" s="578"/>
      <c r="C18" s="143">
        <v>0</v>
      </c>
      <c r="D18" s="143">
        <v>0</v>
      </c>
      <c r="E18" s="116">
        <f t="shared" si="5"/>
        <v>0</v>
      </c>
      <c r="F18" s="663">
        <f>'1461'!F18:G18</f>
        <v>0.97799999999999998</v>
      </c>
      <c r="G18" s="663"/>
      <c r="H18" s="80">
        <f t="shared" si="1"/>
        <v>0</v>
      </c>
      <c r="I18" s="101">
        <f t="shared" si="2"/>
        <v>0</v>
      </c>
      <c r="N18" s="601" t="s">
        <v>24</v>
      </c>
      <c r="O18" s="601"/>
      <c r="P18" s="642">
        <f t="shared" si="0"/>
        <v>0</v>
      </c>
      <c r="Q18" s="642"/>
      <c r="R18" s="647">
        <v>1</v>
      </c>
      <c r="S18" s="647"/>
      <c r="T18" s="95">
        <f t="shared" si="3"/>
        <v>0</v>
      </c>
      <c r="U18" s="473">
        <f t="shared" si="4"/>
        <v>0</v>
      </c>
    </row>
    <row r="19" spans="1:21" x14ac:dyDescent="0.25">
      <c r="A19" s="578" t="s">
        <v>25</v>
      </c>
      <c r="B19" s="578"/>
      <c r="C19" s="143">
        <v>0</v>
      </c>
      <c r="D19" s="143">
        <v>0</v>
      </c>
      <c r="E19" s="116">
        <f t="shared" si="5"/>
        <v>0</v>
      </c>
      <c r="F19" s="663">
        <f>'1461'!F19:G19</f>
        <v>0.97799999999999998</v>
      </c>
      <c r="G19" s="663"/>
      <c r="H19" s="80">
        <f t="shared" si="1"/>
        <v>0</v>
      </c>
      <c r="I19" s="101">
        <f t="shared" si="2"/>
        <v>0</v>
      </c>
      <c r="J19" s="65" t="str">
        <f>IF(ROUND(E19,2)=ROUND(SUM(E63:E65),2)," ","CHECK 4-8 LINES BELOW")</f>
        <v xml:space="preserve"> </v>
      </c>
      <c r="N19" s="601" t="s">
        <v>25</v>
      </c>
      <c r="O19" s="601"/>
      <c r="P19" s="642">
        <f t="shared" si="0"/>
        <v>0</v>
      </c>
      <c r="Q19" s="642"/>
      <c r="R19" s="647">
        <v>1</v>
      </c>
      <c r="S19" s="647"/>
      <c r="T19" s="95">
        <f t="shared" si="3"/>
        <v>0</v>
      </c>
      <c r="U19" s="472">
        <f t="shared" si="4"/>
        <v>0</v>
      </c>
    </row>
    <row r="20" spans="1:21" x14ac:dyDescent="0.25">
      <c r="A20" s="578" t="s">
        <v>79</v>
      </c>
      <c r="B20" s="578"/>
      <c r="C20" s="143">
        <v>1.5</v>
      </c>
      <c r="D20" s="143">
        <v>1.5</v>
      </c>
      <c r="E20" s="116">
        <f t="shared" si="5"/>
        <v>3</v>
      </c>
      <c r="F20" s="663">
        <f>'1461'!F20:G20</f>
        <v>3.6970000000000001</v>
      </c>
      <c r="G20" s="663"/>
      <c r="H20" s="80">
        <f t="shared" si="1"/>
        <v>11.090999999999999</v>
      </c>
      <c r="I20" s="101">
        <f t="shared" si="2"/>
        <v>61538.239999999998</v>
      </c>
      <c r="N20" s="601" t="s">
        <v>79</v>
      </c>
      <c r="O20" s="601"/>
      <c r="P20" s="642">
        <f t="shared" si="0"/>
        <v>3</v>
      </c>
      <c r="Q20" s="642"/>
      <c r="R20" s="647">
        <v>1</v>
      </c>
      <c r="S20" s="647"/>
      <c r="T20" s="95">
        <f t="shared" si="3"/>
        <v>3</v>
      </c>
      <c r="U20" s="473">
        <f t="shared" si="4"/>
        <v>16645.45</v>
      </c>
    </row>
    <row r="21" spans="1:21" x14ac:dyDescent="0.25">
      <c r="A21" s="578" t="s">
        <v>80</v>
      </c>
      <c r="B21" s="578"/>
      <c r="C21" s="143">
        <v>2</v>
      </c>
      <c r="D21" s="143">
        <v>1.5</v>
      </c>
      <c r="E21" s="116">
        <f t="shared" si="5"/>
        <v>3.5</v>
      </c>
      <c r="F21" s="663">
        <f>'1461'!F21:G21</f>
        <v>3.6970000000000001</v>
      </c>
      <c r="G21" s="663"/>
      <c r="H21" s="80">
        <f t="shared" si="1"/>
        <v>12.939500000000001</v>
      </c>
      <c r="I21" s="101">
        <f t="shared" si="2"/>
        <v>71794.61</v>
      </c>
      <c r="N21" s="601" t="s">
        <v>80</v>
      </c>
      <c r="O21" s="601"/>
      <c r="P21" s="642">
        <f t="shared" si="0"/>
        <v>3.5</v>
      </c>
      <c r="Q21" s="642"/>
      <c r="R21" s="647">
        <v>1</v>
      </c>
      <c r="S21" s="647"/>
      <c r="T21" s="95">
        <f t="shared" si="3"/>
        <v>3.5</v>
      </c>
      <c r="U21" s="473">
        <f t="shared" si="4"/>
        <v>19419.689999999999</v>
      </c>
    </row>
    <row r="22" spans="1:21" x14ac:dyDescent="0.25">
      <c r="A22" s="578" t="s">
        <v>81</v>
      </c>
      <c r="B22" s="578"/>
      <c r="C22" s="143">
        <v>0</v>
      </c>
      <c r="D22" s="143">
        <v>0</v>
      </c>
      <c r="E22" s="116">
        <f t="shared" si="5"/>
        <v>0</v>
      </c>
      <c r="F22" s="663">
        <f>'1461'!F22:G22</f>
        <v>3.6970000000000001</v>
      </c>
      <c r="G22" s="663"/>
      <c r="H22" s="80">
        <f t="shared" si="1"/>
        <v>0</v>
      </c>
      <c r="I22" s="101">
        <f t="shared" si="2"/>
        <v>0</v>
      </c>
      <c r="N22" s="601" t="s">
        <v>81</v>
      </c>
      <c r="O22" s="601"/>
      <c r="P22" s="642">
        <f t="shared" si="0"/>
        <v>0</v>
      </c>
      <c r="Q22" s="642"/>
      <c r="R22" s="647">
        <v>1</v>
      </c>
      <c r="S22" s="647"/>
      <c r="T22" s="95">
        <f t="shared" si="3"/>
        <v>0</v>
      </c>
      <c r="U22" s="473">
        <f t="shared" si="4"/>
        <v>0</v>
      </c>
    </row>
    <row r="23" spans="1:21" x14ac:dyDescent="0.25">
      <c r="A23" s="578" t="s">
        <v>82</v>
      </c>
      <c r="B23" s="578"/>
      <c r="C23" s="143">
        <v>2</v>
      </c>
      <c r="D23" s="143">
        <v>3</v>
      </c>
      <c r="E23" s="116">
        <f t="shared" si="5"/>
        <v>5</v>
      </c>
      <c r="F23" s="663">
        <f>'1461'!F23:G23</f>
        <v>5.992</v>
      </c>
      <c r="G23" s="663"/>
      <c r="H23" s="80">
        <f t="shared" si="1"/>
        <v>29.96</v>
      </c>
      <c r="I23" s="101">
        <f t="shared" si="2"/>
        <v>166232.57999999999</v>
      </c>
      <c r="N23" s="601" t="s">
        <v>82</v>
      </c>
      <c r="O23" s="601"/>
      <c r="P23" s="642">
        <f t="shared" si="0"/>
        <v>5</v>
      </c>
      <c r="Q23" s="642"/>
      <c r="R23" s="647">
        <v>1</v>
      </c>
      <c r="S23" s="647"/>
      <c r="T23" s="95">
        <f t="shared" si="3"/>
        <v>5</v>
      </c>
      <c r="U23" s="473">
        <f t="shared" si="4"/>
        <v>27742.42</v>
      </c>
    </row>
    <row r="24" spans="1:21" x14ac:dyDescent="0.25">
      <c r="A24" s="578" t="s">
        <v>83</v>
      </c>
      <c r="B24" s="578"/>
      <c r="C24" s="143">
        <v>6</v>
      </c>
      <c r="D24" s="143">
        <v>5.5</v>
      </c>
      <c r="E24" s="116">
        <f t="shared" si="5"/>
        <v>11.5</v>
      </c>
      <c r="F24" s="663">
        <f>'1461'!F24:G24</f>
        <v>5.992</v>
      </c>
      <c r="G24" s="663"/>
      <c r="H24" s="80">
        <f t="shared" si="1"/>
        <v>68.908000000000001</v>
      </c>
      <c r="I24" s="101">
        <f t="shared" si="2"/>
        <v>382334.93</v>
      </c>
      <c r="N24" s="601" t="s">
        <v>83</v>
      </c>
      <c r="O24" s="601"/>
      <c r="P24" s="642">
        <f t="shared" si="0"/>
        <v>11.5</v>
      </c>
      <c r="Q24" s="642"/>
      <c r="R24" s="647">
        <v>1</v>
      </c>
      <c r="S24" s="647"/>
      <c r="T24" s="95">
        <f t="shared" si="3"/>
        <v>11.5</v>
      </c>
      <c r="U24" s="473">
        <f t="shared" si="4"/>
        <v>63807.57</v>
      </c>
    </row>
    <row r="25" spans="1:21" x14ac:dyDescent="0.25">
      <c r="A25" s="578" t="s">
        <v>84</v>
      </c>
      <c r="B25" s="578"/>
      <c r="C25" s="143">
        <v>0</v>
      </c>
      <c r="D25" s="143">
        <v>0</v>
      </c>
      <c r="E25" s="116">
        <f t="shared" si="5"/>
        <v>0</v>
      </c>
      <c r="F25" s="663">
        <f>'1461'!F25:G25</f>
        <v>5.992</v>
      </c>
      <c r="G25" s="663"/>
      <c r="H25" s="80">
        <f t="shared" si="1"/>
        <v>0</v>
      </c>
      <c r="I25" s="101">
        <f t="shared" si="2"/>
        <v>0</v>
      </c>
      <c r="N25" s="601" t="s">
        <v>84</v>
      </c>
      <c r="O25" s="601"/>
      <c r="P25" s="642">
        <f t="shared" si="0"/>
        <v>0</v>
      </c>
      <c r="Q25" s="642"/>
      <c r="R25" s="647">
        <v>1</v>
      </c>
      <c r="S25" s="647"/>
      <c r="T25" s="95">
        <f t="shared" si="3"/>
        <v>0</v>
      </c>
      <c r="U25" s="473">
        <f t="shared" si="4"/>
        <v>0</v>
      </c>
    </row>
    <row r="26" spans="1:21" x14ac:dyDescent="0.25">
      <c r="A26" s="578" t="s">
        <v>85</v>
      </c>
      <c r="B26" s="578"/>
      <c r="C26" s="143">
        <v>0</v>
      </c>
      <c r="D26" s="143">
        <v>0</v>
      </c>
      <c r="E26" s="116">
        <f t="shared" si="5"/>
        <v>0</v>
      </c>
      <c r="F26" s="663">
        <f>'1461'!F26:G26</f>
        <v>1.1919999999999999</v>
      </c>
      <c r="G26" s="663"/>
      <c r="H26" s="80">
        <f t="shared" si="1"/>
        <v>0</v>
      </c>
      <c r="I26" s="101">
        <f t="shared" si="2"/>
        <v>0</v>
      </c>
      <c r="N26" s="601" t="s">
        <v>85</v>
      </c>
      <c r="O26" s="601"/>
      <c r="P26" s="642">
        <f t="shared" si="0"/>
        <v>0</v>
      </c>
      <c r="Q26" s="642"/>
      <c r="R26" s="647">
        <v>1</v>
      </c>
      <c r="S26" s="647"/>
      <c r="T26" s="95">
        <f t="shared" si="3"/>
        <v>0</v>
      </c>
      <c r="U26" s="473">
        <f t="shared" si="4"/>
        <v>0</v>
      </c>
    </row>
    <row r="27" spans="1:21" x14ac:dyDescent="0.25">
      <c r="A27" s="578" t="s">
        <v>86</v>
      </c>
      <c r="B27" s="578"/>
      <c r="C27" s="143">
        <v>0</v>
      </c>
      <c r="D27" s="143">
        <v>0</v>
      </c>
      <c r="E27" s="116">
        <f t="shared" si="5"/>
        <v>0</v>
      </c>
      <c r="F27" s="663">
        <f>'1461'!F27:G27</f>
        <v>1.1919999999999999</v>
      </c>
      <c r="G27" s="663"/>
      <c r="H27" s="80">
        <f t="shared" si="1"/>
        <v>0</v>
      </c>
      <c r="I27" s="101">
        <f t="shared" si="2"/>
        <v>0</v>
      </c>
      <c r="N27" s="601" t="s">
        <v>86</v>
      </c>
      <c r="O27" s="601"/>
      <c r="P27" s="642">
        <f t="shared" si="0"/>
        <v>0</v>
      </c>
      <c r="Q27" s="642"/>
      <c r="R27" s="647">
        <v>1</v>
      </c>
      <c r="S27" s="647"/>
      <c r="T27" s="95">
        <f t="shared" si="3"/>
        <v>0</v>
      </c>
      <c r="U27" s="473">
        <f t="shared" si="4"/>
        <v>0</v>
      </c>
    </row>
    <row r="28" spans="1:21" x14ac:dyDescent="0.25">
      <c r="A28" s="578" t="s">
        <v>87</v>
      </c>
      <c r="B28" s="578"/>
      <c r="C28" s="143">
        <v>0</v>
      </c>
      <c r="D28" s="143">
        <v>0</v>
      </c>
      <c r="E28" s="116">
        <f t="shared" si="5"/>
        <v>0</v>
      </c>
      <c r="F28" s="663">
        <f>'1461'!F28:G28</f>
        <v>1.1919999999999999</v>
      </c>
      <c r="G28" s="663"/>
      <c r="H28" s="80">
        <f t="shared" si="1"/>
        <v>0</v>
      </c>
      <c r="I28" s="101">
        <f t="shared" si="2"/>
        <v>0</v>
      </c>
      <c r="N28" s="601" t="s">
        <v>87</v>
      </c>
      <c r="O28" s="601"/>
      <c r="P28" s="642">
        <f t="shared" si="0"/>
        <v>0</v>
      </c>
      <c r="Q28" s="642"/>
      <c r="R28" s="647">
        <v>1</v>
      </c>
      <c r="S28" s="647"/>
      <c r="T28" s="95">
        <f t="shared" si="3"/>
        <v>0</v>
      </c>
      <c r="U28" s="473">
        <f t="shared" si="4"/>
        <v>0</v>
      </c>
    </row>
    <row r="29" spans="1:21" x14ac:dyDescent="0.25">
      <c r="A29" s="578" t="s">
        <v>88</v>
      </c>
      <c r="B29" s="578"/>
      <c r="C29" s="110">
        <v>0</v>
      </c>
      <c r="D29" s="110">
        <v>0</v>
      </c>
      <c r="E29" s="154">
        <f t="shared" si="5"/>
        <v>0</v>
      </c>
      <c r="F29" s="663">
        <f>'1461'!F29:G29</f>
        <v>1.079</v>
      </c>
      <c r="G29" s="663"/>
      <c r="H29" s="93">
        <f t="shared" si="1"/>
        <v>0</v>
      </c>
      <c r="I29" s="94">
        <f t="shared" si="2"/>
        <v>0</v>
      </c>
      <c r="N29" s="616" t="s">
        <v>88</v>
      </c>
      <c r="O29" s="616"/>
      <c r="P29" s="642">
        <f t="shared" si="0"/>
        <v>0</v>
      </c>
      <c r="Q29" s="642"/>
      <c r="R29" s="643">
        <v>1</v>
      </c>
      <c r="S29" s="643"/>
      <c r="T29" s="95">
        <f t="shared" si="3"/>
        <v>0</v>
      </c>
      <c r="U29" s="473">
        <f t="shared" si="4"/>
        <v>0</v>
      </c>
    </row>
    <row r="30" spans="1:21" x14ac:dyDescent="0.25">
      <c r="A30" s="590" t="s">
        <v>5</v>
      </c>
      <c r="B30" s="590"/>
      <c r="C30" s="94">
        <f>SUM(C14:C29)</f>
        <v>12.5</v>
      </c>
      <c r="D30" s="94">
        <f>SUM(D14:D29)</f>
        <v>11.5</v>
      </c>
      <c r="E30" s="94">
        <f>SUM(E14:E29)</f>
        <v>24</v>
      </c>
      <c r="F30" s="582"/>
      <c r="G30" s="582"/>
      <c r="H30" s="99">
        <f>SUM(H14:H29)</f>
        <v>124.01650000000001</v>
      </c>
      <c r="I30" s="94">
        <f>SUM(I14:I29)</f>
        <v>688103.57000000007</v>
      </c>
      <c r="N30" s="644" t="s">
        <v>5</v>
      </c>
      <c r="O30" s="644"/>
      <c r="P30" s="645">
        <f>SUM(P14:P29)</f>
        <v>24</v>
      </c>
      <c r="Q30" s="645"/>
      <c r="R30" s="617"/>
      <c r="S30" s="617"/>
      <c r="T30" s="100">
        <f>SUM(T14:T29)</f>
        <v>24</v>
      </c>
      <c r="U30" s="473">
        <f>SUM(U14:U29)</f>
        <v>133163.60999999999</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0" t="s">
        <v>233</v>
      </c>
      <c r="G34" s="670"/>
      <c r="H34" s="670"/>
      <c r="I34" s="101"/>
      <c r="N34" s="28"/>
      <c r="O34" s="28"/>
      <c r="P34" s="29"/>
      <c r="Q34" s="29"/>
      <c r="R34" s="30"/>
      <c r="S34" s="30"/>
      <c r="T34" s="102"/>
      <c r="U34" s="103"/>
    </row>
    <row r="35" spans="1:21" hidden="1" x14ac:dyDescent="0.25">
      <c r="A35" s="3"/>
      <c r="B35" s="69"/>
      <c r="C35" s="69"/>
      <c r="D35" s="69"/>
      <c r="E35" s="69"/>
      <c r="F35" s="670"/>
      <c r="G35" s="670"/>
      <c r="H35" s="670"/>
      <c r="I35" s="24" t="s">
        <v>61</v>
      </c>
      <c r="N35" s="627" t="s">
        <v>26</v>
      </c>
      <c r="O35" s="627"/>
      <c r="P35" s="627"/>
      <c r="Q35" s="627"/>
      <c r="R35" s="627"/>
      <c r="S35" s="627"/>
      <c r="T35" s="627"/>
      <c r="U35" s="25" t="str">
        <f>I35</f>
        <v>2015-16</v>
      </c>
    </row>
    <row r="36" spans="1:21" hidden="1" x14ac:dyDescent="0.25">
      <c r="A36" s="26"/>
      <c r="B36" s="26"/>
      <c r="C36" s="88" t="s">
        <v>93</v>
      </c>
      <c r="D36" s="88" t="s">
        <v>94</v>
      </c>
      <c r="E36" s="89" t="s">
        <v>8</v>
      </c>
      <c r="F36" s="670"/>
      <c r="G36" s="670"/>
      <c r="H36" s="670"/>
      <c r="I36" s="24" t="s">
        <v>27</v>
      </c>
      <c r="N36" s="28"/>
      <c r="O36" s="28"/>
      <c r="P36" s="29"/>
      <c r="Q36" s="29"/>
      <c r="R36" s="30"/>
      <c r="S36" s="30"/>
      <c r="T36" s="102"/>
      <c r="U36" s="25" t="s">
        <v>27</v>
      </c>
    </row>
    <row r="37" spans="1:21" ht="26.25" hidden="1" x14ac:dyDescent="0.25">
      <c r="A37" s="572" t="s">
        <v>50</v>
      </c>
      <c r="B37" s="572"/>
      <c r="C37" s="90" t="s">
        <v>2</v>
      </c>
      <c r="D37" s="90" t="s">
        <v>2</v>
      </c>
      <c r="E37" s="90" t="s">
        <v>2</v>
      </c>
      <c r="F37" s="671"/>
      <c r="G37" s="671"/>
      <c r="H37" s="671"/>
      <c r="I37" s="31" t="s">
        <v>395</v>
      </c>
      <c r="N37" s="639" t="s">
        <v>50</v>
      </c>
      <c r="O37" s="639"/>
      <c r="P37" s="640" t="s">
        <v>19</v>
      </c>
      <c r="Q37" s="640"/>
      <c r="R37" s="640"/>
      <c r="S37" s="640"/>
      <c r="T37" s="640"/>
      <c r="U37" s="19" t="str">
        <f>I37</f>
        <v>(WFTE x BSA x CWF x SDF)</v>
      </c>
    </row>
    <row r="38" spans="1:21" hidden="1" x14ac:dyDescent="0.25">
      <c r="A38" s="576" t="s">
        <v>45</v>
      </c>
      <c r="B38" s="576"/>
      <c r="C38" s="147">
        <v>0</v>
      </c>
      <c r="D38" s="147">
        <v>0</v>
      </c>
      <c r="E38" s="187">
        <f t="shared" ref="E38:E43" si="6">IF(D$44=0,C38*2,C38+D38)</f>
        <v>0</v>
      </c>
      <c r="F38" s="148"/>
      <c r="G38" s="148"/>
      <c r="H38" s="148"/>
      <c r="I38" s="111">
        <f>ROUND(ROUND(ROUND(E38*$C$8,4)*($H$8),2)*(MAX($H$9,1)),2)</f>
        <v>0</v>
      </c>
      <c r="N38" s="641" t="s">
        <v>45</v>
      </c>
      <c r="O38" s="641"/>
      <c r="P38" s="608">
        <f t="shared" ref="P38:P43" si="7">IF($H$133=1,E38,0)</f>
        <v>0</v>
      </c>
      <c r="Q38" s="608"/>
      <c r="R38" s="608"/>
      <c r="S38" s="608"/>
      <c r="T38" s="608"/>
      <c r="U38" s="98">
        <f>ROUND(ROUND(ROUND(P38*$C$8,4)*($H$8),2)*(MAX($H$9,1)),2)</f>
        <v>0</v>
      </c>
    </row>
    <row r="39" spans="1:21" hidden="1" x14ac:dyDescent="0.25">
      <c r="A39" s="578" t="s">
        <v>46</v>
      </c>
      <c r="B39" s="578"/>
      <c r="C39" s="150">
        <v>0</v>
      </c>
      <c r="D39" s="150">
        <v>0</v>
      </c>
      <c r="E39" s="116">
        <f t="shared" si="6"/>
        <v>0</v>
      </c>
      <c r="F39" s="151"/>
      <c r="G39" s="151"/>
      <c r="H39" s="151"/>
      <c r="I39" s="101">
        <f t="shared" ref="I39:I43" si="8">ROUND(ROUND(ROUND(E39*$C$8,4)*($H$8),2)*(MAX($H$9,1)),2)</f>
        <v>0</v>
      </c>
      <c r="N39" s="601" t="s">
        <v>46</v>
      </c>
      <c r="O39" s="601"/>
      <c r="P39" s="608">
        <f t="shared" si="7"/>
        <v>0</v>
      </c>
      <c r="Q39" s="608"/>
      <c r="R39" s="608"/>
      <c r="S39" s="608"/>
      <c r="T39" s="608"/>
      <c r="U39" s="98">
        <f t="shared" ref="U39:U43" si="9">ROUND(ROUND(ROUND(P39*$C$8,4)*($H$8),2)*(MAX($H$9,1)),2)</f>
        <v>0</v>
      </c>
    </row>
    <row r="40" spans="1:21" hidden="1" x14ac:dyDescent="0.25">
      <c r="A40" s="583" t="s">
        <v>47</v>
      </c>
      <c r="B40" s="583"/>
      <c r="C40" s="150">
        <v>0</v>
      </c>
      <c r="D40" s="150">
        <v>0</v>
      </c>
      <c r="E40" s="116">
        <f t="shared" si="6"/>
        <v>0</v>
      </c>
      <c r="F40" s="151"/>
      <c r="G40" s="151"/>
      <c r="H40" s="151"/>
      <c r="I40" s="101">
        <f t="shared" si="8"/>
        <v>0</v>
      </c>
      <c r="N40" s="646" t="s">
        <v>47</v>
      </c>
      <c r="O40" s="646"/>
      <c r="P40" s="608">
        <f t="shared" si="7"/>
        <v>0</v>
      </c>
      <c r="Q40" s="608"/>
      <c r="R40" s="608"/>
      <c r="S40" s="608"/>
      <c r="T40" s="608"/>
      <c r="U40" s="98">
        <f t="shared" si="9"/>
        <v>0</v>
      </c>
    </row>
    <row r="41" spans="1:21" hidden="1" x14ac:dyDescent="0.25">
      <c r="A41" s="578" t="s">
        <v>48</v>
      </c>
      <c r="B41" s="578"/>
      <c r="C41" s="150">
        <v>0</v>
      </c>
      <c r="D41" s="150">
        <v>0</v>
      </c>
      <c r="E41" s="116">
        <f t="shared" si="6"/>
        <v>0</v>
      </c>
      <c r="F41" s="151"/>
      <c r="G41" s="151"/>
      <c r="H41" s="151"/>
      <c r="I41" s="101">
        <f t="shared" si="8"/>
        <v>0</v>
      </c>
      <c r="N41" s="601" t="s">
        <v>48</v>
      </c>
      <c r="O41" s="601"/>
      <c r="P41" s="608">
        <f t="shared" si="7"/>
        <v>0</v>
      </c>
      <c r="Q41" s="608"/>
      <c r="R41" s="608"/>
      <c r="S41" s="608"/>
      <c r="T41" s="608"/>
      <c r="U41" s="98">
        <f t="shared" si="9"/>
        <v>0</v>
      </c>
    </row>
    <row r="42" spans="1:21" hidden="1" x14ac:dyDescent="0.25">
      <c r="A42" s="578" t="s">
        <v>49</v>
      </c>
      <c r="B42" s="578"/>
      <c r="C42" s="150">
        <v>0</v>
      </c>
      <c r="D42" s="150">
        <v>0</v>
      </c>
      <c r="E42" s="116">
        <f t="shared" si="6"/>
        <v>0</v>
      </c>
      <c r="F42" s="151"/>
      <c r="G42" s="151"/>
      <c r="H42" s="151"/>
      <c r="I42" s="101">
        <f t="shared" si="8"/>
        <v>0</v>
      </c>
      <c r="N42" s="601" t="s">
        <v>49</v>
      </c>
      <c r="O42" s="601"/>
      <c r="P42" s="608">
        <f t="shared" si="7"/>
        <v>0</v>
      </c>
      <c r="Q42" s="608"/>
      <c r="R42" s="608"/>
      <c r="S42" s="608"/>
      <c r="T42" s="608"/>
      <c r="U42" s="98">
        <f t="shared" si="9"/>
        <v>0</v>
      </c>
    </row>
    <row r="43" spans="1:21" hidden="1" x14ac:dyDescent="0.25">
      <c r="A43" s="578" t="s">
        <v>41</v>
      </c>
      <c r="B43" s="578"/>
      <c r="C43" s="149">
        <v>0</v>
      </c>
      <c r="D43" s="149">
        <v>0</v>
      </c>
      <c r="E43" s="154">
        <f t="shared" si="6"/>
        <v>0</v>
      </c>
      <c r="F43" s="151"/>
      <c r="G43" s="151"/>
      <c r="H43" s="151"/>
      <c r="I43" s="94">
        <f t="shared" si="8"/>
        <v>0</v>
      </c>
      <c r="N43" s="616" t="s">
        <v>41</v>
      </c>
      <c r="O43" s="616"/>
      <c r="P43" s="608">
        <f t="shared" si="7"/>
        <v>0</v>
      </c>
      <c r="Q43" s="608"/>
      <c r="R43" s="608"/>
      <c r="S43" s="608"/>
      <c r="T43" s="60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3" t="s">
        <v>43</v>
      </c>
      <c r="O44" s="603"/>
      <c r="P44" s="603"/>
      <c r="Q44" s="603"/>
      <c r="R44" s="33">
        <f>SUM(P38:R43)</f>
        <v>0</v>
      </c>
      <c r="S44" s="617" t="s">
        <v>51</v>
      </c>
      <c r="T44" s="617"/>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124.01650000000001</v>
      </c>
      <c r="F46" s="34"/>
      <c r="G46" s="106"/>
      <c r="H46" s="107" t="s">
        <v>98</v>
      </c>
      <c r="I46" s="94">
        <f>SUM(I44,I30)</f>
        <v>688103.57000000007</v>
      </c>
      <c r="N46" s="603" t="s">
        <v>44</v>
      </c>
      <c r="O46" s="603"/>
      <c r="P46" s="603"/>
      <c r="Q46" s="603"/>
      <c r="R46" s="35">
        <f>R44+T30</f>
        <v>24</v>
      </c>
      <c r="S46" s="617" t="s">
        <v>42</v>
      </c>
      <c r="T46" s="617"/>
      <c r="U46" s="108">
        <f>SUM(U44,U30)</f>
        <v>133163.60999999999</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396</v>
      </c>
      <c r="B48" s="26"/>
      <c r="C48" s="26"/>
      <c r="D48" s="26"/>
      <c r="E48" s="26"/>
      <c r="F48" s="34"/>
      <c r="G48" s="27"/>
      <c r="H48" s="27"/>
      <c r="I48" s="101"/>
      <c r="N48" s="383" t="s">
        <v>396</v>
      </c>
      <c r="O48" s="28"/>
      <c r="P48" s="28"/>
      <c r="Q48" s="28"/>
      <c r="R48" s="35"/>
      <c r="S48" s="30"/>
      <c r="T48" s="30"/>
      <c r="U48" s="402"/>
    </row>
    <row r="49" spans="1:22" s="391" customFormat="1" ht="9" customHeight="1" x14ac:dyDescent="0.2">
      <c r="A49" s="481" t="s">
        <v>397</v>
      </c>
      <c r="F49" s="392"/>
      <c r="G49" s="393"/>
      <c r="H49" s="393"/>
      <c r="I49" s="394"/>
      <c r="N49" s="403" t="s">
        <v>397</v>
      </c>
      <c r="O49" s="395"/>
      <c r="P49" s="395"/>
      <c r="Q49" s="395"/>
      <c r="R49" s="396"/>
      <c r="S49" s="397"/>
      <c r="T49" s="397"/>
      <c r="U49" s="404"/>
    </row>
    <row r="50" spans="1:22" s="391" customFormat="1" ht="11.25" customHeight="1" x14ac:dyDescent="0.2">
      <c r="A50" s="483" t="s">
        <v>398</v>
      </c>
      <c r="F50" s="392"/>
      <c r="G50" s="393"/>
      <c r="H50" s="393"/>
      <c r="I50" s="394"/>
      <c r="N50" s="405" t="s">
        <v>398</v>
      </c>
      <c r="O50" s="395"/>
      <c r="P50" s="395"/>
      <c r="Q50" s="395"/>
      <c r="R50" s="396"/>
      <c r="S50" s="397"/>
      <c r="T50" s="397"/>
      <c r="U50" s="404"/>
    </row>
    <row r="51" spans="1:22" x14ac:dyDescent="0.25">
      <c r="A51" s="389"/>
      <c r="B51" s="399" t="s">
        <v>399</v>
      </c>
      <c r="C51" s="26"/>
      <c r="D51" s="26"/>
      <c r="E51" s="43" t="s">
        <v>400</v>
      </c>
      <c r="F51" s="400">
        <f>I46</f>
        <v>688103.57000000007</v>
      </c>
      <c r="G51" s="109" t="s">
        <v>6</v>
      </c>
      <c r="H51" s="401">
        <v>4.5199999999999997E-2</v>
      </c>
      <c r="I51" s="101">
        <f>ROUND(F51*H51,2)</f>
        <v>31102.28</v>
      </c>
      <c r="N51" s="406"/>
      <c r="O51" s="407" t="s">
        <v>399</v>
      </c>
      <c r="P51" s="28"/>
      <c r="Q51" s="44" t="s">
        <v>400</v>
      </c>
      <c r="R51" s="408">
        <f>U30</f>
        <v>133163.60999999999</v>
      </c>
      <c r="S51" s="409" t="s">
        <v>6</v>
      </c>
      <c r="T51" s="410">
        <v>4.5199999999999997E-2</v>
      </c>
      <c r="U51" s="402">
        <f>ROUND(R51*T51,2)</f>
        <v>6019</v>
      </c>
    </row>
    <row r="52" spans="1:22" x14ac:dyDescent="0.25">
      <c r="A52" s="26"/>
      <c r="B52" s="81" t="s">
        <v>401</v>
      </c>
      <c r="C52" s="26"/>
      <c r="D52" s="26"/>
      <c r="E52" s="43" t="s">
        <v>400</v>
      </c>
      <c r="F52" s="400">
        <f>I46</f>
        <v>688103.57000000007</v>
      </c>
      <c r="G52" s="109" t="s">
        <v>6</v>
      </c>
      <c r="H52" s="401">
        <v>1.41E-2</v>
      </c>
      <c r="I52" s="101">
        <f>ROUND(F52*H52,2)</f>
        <v>9702.26</v>
      </c>
      <c r="N52" s="28"/>
      <c r="O52" s="383" t="s">
        <v>401</v>
      </c>
      <c r="P52" s="28"/>
      <c r="Q52" s="44" t="s">
        <v>400</v>
      </c>
      <c r="R52" s="408">
        <f>U30</f>
        <v>133163.60999999999</v>
      </c>
      <c r="S52" s="409" t="s">
        <v>6</v>
      </c>
      <c r="T52" s="410">
        <v>1.41E-2</v>
      </c>
      <c r="U52" s="411">
        <f>ROUND(R52*T52,2)</f>
        <v>1877.61</v>
      </c>
    </row>
    <row r="53" spans="1:22" x14ac:dyDescent="0.25">
      <c r="A53" s="26"/>
      <c r="B53" s="81" t="s">
        <v>402</v>
      </c>
      <c r="C53" s="26"/>
      <c r="D53" s="26"/>
      <c r="E53" s="43"/>
      <c r="F53" s="400"/>
      <c r="G53" s="109"/>
      <c r="H53" s="401"/>
      <c r="I53" s="97">
        <f>SUM(I51:I52)</f>
        <v>40804.54</v>
      </c>
      <c r="N53" s="28"/>
      <c r="O53" s="383" t="s">
        <v>402</v>
      </c>
      <c r="P53" s="28"/>
      <c r="Q53" s="44"/>
      <c r="R53" s="408"/>
      <c r="S53" s="409"/>
      <c r="T53" s="410"/>
      <c r="U53" s="402">
        <f>SUM(U51:U52)</f>
        <v>7896.61</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440</v>
      </c>
      <c r="G55" s="109" t="s">
        <v>441</v>
      </c>
      <c r="H55" s="454" t="s">
        <v>442</v>
      </c>
      <c r="I55" s="101"/>
      <c r="N55" s="448"/>
      <c r="O55" s="448"/>
      <c r="P55" s="464"/>
      <c r="Q55" s="465"/>
      <c r="R55" s="466"/>
      <c r="S55" s="468" t="s">
        <v>441</v>
      </c>
      <c r="T55" s="469" t="s">
        <v>442</v>
      </c>
      <c r="U55" s="467"/>
      <c r="V55" s="424"/>
    </row>
    <row r="56" spans="1:22" x14ac:dyDescent="0.25">
      <c r="A56" s="36" t="s">
        <v>443</v>
      </c>
      <c r="B56" s="36"/>
      <c r="C56" s="324" t="str">
        <f>'1461'!C56</f>
        <v>FTE</v>
      </c>
      <c r="D56" s="324" t="str">
        <f>'1461'!D56</f>
        <v>FTE</v>
      </c>
      <c r="E56" s="90" t="s">
        <v>2</v>
      </c>
      <c r="F56" s="439" t="s">
        <v>444</v>
      </c>
      <c r="G56" s="441" t="s">
        <v>444</v>
      </c>
      <c r="H56" s="455" t="s">
        <v>445</v>
      </c>
      <c r="I56" s="36"/>
      <c r="N56" s="459" t="s">
        <v>443</v>
      </c>
      <c r="O56" s="459"/>
      <c r="P56" s="620" t="s">
        <v>2</v>
      </c>
      <c r="Q56" s="620"/>
      <c r="R56" s="459" t="s">
        <v>449</v>
      </c>
      <c r="S56" s="450" t="s">
        <v>444</v>
      </c>
      <c r="T56" s="470" t="s">
        <v>445</v>
      </c>
      <c r="U56" s="459"/>
      <c r="V56" s="458"/>
    </row>
    <row r="57" spans="1:22" x14ac:dyDescent="0.25">
      <c r="A57" s="588" t="s">
        <v>447</v>
      </c>
      <c r="B57" s="588"/>
      <c r="C57" s="143">
        <v>0</v>
      </c>
      <c r="D57" s="143">
        <v>0</v>
      </c>
      <c r="E57" s="116">
        <f t="shared" ref="E57:E65" si="10">IF(D$72=0,C57*2,C57+D57)</f>
        <v>0</v>
      </c>
      <c r="F57" s="443" t="s">
        <v>439</v>
      </c>
      <c r="G57" s="443">
        <v>251</v>
      </c>
      <c r="H57" s="457">
        <f>'1461'!H57</f>
        <v>1047</v>
      </c>
      <c r="I57" s="101">
        <f>ROUND(E57*H57,2)</f>
        <v>0</v>
      </c>
      <c r="N57" s="618" t="s">
        <v>447</v>
      </c>
      <c r="O57" s="618"/>
      <c r="P57" s="621"/>
      <c r="Q57" s="621"/>
      <c r="R57" s="449" t="s">
        <v>439</v>
      </c>
      <c r="S57" s="449">
        <v>251</v>
      </c>
      <c r="T57" s="460">
        <f>H57</f>
        <v>1047</v>
      </c>
      <c r="U57" s="474">
        <f>ROUND(P57*T57,2)</f>
        <v>0</v>
      </c>
      <c r="V57" s="424"/>
    </row>
    <row r="58" spans="1:22" x14ac:dyDescent="0.25">
      <c r="A58" s="589"/>
      <c r="B58" s="589"/>
      <c r="C58" s="143"/>
      <c r="D58" s="143">
        <v>0</v>
      </c>
      <c r="E58" s="116">
        <f t="shared" si="10"/>
        <v>0</v>
      </c>
      <c r="F58" s="443" t="s">
        <v>439</v>
      </c>
      <c r="G58" s="443">
        <v>252</v>
      </c>
      <c r="H58" s="457">
        <f>'1461'!H58</f>
        <v>3380</v>
      </c>
      <c r="I58" s="101">
        <f t="shared" ref="I58:I65" si="11">ROUND(E58*H58,2)</f>
        <v>0</v>
      </c>
      <c r="N58" s="619"/>
      <c r="O58" s="619"/>
      <c r="P58" s="622"/>
      <c r="Q58" s="622"/>
      <c r="R58" s="449" t="s">
        <v>439</v>
      </c>
      <c r="S58" s="449">
        <v>252</v>
      </c>
      <c r="T58" s="460">
        <f t="shared" ref="T58:T65" si="12">H58</f>
        <v>3380</v>
      </c>
      <c r="U58" s="474">
        <f t="shared" ref="U58:U65" si="13">ROUND(P58*T58,2)</f>
        <v>0</v>
      </c>
      <c r="V58" s="424"/>
    </row>
    <row r="59" spans="1:22" x14ac:dyDescent="0.25">
      <c r="A59" s="589"/>
      <c r="B59" s="589"/>
      <c r="C59" s="143">
        <v>1</v>
      </c>
      <c r="D59" s="143">
        <v>0</v>
      </c>
      <c r="E59" s="116">
        <v>1</v>
      </c>
      <c r="F59" s="443" t="s">
        <v>439</v>
      </c>
      <c r="G59" s="443">
        <v>253</v>
      </c>
      <c r="H59" s="457">
        <f>'1461'!H59</f>
        <v>6896</v>
      </c>
      <c r="I59" s="101">
        <f t="shared" si="11"/>
        <v>6896</v>
      </c>
      <c r="N59" s="619"/>
      <c r="O59" s="619"/>
      <c r="P59" s="622"/>
      <c r="Q59" s="622"/>
      <c r="R59" s="449" t="s">
        <v>439</v>
      </c>
      <c r="S59" s="449">
        <v>253</v>
      </c>
      <c r="T59" s="460">
        <f t="shared" si="12"/>
        <v>6896</v>
      </c>
      <c r="U59" s="474">
        <f t="shared" si="13"/>
        <v>0</v>
      </c>
      <c r="V59" s="424"/>
    </row>
    <row r="60" spans="1:22" x14ac:dyDescent="0.25">
      <c r="A60" s="589"/>
      <c r="B60" s="589"/>
      <c r="C60" s="143">
        <v>0</v>
      </c>
      <c r="D60" s="143">
        <v>0</v>
      </c>
      <c r="E60" s="116">
        <f t="shared" si="10"/>
        <v>0</v>
      </c>
      <c r="F60" s="444" t="s">
        <v>13</v>
      </c>
      <c r="G60" s="443">
        <v>251</v>
      </c>
      <c r="H60" s="457">
        <f>'1461'!H60</f>
        <v>1173</v>
      </c>
      <c r="I60" s="101">
        <f t="shared" si="11"/>
        <v>0</v>
      </c>
      <c r="N60" s="619"/>
      <c r="O60" s="619"/>
      <c r="P60" s="622"/>
      <c r="Q60" s="622"/>
      <c r="R60" s="40" t="s">
        <v>13</v>
      </c>
      <c r="S60" s="449">
        <v>251</v>
      </c>
      <c r="T60" s="460">
        <f t="shared" si="12"/>
        <v>1173</v>
      </c>
      <c r="U60" s="474">
        <f t="shared" si="13"/>
        <v>0</v>
      </c>
      <c r="V60" s="424"/>
    </row>
    <row r="61" spans="1:22" x14ac:dyDescent="0.25">
      <c r="A61" s="589"/>
      <c r="B61" s="589"/>
      <c r="C61" s="143">
        <v>0</v>
      </c>
      <c r="D61" s="143">
        <v>0</v>
      </c>
      <c r="E61" s="116">
        <f t="shared" si="10"/>
        <v>0</v>
      </c>
      <c r="F61" s="444" t="s">
        <v>13</v>
      </c>
      <c r="G61" s="443">
        <v>252</v>
      </c>
      <c r="H61" s="457">
        <f>'1461'!H61</f>
        <v>3506</v>
      </c>
      <c r="I61" s="101">
        <f t="shared" si="11"/>
        <v>0</v>
      </c>
      <c r="N61" s="619"/>
      <c r="O61" s="619"/>
      <c r="P61" s="622"/>
      <c r="Q61" s="622"/>
      <c r="R61" s="40" t="s">
        <v>13</v>
      </c>
      <c r="S61" s="449">
        <v>252</v>
      </c>
      <c r="T61" s="460">
        <f t="shared" si="12"/>
        <v>3506</v>
      </c>
      <c r="U61" s="474">
        <f t="shared" si="13"/>
        <v>0</v>
      </c>
      <c r="V61" s="424"/>
    </row>
    <row r="62" spans="1:22" x14ac:dyDescent="0.25">
      <c r="A62" s="589"/>
      <c r="B62" s="589"/>
      <c r="C62" s="143">
        <v>0</v>
      </c>
      <c r="D62" s="143">
        <v>0</v>
      </c>
      <c r="E62" s="116">
        <f t="shared" si="10"/>
        <v>0</v>
      </c>
      <c r="F62" s="444" t="s">
        <v>13</v>
      </c>
      <c r="G62" s="443">
        <v>253</v>
      </c>
      <c r="H62" s="457">
        <f>'1461'!H62</f>
        <v>7023</v>
      </c>
      <c r="I62" s="101">
        <f t="shared" si="11"/>
        <v>0</v>
      </c>
      <c r="N62" s="619"/>
      <c r="O62" s="619"/>
      <c r="P62" s="622"/>
      <c r="Q62" s="622"/>
      <c r="R62" s="40" t="s">
        <v>13</v>
      </c>
      <c r="S62" s="449">
        <v>253</v>
      </c>
      <c r="T62" s="460">
        <f t="shared" si="12"/>
        <v>7023</v>
      </c>
      <c r="U62" s="474">
        <f t="shared" si="13"/>
        <v>0</v>
      </c>
      <c r="V62" s="424"/>
    </row>
    <row r="63" spans="1:22" x14ac:dyDescent="0.25">
      <c r="A63" s="589"/>
      <c r="B63" s="589"/>
      <c r="C63" s="143">
        <v>0</v>
      </c>
      <c r="D63" s="143">
        <v>0</v>
      </c>
      <c r="E63" s="116">
        <f t="shared" si="10"/>
        <v>0</v>
      </c>
      <c r="F63" s="444" t="s">
        <v>14</v>
      </c>
      <c r="G63" s="443">
        <v>251</v>
      </c>
      <c r="H63" s="457">
        <f>'1461'!H63</f>
        <v>835</v>
      </c>
      <c r="I63" s="101">
        <f t="shared" si="11"/>
        <v>0</v>
      </c>
      <c r="N63" s="619"/>
      <c r="O63" s="619"/>
      <c r="P63" s="622"/>
      <c r="Q63" s="622"/>
      <c r="R63" s="40" t="s">
        <v>14</v>
      </c>
      <c r="S63" s="449">
        <v>251</v>
      </c>
      <c r="T63" s="460">
        <f t="shared" si="12"/>
        <v>835</v>
      </c>
      <c r="U63" s="474">
        <f t="shared" si="13"/>
        <v>0</v>
      </c>
      <c r="V63" s="424"/>
    </row>
    <row r="64" spans="1:22" x14ac:dyDescent="0.25">
      <c r="A64" s="589"/>
      <c r="B64" s="589"/>
      <c r="C64" s="143">
        <v>0</v>
      </c>
      <c r="D64" s="143">
        <v>0</v>
      </c>
      <c r="E64" s="116">
        <f t="shared" si="10"/>
        <v>0</v>
      </c>
      <c r="F64" s="444" t="s">
        <v>14</v>
      </c>
      <c r="G64" s="443">
        <v>252</v>
      </c>
      <c r="H64" s="457">
        <f>'1461'!H64</f>
        <v>3168</v>
      </c>
      <c r="I64" s="101">
        <f t="shared" si="11"/>
        <v>0</v>
      </c>
      <c r="N64" s="619"/>
      <c r="O64" s="619"/>
      <c r="P64" s="622"/>
      <c r="Q64" s="622"/>
      <c r="R64" s="40" t="s">
        <v>14</v>
      </c>
      <c r="S64" s="449">
        <v>252</v>
      </c>
      <c r="T64" s="460">
        <f t="shared" si="12"/>
        <v>3168</v>
      </c>
      <c r="U64" s="474">
        <f t="shared" si="13"/>
        <v>0</v>
      </c>
      <c r="V64" s="424"/>
    </row>
    <row r="65" spans="1:22" ht="16.5" thickBot="1" x14ac:dyDescent="0.3">
      <c r="A65" s="589"/>
      <c r="B65" s="589"/>
      <c r="C65" s="143">
        <v>0</v>
      </c>
      <c r="D65" s="143">
        <v>0</v>
      </c>
      <c r="E65" s="116">
        <f t="shared" si="10"/>
        <v>0</v>
      </c>
      <c r="F65" s="444" t="s">
        <v>14</v>
      </c>
      <c r="G65" s="443">
        <v>253</v>
      </c>
      <c r="H65" s="457">
        <f>'1461'!H65</f>
        <v>6685</v>
      </c>
      <c r="I65" s="101">
        <f t="shared" si="11"/>
        <v>0</v>
      </c>
      <c r="N65" s="619"/>
      <c r="O65" s="619"/>
      <c r="P65" s="623"/>
      <c r="Q65" s="623"/>
      <c r="R65" s="40" t="s">
        <v>14</v>
      </c>
      <c r="S65" s="449">
        <v>253</v>
      </c>
      <c r="T65" s="460">
        <f t="shared" si="12"/>
        <v>6685</v>
      </c>
      <c r="U65" s="475">
        <f t="shared" si="13"/>
        <v>0</v>
      </c>
      <c r="V65" s="424"/>
    </row>
    <row r="66" spans="1:22" ht="16.5" thickBot="1" x14ac:dyDescent="0.3">
      <c r="A66" s="440"/>
      <c r="C66" s="97">
        <f>SUM(C57:C65)</f>
        <v>1</v>
      </c>
      <c r="D66" s="97">
        <f>SUM(D57:D65)</f>
        <v>0</v>
      </c>
      <c r="E66" s="97">
        <f>SUM(E57:E65)</f>
        <v>1</v>
      </c>
      <c r="F66" s="590" t="s">
        <v>448</v>
      </c>
      <c r="G66" s="590"/>
      <c r="H66" s="590"/>
      <c r="I66" s="97">
        <f>SUM(I57:I65)</f>
        <v>6896</v>
      </c>
      <c r="N66" s="446"/>
      <c r="O66" s="51"/>
      <c r="P66" s="602">
        <f>SUM(P57:P65)</f>
        <v>0</v>
      </c>
      <c r="Q66" s="602"/>
      <c r="R66" s="603" t="s">
        <v>448</v>
      </c>
      <c r="S66" s="603"/>
      <c r="T66" s="603"/>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450</v>
      </c>
      <c r="N68" s="453" t="s">
        <v>458</v>
      </c>
      <c r="O68" s="51"/>
      <c r="P68" s="51"/>
      <c r="Q68" s="51"/>
      <c r="R68" s="51"/>
      <c r="S68" s="51"/>
      <c r="T68" s="51"/>
      <c r="U68" s="51"/>
    </row>
    <row r="69" spans="1:22" x14ac:dyDescent="0.25">
      <c r="A69" s="584" t="s">
        <v>403</v>
      </c>
      <c r="B69" s="578"/>
      <c r="C69" s="112">
        <f>E30</f>
        <v>24</v>
      </c>
      <c r="D69" s="565" t="s">
        <v>414</v>
      </c>
      <c r="E69" s="565"/>
      <c r="F69" s="565"/>
      <c r="G69" s="565"/>
      <c r="H69" s="300">
        <f>'1461'!H69</f>
        <v>210228.91</v>
      </c>
      <c r="I69" s="113"/>
      <c r="N69" s="600" t="s">
        <v>407</v>
      </c>
      <c r="O69" s="601"/>
      <c r="P69" s="41">
        <f>P30</f>
        <v>24</v>
      </c>
      <c r="Q69" s="606" t="s">
        <v>409</v>
      </c>
      <c r="R69" s="607"/>
      <c r="S69" s="607"/>
      <c r="T69" s="604">
        <f>H69</f>
        <v>210228.91</v>
      </c>
      <c r="U69" s="604"/>
    </row>
    <row r="70" spans="1:22" x14ac:dyDescent="0.25">
      <c r="B70" s="69"/>
      <c r="G70" s="42" t="s">
        <v>12</v>
      </c>
      <c r="H70" s="114">
        <f>ROUND(C69/H69,6)</f>
        <v>1.1400000000000001E-4</v>
      </c>
      <c r="I70" s="115"/>
      <c r="N70" s="601"/>
      <c r="O70" s="601"/>
      <c r="P70" s="601"/>
      <c r="Q70" s="601"/>
      <c r="R70" s="601"/>
      <c r="S70" s="601"/>
      <c r="T70" s="605">
        <f>ROUND(P69/T69,6)</f>
        <v>1.1400000000000001E-4</v>
      </c>
      <c r="U70" s="605"/>
    </row>
    <row r="71" spans="1:22" x14ac:dyDescent="0.25">
      <c r="A71" s="442" t="s">
        <v>451</v>
      </c>
      <c r="N71" s="453" t="s">
        <v>459</v>
      </c>
      <c r="O71" s="51"/>
      <c r="P71" s="51"/>
      <c r="Q71" s="51"/>
      <c r="R71" s="51"/>
      <c r="S71" s="51"/>
      <c r="T71" s="51"/>
      <c r="U71" s="51"/>
    </row>
    <row r="72" spans="1:22" x14ac:dyDescent="0.25">
      <c r="A72" s="584" t="s">
        <v>404</v>
      </c>
      <c r="B72" s="578"/>
      <c r="C72" s="112">
        <f>H30</f>
        <v>124.01650000000001</v>
      </c>
      <c r="D72" s="565" t="s">
        <v>415</v>
      </c>
      <c r="E72" s="565"/>
      <c r="F72" s="565"/>
      <c r="G72" s="565"/>
      <c r="H72" s="301">
        <f>'1461'!H72</f>
        <v>234891.44</v>
      </c>
      <c r="I72" s="116"/>
      <c r="N72" s="600" t="s">
        <v>408</v>
      </c>
      <c r="O72" s="601"/>
      <c r="P72" s="41">
        <f>T30</f>
        <v>24</v>
      </c>
      <c r="Q72" s="606" t="s">
        <v>410</v>
      </c>
      <c r="R72" s="607"/>
      <c r="S72" s="607"/>
      <c r="T72" s="604">
        <f>H72</f>
        <v>234891.44</v>
      </c>
      <c r="U72" s="604"/>
    </row>
    <row r="73" spans="1:22" x14ac:dyDescent="0.25">
      <c r="G73" s="42" t="s">
        <v>12</v>
      </c>
      <c r="H73" s="114">
        <f>ROUND(C72/H72,6)</f>
        <v>5.2800000000000004E-4</v>
      </c>
      <c r="I73" s="114"/>
      <c r="N73" s="601"/>
      <c r="O73" s="601"/>
      <c r="P73" s="601"/>
      <c r="Q73" s="601"/>
      <c r="R73" s="601"/>
      <c r="S73" s="601"/>
      <c r="T73" s="605">
        <f>ROUND(P72/T72,6)</f>
        <v>1.02E-4</v>
      </c>
      <c r="U73" s="605"/>
    </row>
    <row r="74" spans="1:22" x14ac:dyDescent="0.25">
      <c r="A74" s="417" t="s">
        <v>452</v>
      </c>
      <c r="B74" s="414"/>
      <c r="C74" s="414"/>
      <c r="D74" s="414"/>
      <c r="E74" s="414"/>
      <c r="F74" s="414"/>
      <c r="G74" s="414"/>
      <c r="H74" s="414"/>
      <c r="I74" s="414"/>
      <c r="N74" s="416" t="s">
        <v>460</v>
      </c>
      <c r="O74" s="415"/>
      <c r="P74" s="415"/>
      <c r="Q74" s="415"/>
      <c r="R74" s="415"/>
      <c r="S74" s="415"/>
      <c r="T74" s="415"/>
      <c r="U74" s="415"/>
      <c r="V74" s="414"/>
    </row>
    <row r="75" spans="1:22" x14ac:dyDescent="0.25">
      <c r="A75" s="584" t="s">
        <v>405</v>
      </c>
      <c r="B75" s="578"/>
      <c r="C75" s="112">
        <f>E30</f>
        <v>24</v>
      </c>
      <c r="D75" s="557" t="s">
        <v>416</v>
      </c>
      <c r="E75" s="557"/>
      <c r="F75" s="557"/>
      <c r="G75" s="557"/>
      <c r="H75" s="300">
        <f>'1461'!H75</f>
        <v>187665.41</v>
      </c>
      <c r="I75" s="113"/>
      <c r="N75" s="600" t="s">
        <v>406</v>
      </c>
      <c r="O75" s="601"/>
      <c r="P75" s="41">
        <f>P30</f>
        <v>24</v>
      </c>
      <c r="Q75" s="636" t="s">
        <v>411</v>
      </c>
      <c r="R75" s="637"/>
      <c r="S75" s="637"/>
      <c r="T75" s="604">
        <f>H75</f>
        <v>187665.41</v>
      </c>
      <c r="U75" s="604"/>
    </row>
    <row r="76" spans="1:22" x14ac:dyDescent="0.25">
      <c r="B76" s="69"/>
      <c r="G76" s="42" t="s">
        <v>12</v>
      </c>
      <c r="H76" s="114">
        <f>ROUND(C75/H75,6)</f>
        <v>1.2799999999999999E-4</v>
      </c>
      <c r="I76" s="115"/>
      <c r="N76" s="601"/>
      <c r="O76" s="601"/>
      <c r="P76" s="601"/>
      <c r="Q76" s="601"/>
      <c r="R76" s="601"/>
      <c r="S76" s="601"/>
      <c r="T76" s="605">
        <f>ROUND(P75/T75,6)</f>
        <v>1.2799999999999999E-4</v>
      </c>
      <c r="U76" s="605"/>
    </row>
    <row r="77" spans="1:22" x14ac:dyDescent="0.25">
      <c r="A77" s="417" t="s">
        <v>453</v>
      </c>
      <c r="B77" s="414"/>
      <c r="C77" s="414"/>
      <c r="D77" s="414"/>
      <c r="E77" s="414"/>
      <c r="F77" s="414"/>
      <c r="G77" s="414"/>
      <c r="H77" s="414"/>
      <c r="I77" s="414"/>
      <c r="N77" s="416" t="s">
        <v>461</v>
      </c>
      <c r="O77" s="415"/>
      <c r="P77" s="415"/>
      <c r="Q77" s="415"/>
      <c r="R77" s="415"/>
      <c r="S77" s="415"/>
      <c r="T77" s="415"/>
      <c r="U77" s="415"/>
      <c r="V77" s="414"/>
    </row>
    <row r="78" spans="1:22" x14ac:dyDescent="0.25">
      <c r="A78" s="584" t="s">
        <v>405</v>
      </c>
      <c r="B78" s="578"/>
      <c r="C78" s="112">
        <f>E30</f>
        <v>24</v>
      </c>
      <c r="D78" s="585" t="s">
        <v>417</v>
      </c>
      <c r="E78" s="585"/>
      <c r="F78" s="585"/>
      <c r="G78" s="585"/>
      <c r="H78" s="300">
        <f>'1461'!H78</f>
        <v>209892.26</v>
      </c>
      <c r="I78" s="113"/>
      <c r="N78" s="600" t="s">
        <v>406</v>
      </c>
      <c r="O78" s="601"/>
      <c r="P78" s="41">
        <f>P30</f>
        <v>24</v>
      </c>
      <c r="Q78" s="634" t="s">
        <v>412</v>
      </c>
      <c r="R78" s="635"/>
      <c r="S78" s="635"/>
      <c r="T78" s="604">
        <f>H78</f>
        <v>209892.26</v>
      </c>
      <c r="U78" s="604"/>
    </row>
    <row r="79" spans="1:22" x14ac:dyDescent="0.25">
      <c r="B79" s="69"/>
      <c r="G79" s="42" t="s">
        <v>12</v>
      </c>
      <c r="H79" s="114">
        <f>ROUND(C78/H78,6)</f>
        <v>1.1400000000000001E-4</v>
      </c>
      <c r="I79" s="115"/>
      <c r="N79" s="601"/>
      <c r="O79" s="601"/>
      <c r="P79" s="601"/>
      <c r="Q79" s="601"/>
      <c r="R79" s="601"/>
      <c r="S79" s="601"/>
      <c r="T79" s="605">
        <f>ROUND(P78/T78,6)</f>
        <v>1.1400000000000001E-4</v>
      </c>
      <c r="U79" s="605"/>
    </row>
    <row r="80" spans="1:22" x14ac:dyDescent="0.25">
      <c r="A80" s="417" t="s">
        <v>454</v>
      </c>
      <c r="B80" s="414"/>
      <c r="C80" s="414"/>
      <c r="D80" s="414"/>
      <c r="E80" s="414"/>
      <c r="F80" s="414"/>
      <c r="G80" s="414"/>
      <c r="H80" s="414"/>
      <c r="I80" s="414"/>
      <c r="N80" s="416" t="s">
        <v>462</v>
      </c>
      <c r="O80" s="415"/>
      <c r="P80" s="415"/>
      <c r="Q80" s="415"/>
      <c r="R80" s="415"/>
      <c r="S80" s="415"/>
      <c r="T80" s="415"/>
      <c r="U80" s="415"/>
      <c r="V80" s="414"/>
    </row>
    <row r="81" spans="1:21" x14ac:dyDescent="0.25">
      <c r="A81" s="584" t="s">
        <v>413</v>
      </c>
      <c r="B81" s="578"/>
      <c r="C81" s="112">
        <f>E30</f>
        <v>24</v>
      </c>
      <c r="D81" s="557" t="s">
        <v>418</v>
      </c>
      <c r="E81" s="557"/>
      <c r="F81" s="557"/>
      <c r="G81" s="557"/>
      <c r="H81" s="300">
        <f>'1461'!H81</f>
        <v>187328.76</v>
      </c>
      <c r="I81" s="113"/>
      <c r="N81" s="600" t="s">
        <v>419</v>
      </c>
      <c r="O81" s="601"/>
      <c r="P81" s="41">
        <f>P30</f>
        <v>24</v>
      </c>
      <c r="Q81" s="636" t="s">
        <v>420</v>
      </c>
      <c r="R81" s="637"/>
      <c r="S81" s="637"/>
      <c r="T81" s="604">
        <f>H81</f>
        <v>187328.76</v>
      </c>
      <c r="U81" s="604"/>
    </row>
    <row r="82" spans="1:21" x14ac:dyDescent="0.25">
      <c r="B82" s="69"/>
      <c r="G82" s="42" t="s">
        <v>12</v>
      </c>
      <c r="H82" s="114">
        <f>ROUND(C81/H81,6)</f>
        <v>1.2799999999999999E-4</v>
      </c>
      <c r="I82" s="115"/>
      <c r="N82" s="601"/>
      <c r="O82" s="601"/>
      <c r="P82" s="601"/>
      <c r="Q82" s="601"/>
      <c r="R82" s="601"/>
      <c r="S82" s="601"/>
      <c r="T82" s="605">
        <f>ROUND(P81/T81,6)</f>
        <v>1.2799999999999999E-4</v>
      </c>
      <c r="U82" s="605"/>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455</v>
      </c>
      <c r="D85" s="69"/>
      <c r="E85" s="43" t="s">
        <v>299</v>
      </c>
      <c r="F85" s="302">
        <f>'1461'!F85</f>
        <v>46163704</v>
      </c>
      <c r="G85" s="37" t="s">
        <v>6</v>
      </c>
      <c r="H85" s="422">
        <f>H79</f>
        <v>1.1400000000000001E-4</v>
      </c>
      <c r="I85" s="101">
        <f>ROUND(F85*H85,2)</f>
        <v>5262.66</v>
      </c>
      <c r="N85" s="453" t="s">
        <v>455</v>
      </c>
      <c r="O85" s="51"/>
      <c r="P85" s="51"/>
      <c r="Q85" s="44"/>
      <c r="R85" s="419">
        <f>F85</f>
        <v>46163704</v>
      </c>
      <c r="S85" s="38" t="s">
        <v>6</v>
      </c>
      <c r="T85" s="421">
        <f>T79</f>
        <v>1.1400000000000001E-4</v>
      </c>
      <c r="U85" s="473">
        <f>ROUND(R85*T85,2)</f>
        <v>5262.66</v>
      </c>
    </row>
    <row r="86" spans="1:21" x14ac:dyDescent="0.25">
      <c r="A86" s="399"/>
      <c r="D86" s="69"/>
      <c r="E86" s="43"/>
      <c r="F86" s="117"/>
      <c r="G86" s="37"/>
      <c r="H86" s="422"/>
      <c r="I86" s="101"/>
      <c r="N86" s="51"/>
      <c r="O86" s="51"/>
      <c r="P86" s="51"/>
      <c r="Q86" s="44"/>
      <c r="R86" s="420"/>
      <c r="S86" s="38"/>
      <c r="T86" s="421"/>
      <c r="U86" s="477"/>
    </row>
    <row r="87" spans="1:21" x14ac:dyDescent="0.25">
      <c r="A87" s="587" t="s">
        <v>71</v>
      </c>
      <c r="B87" s="578"/>
      <c r="C87" s="578"/>
      <c r="D87" s="69"/>
      <c r="E87" s="43"/>
      <c r="F87" s="117"/>
      <c r="G87" s="37"/>
      <c r="H87" s="422"/>
      <c r="I87" s="101"/>
      <c r="N87" s="600" t="s">
        <v>463</v>
      </c>
      <c r="O87" s="601"/>
      <c r="P87" s="601"/>
      <c r="Q87" s="51"/>
      <c r="R87" s="420"/>
      <c r="S87" s="51"/>
      <c r="T87" s="38"/>
      <c r="U87" s="478"/>
    </row>
    <row r="88" spans="1:21" x14ac:dyDescent="0.25">
      <c r="A88" s="587" t="s">
        <v>99</v>
      </c>
      <c r="B88" s="578"/>
      <c r="C88" s="578"/>
      <c r="D88" s="69"/>
      <c r="E88" s="43" t="s">
        <v>3</v>
      </c>
      <c r="F88" s="302">
        <f>'1461'!F88</f>
        <v>0</v>
      </c>
      <c r="G88" s="37" t="s">
        <v>6</v>
      </c>
      <c r="H88" s="422">
        <f>H70</f>
        <v>1.1400000000000001E-4</v>
      </c>
      <c r="I88" s="101">
        <f>ROUND(F88*H88,2)</f>
        <v>0</v>
      </c>
      <c r="N88" s="638" t="s">
        <v>99</v>
      </c>
      <c r="O88" s="601"/>
      <c r="P88" s="601"/>
      <c r="Q88" s="44"/>
      <c r="R88" s="419">
        <f>F88</f>
        <v>0</v>
      </c>
      <c r="S88" s="38" t="s">
        <v>6</v>
      </c>
      <c r="T88" s="421">
        <f>T70</f>
        <v>1.1400000000000001E-4</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456</v>
      </c>
      <c r="D90" s="69"/>
      <c r="E90" s="43" t="s">
        <v>421</v>
      </c>
      <c r="F90" s="302">
        <f>'1461'!F90</f>
        <v>19042026</v>
      </c>
      <c r="G90" s="37" t="s">
        <v>6</v>
      </c>
      <c r="H90" s="422">
        <f>H82</f>
        <v>1.2799999999999999E-4</v>
      </c>
      <c r="I90" s="101">
        <f>ROUND(F90*H90,2)</f>
        <v>2437.38</v>
      </c>
      <c r="N90" s="453" t="s">
        <v>456</v>
      </c>
      <c r="O90" s="51"/>
      <c r="P90" s="51"/>
      <c r="Q90" s="44"/>
      <c r="R90" s="419">
        <f>F90</f>
        <v>19042026</v>
      </c>
      <c r="S90" s="38" t="s">
        <v>6</v>
      </c>
      <c r="T90" s="421">
        <f>T82</f>
        <v>1.2799999999999999E-4</v>
      </c>
      <c r="U90" s="473">
        <f>ROUND(R90*T90,2)</f>
        <v>2437.38</v>
      </c>
    </row>
    <row r="91" spans="1:21" x14ac:dyDescent="0.25">
      <c r="A91" s="399"/>
      <c r="D91" s="69"/>
      <c r="E91" s="43"/>
      <c r="F91" s="117"/>
      <c r="G91" s="37"/>
      <c r="H91" s="422"/>
      <c r="I91" s="101"/>
      <c r="N91" s="407"/>
      <c r="O91" s="51"/>
      <c r="P91" s="51"/>
      <c r="Q91" s="44"/>
      <c r="R91" s="419"/>
      <c r="S91" s="38"/>
      <c r="T91" s="421"/>
      <c r="U91" s="473"/>
    </row>
    <row r="92" spans="1:21" x14ac:dyDescent="0.25">
      <c r="A92" s="451" t="s">
        <v>457</v>
      </c>
      <c r="D92" s="69"/>
      <c r="E92" s="43" t="s">
        <v>3</v>
      </c>
      <c r="F92" s="302">
        <f>'1461'!F92</f>
        <v>11441151</v>
      </c>
      <c r="G92" s="37" t="s">
        <v>6</v>
      </c>
      <c r="H92" s="422">
        <f>H76</f>
        <v>1.2799999999999999E-4</v>
      </c>
      <c r="I92" s="101">
        <f t="shared" ref="I92:I96" si="14">ROUND(F92*H92,2)</f>
        <v>1464.47</v>
      </c>
      <c r="N92" s="453" t="s">
        <v>457</v>
      </c>
      <c r="O92" s="51"/>
      <c r="P92" s="51"/>
      <c r="Q92" s="44"/>
      <c r="R92" s="419">
        <f t="shared" ref="R92:R96" si="15">F92</f>
        <v>11441151</v>
      </c>
      <c r="S92" s="38" t="s">
        <v>6</v>
      </c>
      <c r="T92" s="421">
        <f>T76</f>
        <v>1.2799999999999999E-4</v>
      </c>
      <c r="U92" s="473">
        <f>ROUND(R92*T92,2)</f>
        <v>1464.47</v>
      </c>
    </row>
    <row r="93" spans="1:21" x14ac:dyDescent="0.25">
      <c r="A93" s="81"/>
      <c r="D93" s="69"/>
      <c r="E93" s="43"/>
      <c r="F93" s="117"/>
      <c r="G93" s="37"/>
      <c r="H93" s="422"/>
      <c r="I93" s="101"/>
      <c r="N93" s="383"/>
      <c r="O93" s="51"/>
      <c r="P93" s="51"/>
      <c r="Q93" s="44"/>
      <c r="R93" s="420"/>
      <c r="S93" s="38"/>
      <c r="T93" s="421"/>
      <c r="U93" s="477"/>
    </row>
    <row r="94" spans="1:21" x14ac:dyDescent="0.25">
      <c r="A94" s="584" t="s">
        <v>422</v>
      </c>
      <c r="B94" s="578"/>
      <c r="C94" s="578"/>
      <c r="D94" s="69"/>
      <c r="E94" s="43" t="s">
        <v>4</v>
      </c>
      <c r="F94" s="302">
        <f>'1461'!F94</f>
        <v>247265670</v>
      </c>
      <c r="G94" s="37" t="s">
        <v>6</v>
      </c>
      <c r="H94" s="422">
        <f>H73</f>
        <v>5.2800000000000004E-4</v>
      </c>
      <c r="I94" s="101">
        <f t="shared" si="14"/>
        <v>130556.27</v>
      </c>
      <c r="N94" s="601" t="s">
        <v>422</v>
      </c>
      <c r="O94" s="601"/>
      <c r="P94" s="601"/>
      <c r="Q94" s="44"/>
      <c r="R94" s="419">
        <f t="shared" si="15"/>
        <v>247265670</v>
      </c>
      <c r="S94" s="38" t="s">
        <v>6</v>
      </c>
      <c r="T94" s="421">
        <f>T73</f>
        <v>1.02E-4</v>
      </c>
      <c r="U94" s="473">
        <f>ROUND(R94*T94,2)</f>
        <v>25221.1</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4" t="s">
        <v>423</v>
      </c>
      <c r="B96" s="578"/>
      <c r="C96" s="578"/>
      <c r="D96" s="69"/>
      <c r="E96" s="43" t="s">
        <v>4</v>
      </c>
      <c r="F96" s="302">
        <f>'1461'!F96</f>
        <v>0</v>
      </c>
      <c r="G96" s="37" t="s">
        <v>6</v>
      </c>
      <c r="H96" s="422">
        <f>H73</f>
        <v>5.2800000000000004E-4</v>
      </c>
      <c r="I96" s="101">
        <f t="shared" si="14"/>
        <v>0</v>
      </c>
      <c r="N96" s="600" t="s">
        <v>423</v>
      </c>
      <c r="O96" s="601"/>
      <c r="P96" s="601"/>
      <c r="Q96" s="44"/>
      <c r="R96" s="419">
        <f t="shared" si="15"/>
        <v>0</v>
      </c>
      <c r="S96" s="38" t="s">
        <v>6</v>
      </c>
      <c r="T96" s="421">
        <f>T73</f>
        <v>1.02E-4</v>
      </c>
      <c r="U96" s="473">
        <f>ROUND(R96*T96,2)</f>
        <v>0</v>
      </c>
    </row>
    <row r="97" spans="1:21" x14ac:dyDescent="0.25">
      <c r="A97" s="530"/>
      <c r="B97" s="529"/>
      <c r="C97" s="529"/>
      <c r="D97" s="529"/>
      <c r="E97" s="527"/>
      <c r="F97" s="117"/>
      <c r="G97" s="528"/>
      <c r="H97" s="422"/>
      <c r="I97" s="101"/>
      <c r="N97" s="533"/>
      <c r="O97" s="532"/>
      <c r="P97" s="532"/>
      <c r="Q97" s="44"/>
      <c r="R97" s="535"/>
      <c r="S97" s="534"/>
      <c r="T97" s="421"/>
      <c r="U97" s="477"/>
    </row>
    <row r="98" spans="1:21" x14ac:dyDescent="0.25">
      <c r="A98" s="530" t="s">
        <v>497</v>
      </c>
      <c r="B98" s="529"/>
      <c r="C98" s="529"/>
      <c r="D98" s="529"/>
      <c r="E98" s="527" t="s">
        <v>3</v>
      </c>
      <c r="F98" s="290">
        <v>0</v>
      </c>
      <c r="G98" s="528" t="s">
        <v>6</v>
      </c>
      <c r="H98" s="422">
        <f>H70</f>
        <v>1.1400000000000001E-4</v>
      </c>
      <c r="I98" s="101">
        <f t="shared" ref="I98" si="16">ROUND(F98*H98,2)</f>
        <v>0</v>
      </c>
      <c r="N98" s="533" t="s">
        <v>497</v>
      </c>
      <c r="O98" s="533"/>
      <c r="P98" s="533"/>
      <c r="Q98" s="44"/>
      <c r="R98" s="536">
        <f>F98</f>
        <v>0</v>
      </c>
      <c r="S98" s="534" t="s">
        <v>6</v>
      </c>
      <c r="T98" s="421">
        <f>T70</f>
        <v>1.1400000000000001E-4</v>
      </c>
      <c r="U98" s="473">
        <f>ROUND(R98*T98,2)</f>
        <v>0</v>
      </c>
    </row>
    <row r="99" spans="1:21" x14ac:dyDescent="0.25">
      <c r="A99" s="530"/>
      <c r="B99" s="529"/>
      <c r="C99" s="529"/>
      <c r="D99" s="529"/>
      <c r="E99" s="527"/>
      <c r="F99" s="276"/>
      <c r="G99" s="528"/>
      <c r="H99" s="422"/>
      <c r="I99" s="101"/>
      <c r="N99" s="533"/>
      <c r="O99" s="533"/>
      <c r="P99" s="533"/>
      <c r="Q99" s="44"/>
      <c r="R99" s="535"/>
      <c r="S99" s="534"/>
      <c r="T99" s="421"/>
      <c r="U99" s="477"/>
    </row>
    <row r="100" spans="1:21" x14ac:dyDescent="0.25">
      <c r="A100" s="530"/>
      <c r="B100" s="529"/>
      <c r="C100" s="529"/>
      <c r="D100" s="529"/>
      <c r="E100" s="527"/>
      <c r="F100" s="276"/>
      <c r="G100" s="528"/>
      <c r="H100" s="422"/>
      <c r="I100" s="101"/>
      <c r="N100" s="533"/>
      <c r="O100" s="533"/>
      <c r="P100" s="533"/>
      <c r="Q100" s="44"/>
      <c r="R100" s="420"/>
      <c r="S100" s="534"/>
      <c r="T100" s="421"/>
      <c r="U100" s="103"/>
    </row>
    <row r="101" spans="1:21" x14ac:dyDescent="0.25">
      <c r="A101" s="399" t="s">
        <v>498</v>
      </c>
      <c r="N101" s="407" t="s">
        <v>498</v>
      </c>
      <c r="O101" s="51"/>
      <c r="P101" s="51"/>
      <c r="Q101" s="51"/>
      <c r="R101" s="51"/>
      <c r="S101" s="51"/>
      <c r="T101" s="51"/>
      <c r="U101" s="51"/>
    </row>
    <row r="102" spans="1:21" x14ac:dyDescent="0.25">
      <c r="B102" s="69"/>
      <c r="C102" s="563" t="s">
        <v>60</v>
      </c>
      <c r="D102" s="563"/>
      <c r="E102" s="69"/>
      <c r="F102" s="39" t="s">
        <v>28</v>
      </c>
      <c r="G102" s="69"/>
      <c r="H102" s="69"/>
      <c r="I102" s="69"/>
      <c r="N102" s="45"/>
      <c r="O102" s="45"/>
      <c r="P102" s="45"/>
      <c r="Q102" s="45"/>
      <c r="R102" s="45"/>
      <c r="S102" s="45"/>
      <c r="T102" s="45"/>
      <c r="U102" s="45"/>
    </row>
    <row r="103" spans="1:21" x14ac:dyDescent="0.25">
      <c r="A103" s="3"/>
      <c r="B103" s="118"/>
      <c r="C103" s="564" t="s">
        <v>101</v>
      </c>
      <c r="D103" s="564"/>
      <c r="E103" s="423" t="s">
        <v>426</v>
      </c>
      <c r="F103" s="120" t="s">
        <v>106</v>
      </c>
      <c r="G103" s="121"/>
      <c r="H103" s="121"/>
      <c r="I103" s="121"/>
      <c r="N103" s="631" t="s">
        <v>35</v>
      </c>
      <c r="O103" s="631"/>
      <c r="P103" s="672" t="s">
        <v>428</v>
      </c>
      <c r="Q103" s="633"/>
      <c r="R103" s="604" t="s">
        <v>31</v>
      </c>
      <c r="S103" s="604"/>
      <c r="T103" s="604"/>
      <c r="U103" s="604"/>
    </row>
    <row r="104" spans="1:21" x14ac:dyDescent="0.25">
      <c r="A104" s="26"/>
      <c r="B104" s="52" t="s">
        <v>105</v>
      </c>
      <c r="C104" s="596">
        <f>H14+H15+H20+H23+H26</f>
        <v>42.168999999999997</v>
      </c>
      <c r="D104" s="596"/>
      <c r="E104" s="46">
        <f>H8</f>
        <v>1.0407999999999999</v>
      </c>
      <c r="F104" s="303">
        <f>'1461'!F104</f>
        <v>950.92</v>
      </c>
      <c r="G104" s="39" t="s">
        <v>12</v>
      </c>
      <c r="H104" s="101">
        <f>ROUND(C104*E104*F104,2)</f>
        <v>41735.4</v>
      </c>
      <c r="I104" s="104"/>
      <c r="N104" s="28" t="s">
        <v>17</v>
      </c>
      <c r="O104" s="47">
        <f>T14+T15+T20+T23+T26</f>
        <v>9</v>
      </c>
      <c r="P104" s="611">
        <f>T8</f>
        <v>1.0407999999999999</v>
      </c>
      <c r="Q104" s="611"/>
      <c r="R104" s="48">
        <f>F104</f>
        <v>950.92</v>
      </c>
      <c r="S104" s="40" t="s">
        <v>12</v>
      </c>
      <c r="T104" s="479">
        <f>ROUND(O104*P104*R104,2)</f>
        <v>8907.4599999999991</v>
      </c>
      <c r="U104" s="102"/>
    </row>
    <row r="105" spans="1:21" x14ac:dyDescent="0.25">
      <c r="A105" s="49"/>
      <c r="B105" s="49" t="s">
        <v>104</v>
      </c>
      <c r="C105" s="596">
        <f>H16+H17+H21+H24+H27</f>
        <v>81.847499999999997</v>
      </c>
      <c r="D105" s="596"/>
      <c r="E105" s="46">
        <f>H8</f>
        <v>1.0407999999999999</v>
      </c>
      <c r="F105" s="303">
        <f>'1461'!F105</f>
        <v>907.92</v>
      </c>
      <c r="G105" s="39" t="s">
        <v>12</v>
      </c>
      <c r="H105" s="101">
        <f>ROUND(C105*E105*F105,2)</f>
        <v>77342.87</v>
      </c>
      <c r="N105" s="50" t="s">
        <v>13</v>
      </c>
      <c r="O105" s="47">
        <f>T16+T17+T21+T24+T27</f>
        <v>15</v>
      </c>
      <c r="P105" s="611">
        <f>T8</f>
        <v>1.0407999999999999</v>
      </c>
      <c r="Q105" s="611"/>
      <c r="R105" s="48">
        <f>F105</f>
        <v>907.92</v>
      </c>
      <c r="S105" s="40" t="s">
        <v>12</v>
      </c>
      <c r="T105" s="479">
        <f>ROUND(O105*P105*R105,2)</f>
        <v>14174.45</v>
      </c>
      <c r="U105" s="51"/>
    </row>
    <row r="106" spans="1:21" ht="16.5" thickBot="1" x14ac:dyDescent="0.3">
      <c r="A106" s="52"/>
      <c r="B106" s="52" t="s">
        <v>103</v>
      </c>
      <c r="C106" s="596">
        <f>H18+H19+H22+H25+H28+H29</f>
        <v>0</v>
      </c>
      <c r="D106" s="596"/>
      <c r="E106" s="46">
        <f>H8</f>
        <v>1.0407999999999999</v>
      </c>
      <c r="F106" s="303">
        <f>'1461'!F106</f>
        <v>910.12</v>
      </c>
      <c r="G106" s="39" t="s">
        <v>12</v>
      </c>
      <c r="H106" s="94">
        <f>ROUND(C106*E106*F106,2)</f>
        <v>0</v>
      </c>
      <c r="N106" s="53" t="s">
        <v>14</v>
      </c>
      <c r="O106" s="54">
        <f>T18+T19+T22+T25+T28+T29</f>
        <v>0</v>
      </c>
      <c r="P106" s="611">
        <f>T8</f>
        <v>1.0407999999999999</v>
      </c>
      <c r="Q106" s="611"/>
      <c r="R106" s="48">
        <f>F106</f>
        <v>910.12</v>
      </c>
      <c r="S106" s="40" t="s">
        <v>12</v>
      </c>
      <c r="T106" s="479">
        <f>ROUND(O106*P106*R106,2)</f>
        <v>0</v>
      </c>
      <c r="U106" s="51"/>
    </row>
    <row r="107" spans="1:21" ht="16.5" thickBot="1" x14ac:dyDescent="0.3">
      <c r="A107" s="55"/>
      <c r="B107" s="122" t="s">
        <v>102</v>
      </c>
      <c r="C107" s="586">
        <f>SUM(C104:C106)</f>
        <v>124.01649999999999</v>
      </c>
      <c r="D107" s="586"/>
      <c r="E107" s="123"/>
      <c r="F107" s="123"/>
      <c r="G107" s="123"/>
      <c r="H107" s="124" t="s">
        <v>100</v>
      </c>
      <c r="I107" s="101">
        <f>IF(A1=75,0,H106+H105+H104)</f>
        <v>119078.26999999999</v>
      </c>
      <c r="N107" s="56" t="s">
        <v>89</v>
      </c>
      <c r="O107" s="57">
        <f>SUM(O104:O106)</f>
        <v>24</v>
      </c>
      <c r="P107" s="612" t="s">
        <v>16</v>
      </c>
      <c r="Q107" s="613"/>
      <c r="R107" s="613"/>
      <c r="S107" s="613"/>
      <c r="T107" s="613"/>
      <c r="U107" s="473">
        <f>IF(N1=75,0,T106+T105+T104)</f>
        <v>23081.91</v>
      </c>
    </row>
    <row r="108" spans="1:21" ht="16.5" thickTop="1" x14ac:dyDescent="0.25">
      <c r="A108" s="555" t="s">
        <v>65</v>
      </c>
      <c r="B108" s="555"/>
      <c r="C108" s="555"/>
      <c r="D108" s="555"/>
      <c r="E108" s="555"/>
      <c r="F108" s="555"/>
      <c r="G108" s="555"/>
      <c r="H108" s="555"/>
      <c r="I108" s="555"/>
      <c r="N108" s="614" t="s">
        <v>65</v>
      </c>
      <c r="O108" s="614"/>
      <c r="P108" s="614"/>
      <c r="Q108" s="614"/>
      <c r="R108" s="614"/>
      <c r="S108" s="614"/>
      <c r="T108" s="614"/>
      <c r="U108" s="614"/>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0" t="s">
        <v>499</v>
      </c>
      <c r="C110" s="43"/>
      <c r="D110" s="69"/>
      <c r="E110" s="43" t="s">
        <v>32</v>
      </c>
      <c r="F110" s="556"/>
      <c r="G110" s="556"/>
      <c r="H110" s="556"/>
      <c r="I110" s="556"/>
      <c r="N110" s="600" t="s">
        <v>499</v>
      </c>
      <c r="O110" s="601"/>
      <c r="P110" s="601"/>
      <c r="Q110" s="615"/>
      <c r="R110" s="615"/>
      <c r="S110" s="615"/>
      <c r="T110" s="615"/>
      <c r="U110" s="103"/>
    </row>
    <row r="111" spans="1:21" x14ac:dyDescent="0.25">
      <c r="B111" s="69"/>
      <c r="C111" s="88" t="s">
        <v>494</v>
      </c>
      <c r="D111" s="333" t="s">
        <v>495</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57" t="s">
        <v>381</v>
      </c>
      <c r="B113" s="558"/>
      <c r="C113" s="143">
        <v>8</v>
      </c>
      <c r="D113" s="143">
        <v>8</v>
      </c>
      <c r="E113" s="116">
        <f>(C113+D113)/2</f>
        <v>8</v>
      </c>
      <c r="F113" s="126" t="s">
        <v>30</v>
      </c>
      <c r="G113" s="304">
        <f>'1461'!G113</f>
        <v>576</v>
      </c>
      <c r="I113" s="101">
        <f>ROUND(G113*E113,2)</f>
        <v>4608</v>
      </c>
      <c r="N113" s="630" t="s">
        <v>52</v>
      </c>
      <c r="O113" s="630"/>
      <c r="P113" s="610">
        <f>IF(H133=1,E113,0)</f>
        <v>8</v>
      </c>
      <c r="Q113" s="610"/>
      <c r="R113" s="610"/>
      <c r="S113" s="83" t="s">
        <v>30</v>
      </c>
      <c r="T113" s="58">
        <f>G113</f>
        <v>576</v>
      </c>
      <c r="U113" s="473">
        <f>ROUND(T113*P113,2)</f>
        <v>4608</v>
      </c>
    </row>
    <row r="114" spans="1:21" x14ac:dyDescent="0.25">
      <c r="A114" s="557" t="s">
        <v>382</v>
      </c>
      <c r="B114" s="558"/>
      <c r="C114" s="143">
        <v>0</v>
      </c>
      <c r="D114" s="143">
        <v>0</v>
      </c>
      <c r="E114" s="116">
        <f>(C114+D114)/2</f>
        <v>0</v>
      </c>
      <c r="F114" s="126" t="s">
        <v>30</v>
      </c>
      <c r="G114" s="304">
        <f>'1461'!G114</f>
        <v>1823</v>
      </c>
      <c r="I114" s="101">
        <f>ROUND(G114*E114,2)</f>
        <v>0</v>
      </c>
      <c r="N114" s="630" t="s">
        <v>64</v>
      </c>
      <c r="O114" s="630"/>
      <c r="P114" s="608"/>
      <c r="Q114" s="608"/>
      <c r="R114" s="608"/>
      <c r="S114" s="83" t="s">
        <v>30</v>
      </c>
      <c r="T114" s="58">
        <f>G114</f>
        <v>1823</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4" t="s">
        <v>430</v>
      </c>
      <c r="B117" s="578"/>
      <c r="C117" s="578"/>
      <c r="D117" s="69"/>
      <c r="E117" s="39" t="s">
        <v>300</v>
      </c>
      <c r="F117" s="563"/>
      <c r="G117" s="563"/>
      <c r="H117" s="563"/>
      <c r="I117" s="563"/>
      <c r="N117" s="600" t="s">
        <v>431</v>
      </c>
      <c r="O117" s="601"/>
      <c r="P117" s="601"/>
      <c r="Q117" s="601"/>
      <c r="R117" s="601"/>
      <c r="S117" s="601"/>
      <c r="T117" s="601"/>
      <c r="U117" s="601"/>
    </row>
    <row r="118" spans="1:21" hidden="1" x14ac:dyDescent="0.25">
      <c r="B118" s="69"/>
      <c r="C118" s="564" t="s">
        <v>66</v>
      </c>
      <c r="D118" s="564"/>
      <c r="E118" s="564"/>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5" t="s">
        <v>109</v>
      </c>
      <c r="G119" s="563"/>
      <c r="H119" s="37" t="s">
        <v>29</v>
      </c>
      <c r="I119" s="37"/>
      <c r="N119" s="45"/>
      <c r="O119" s="45"/>
      <c r="P119" s="45"/>
      <c r="Q119" s="45"/>
      <c r="R119" s="45"/>
      <c r="S119" s="45"/>
      <c r="T119" s="45"/>
      <c r="U119" s="45"/>
    </row>
    <row r="120" spans="1:21" hidden="1" x14ac:dyDescent="0.25">
      <c r="A120" s="564" t="s">
        <v>69</v>
      </c>
      <c r="B120" s="564"/>
      <c r="C120" s="90" t="s">
        <v>2</v>
      </c>
      <c r="D120" s="90" t="s">
        <v>2</v>
      </c>
      <c r="E120" s="59" t="s">
        <v>2</v>
      </c>
      <c r="F120" s="564" t="s">
        <v>28</v>
      </c>
      <c r="G120" s="564"/>
      <c r="H120" s="59" t="s">
        <v>28</v>
      </c>
      <c r="I120" s="59" t="s">
        <v>8</v>
      </c>
      <c r="N120" s="609" t="s">
        <v>53</v>
      </c>
      <c r="O120" s="609"/>
      <c r="P120" s="610" t="s">
        <v>66</v>
      </c>
      <c r="Q120" s="610"/>
      <c r="R120" s="609" t="s">
        <v>54</v>
      </c>
      <c r="S120" s="609"/>
      <c r="T120" s="60" t="s">
        <v>55</v>
      </c>
      <c r="U120" s="60" t="s">
        <v>8</v>
      </c>
    </row>
    <row r="121" spans="1:21" hidden="1" x14ac:dyDescent="0.25">
      <c r="A121" s="561" t="s">
        <v>56</v>
      </c>
      <c r="B121" s="561"/>
      <c r="C121" s="141">
        <v>0</v>
      </c>
      <c r="D121" s="141">
        <v>0</v>
      </c>
      <c r="E121" s="187">
        <f>IF(D30=0,C121*2,C121+D121)</f>
        <v>0</v>
      </c>
      <c r="F121" s="562">
        <v>0</v>
      </c>
      <c r="G121" s="562"/>
      <c r="H121" s="224">
        <f>IF(C121=0,0,125)</f>
        <v>0</v>
      </c>
      <c r="I121" s="101">
        <f>ROUND((H121+F121)*E121,2)</f>
        <v>0</v>
      </c>
      <c r="N121" s="601" t="s">
        <v>56</v>
      </c>
      <c r="O121" s="601"/>
      <c r="P121" s="608">
        <f>IF(H$133=1,C121,0)</f>
        <v>0</v>
      </c>
      <c r="Q121" s="608"/>
      <c r="R121" s="628">
        <f>F121</f>
        <v>0</v>
      </c>
      <c r="S121" s="628"/>
      <c r="T121" s="62">
        <f>H121</f>
        <v>0</v>
      </c>
      <c r="U121" s="96">
        <f>ROUND((T121+R121)*P121,0)</f>
        <v>0</v>
      </c>
    </row>
    <row r="122" spans="1:21" hidden="1" x14ac:dyDescent="0.25">
      <c r="A122" s="581" t="s">
        <v>57</v>
      </c>
      <c r="B122" s="581"/>
      <c r="C122" s="143">
        <v>0</v>
      </c>
      <c r="D122" s="143">
        <v>0</v>
      </c>
      <c r="E122" s="116">
        <f>IF(D31=0,C122*2,C122+D122)</f>
        <v>0</v>
      </c>
      <c r="F122" s="598">
        <f>ROUND(F121/2,2)</f>
        <v>0</v>
      </c>
      <c r="G122" s="598"/>
      <c r="H122" s="224">
        <f>IF(C122=0,0,62.5)</f>
        <v>0</v>
      </c>
      <c r="I122" s="101">
        <f>ROUND((H122+F122)*E122,2)</f>
        <v>0</v>
      </c>
      <c r="N122" s="601" t="s">
        <v>57</v>
      </c>
      <c r="O122" s="601"/>
      <c r="P122" s="608">
        <f>IF(H$133=1,C122,0)</f>
        <v>0</v>
      </c>
      <c r="Q122" s="608"/>
      <c r="R122" s="629">
        <f>ROUND(R121/2,2)</f>
        <v>0</v>
      </c>
      <c r="S122" s="629"/>
      <c r="T122" s="62">
        <f>H122</f>
        <v>0</v>
      </c>
      <c r="U122" s="96">
        <f>ROUND((T122+R122)*P122,0)</f>
        <v>0</v>
      </c>
    </row>
    <row r="123" spans="1:21" ht="16.5" hidden="1" thickBot="1" x14ac:dyDescent="0.3">
      <c r="A123" s="581" t="s">
        <v>58</v>
      </c>
      <c r="B123" s="581"/>
      <c r="C123" s="143">
        <v>0</v>
      </c>
      <c r="D123" s="143">
        <v>0</v>
      </c>
      <c r="E123" s="116">
        <f>IF(D32=0,C123*2,C123+D123)</f>
        <v>0</v>
      </c>
      <c r="F123" s="599"/>
      <c r="G123" s="599"/>
      <c r="H123" s="225">
        <f>IF(H121&gt;0,436,0)</f>
        <v>0</v>
      </c>
      <c r="I123" s="101">
        <f>ROUND(H123*E123,2)</f>
        <v>0</v>
      </c>
      <c r="N123" s="616" t="s">
        <v>58</v>
      </c>
      <c r="O123" s="616"/>
      <c r="P123" s="608">
        <f>IF(H$133=1,C123,0)</f>
        <v>0</v>
      </c>
      <c r="Q123" s="608"/>
      <c r="R123" s="609"/>
      <c r="S123" s="609"/>
      <c r="T123" s="64">
        <f>H123</f>
        <v>0</v>
      </c>
      <c r="U123" s="103">
        <f>ROUND(T123*P123,0)</f>
        <v>0</v>
      </c>
    </row>
    <row r="124" spans="1:21" ht="16.5" hidden="1" thickBot="1" x14ac:dyDescent="0.3">
      <c r="A124" s="563" t="s">
        <v>8</v>
      </c>
      <c r="B124" s="563"/>
      <c r="C124" s="65"/>
      <c r="D124" s="65"/>
      <c r="E124" s="65"/>
      <c r="F124" s="65"/>
      <c r="G124" s="65"/>
      <c r="H124" s="65"/>
      <c r="I124" s="97">
        <f>SUM(I121:I123)</f>
        <v>0</v>
      </c>
      <c r="N124" s="627" t="s">
        <v>8</v>
      </c>
      <c r="O124" s="627"/>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4" t="s">
        <v>432</v>
      </c>
      <c r="B126" s="578"/>
      <c r="C126" s="578"/>
      <c r="D126" s="69"/>
      <c r="E126" s="68" t="s">
        <v>34</v>
      </c>
      <c r="F126" s="597"/>
      <c r="G126" s="597"/>
      <c r="H126" s="597"/>
      <c r="I126" s="154">
        <v>0</v>
      </c>
      <c r="N126" s="600" t="s">
        <v>432</v>
      </c>
      <c r="O126" s="601"/>
      <c r="P126" s="601"/>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90" t="s">
        <v>8</v>
      </c>
      <c r="B128" s="590"/>
      <c r="C128" s="590"/>
      <c r="D128" s="590"/>
      <c r="E128" s="590"/>
      <c r="F128" s="590"/>
      <c r="G128" s="590"/>
      <c r="H128" s="590"/>
      <c r="I128" s="94">
        <f>SUM(I46,I66,I85,I88,I90,I92,I94,I96,I107,I113,I114,I124,I126)</f>
        <v>958406.62000000011</v>
      </c>
      <c r="N128" s="453"/>
      <c r="O128" s="452"/>
      <c r="P128" s="452"/>
      <c r="Q128" s="306"/>
      <c r="R128" s="306"/>
      <c r="S128" s="306"/>
      <c r="T128" s="306"/>
      <c r="U128" s="480">
        <f>SUM(U30,U85,U88,U90,U92,U94,U96,U107,U113,U114,U124,U126)</f>
        <v>195239.13</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434</v>
      </c>
      <c r="B130" s="26"/>
      <c r="C130" s="26"/>
      <c r="D130" s="26"/>
      <c r="E130" s="26"/>
      <c r="F130" s="26"/>
      <c r="G130" s="26"/>
      <c r="H130" s="26"/>
      <c r="I130" s="101">
        <f>I128-I53</f>
        <v>917602.08000000007</v>
      </c>
      <c r="N130" s="600" t="s">
        <v>434</v>
      </c>
      <c r="O130" s="601"/>
      <c r="P130" s="601"/>
      <c r="Q130" s="601"/>
      <c r="R130" s="601"/>
      <c r="S130" s="601"/>
      <c r="T130" s="601"/>
      <c r="U130" s="132">
        <f>U128-U53</f>
        <v>187342.52000000002</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4" t="s">
        <v>502</v>
      </c>
      <c r="B132" s="578"/>
      <c r="C132" s="578"/>
      <c r="D132" s="578"/>
      <c r="E132" s="578"/>
      <c r="F132" s="578"/>
      <c r="G132" s="578"/>
      <c r="H132" s="81" t="s">
        <v>333</v>
      </c>
      <c r="I132" s="134"/>
      <c r="N132" s="600" t="s">
        <v>504</v>
      </c>
      <c r="O132" s="601"/>
      <c r="P132" s="601"/>
      <c r="Q132" s="601"/>
      <c r="R132" s="601"/>
      <c r="S132" s="601"/>
      <c r="T132" s="601"/>
      <c r="U132" s="138"/>
    </row>
    <row r="133" spans="1:21" x14ac:dyDescent="0.25">
      <c r="A133" s="578" t="s">
        <v>70</v>
      </c>
      <c r="B133" s="578"/>
      <c r="C133" s="578"/>
      <c r="D133" s="578"/>
      <c r="E133" s="578"/>
      <c r="F133" s="578"/>
      <c r="G133" s="578"/>
      <c r="H133" s="70">
        <f>IF(E30=0,"",IF((E15+E17+SUM(E19:E25))/E30&gt;0.75,1,""))</f>
        <v>1</v>
      </c>
      <c r="I133" s="116">
        <f>U130</f>
        <v>187342.52000000002</v>
      </c>
      <c r="N133" s="601" t="s">
        <v>70</v>
      </c>
      <c r="O133" s="601"/>
      <c r="P133" s="601"/>
      <c r="Q133" s="601"/>
      <c r="R133" s="601"/>
      <c r="S133" s="601"/>
      <c r="T133" s="601"/>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187342.52000000002</v>
      </c>
      <c r="I135" s="94">
        <f>ROUND(IF(E30=0,0,IF(E30&gt;250,-(((250/E30)*H135)*IF(G135="H",0.02,0.05)),IF(G135="H",-0.02*H135,-0.05*H135))),2)</f>
        <v>-9367.1299999999992</v>
      </c>
      <c r="N135" s="626"/>
      <c r="O135" s="626"/>
      <c r="P135" s="626"/>
      <c r="Q135" s="626"/>
      <c r="R135" s="626"/>
      <c r="S135" s="626"/>
      <c r="T135" s="626"/>
      <c r="U135" s="626"/>
    </row>
    <row r="136" spans="1:21" x14ac:dyDescent="0.25">
      <c r="B136" s="69"/>
      <c r="C136" s="69"/>
      <c r="D136" s="69"/>
      <c r="E136" s="69"/>
      <c r="F136" s="69"/>
      <c r="G136" s="69"/>
      <c r="H136" s="65"/>
      <c r="I136" s="101"/>
      <c r="N136" s="624" t="s">
        <v>7</v>
      </c>
      <c r="O136" s="624"/>
      <c r="P136" s="624"/>
      <c r="Q136" s="624"/>
      <c r="R136" s="624"/>
      <c r="S136" s="624"/>
      <c r="T136" s="624"/>
      <c r="U136" s="624"/>
    </row>
    <row r="137" spans="1:21" x14ac:dyDescent="0.25">
      <c r="A137" s="309" t="s">
        <v>74</v>
      </c>
      <c r="B137" s="310"/>
      <c r="C137" s="310"/>
      <c r="D137" s="310"/>
      <c r="E137" s="310"/>
      <c r="F137" s="310"/>
      <c r="G137" s="310"/>
      <c r="H137" s="311"/>
      <c r="I137" s="312">
        <f>I128+I135</f>
        <v>949039.49000000011</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Payments'!Q71</f>
        <v>0</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949039.49000000011</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79086.62</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45" t="str">
        <f>'1461'!A152</f>
        <v>(a) Additional FTE includes FTE earned through Advanced Placement, International Baccalaureate, Advanced International Certificate of Education, Industry Certified Career</v>
      </c>
      <c r="B152" s="346"/>
      <c r="C152" s="346"/>
      <c r="D152" s="346"/>
      <c r="E152" s="346"/>
      <c r="F152" s="346"/>
      <c r="G152" s="346"/>
      <c r="H152" s="346"/>
      <c r="I152" s="346"/>
      <c r="J152" s="77"/>
      <c r="K152" s="76"/>
      <c r="L152" s="76"/>
      <c r="M152" s="76"/>
      <c r="N152" s="73"/>
      <c r="O152" s="73"/>
      <c r="P152" s="73"/>
      <c r="Q152" s="73"/>
      <c r="R152" s="73"/>
      <c r="S152" s="73"/>
      <c r="T152" s="73"/>
      <c r="U152" s="73"/>
    </row>
    <row r="153" spans="1:21" ht="15.75" customHeight="1" x14ac:dyDescent="0.25">
      <c r="A153" s="351" t="s">
        <v>372</v>
      </c>
      <c r="B153" s="346"/>
      <c r="C153" s="346"/>
      <c r="D153" s="346"/>
      <c r="E153" s="346"/>
      <c r="F153" s="346"/>
      <c r="G153" s="346"/>
      <c r="H153" s="346"/>
      <c r="I153" s="346"/>
      <c r="J153" s="77"/>
      <c r="K153" s="76"/>
      <c r="L153" s="76"/>
      <c r="M153" s="76"/>
      <c r="N153" s="73"/>
      <c r="O153" s="73"/>
      <c r="P153" s="73"/>
      <c r="Q153" s="73"/>
      <c r="R153" s="73"/>
      <c r="S153" s="73"/>
      <c r="T153" s="73"/>
      <c r="U153" s="73"/>
    </row>
    <row r="154" spans="1:21" x14ac:dyDescent="0.25">
      <c r="A154" s="345" t="s">
        <v>373</v>
      </c>
      <c r="B154" s="347"/>
      <c r="C154" s="347"/>
      <c r="D154" s="347"/>
      <c r="E154" s="347"/>
      <c r="F154" s="347"/>
      <c r="G154" s="347"/>
      <c r="H154" s="347"/>
      <c r="I154" s="347"/>
      <c r="J154" s="76"/>
      <c r="K154" s="76"/>
      <c r="L154" s="76"/>
      <c r="M154" s="76"/>
      <c r="N154" s="73"/>
      <c r="O154" s="73"/>
      <c r="P154" s="73"/>
      <c r="Q154" s="73"/>
      <c r="R154" s="73"/>
      <c r="S154" s="73"/>
      <c r="T154" s="73"/>
      <c r="U154" s="73"/>
    </row>
    <row r="155" spans="1:21" s="76" customFormat="1" x14ac:dyDescent="0.2">
      <c r="A155" s="345" t="s">
        <v>374</v>
      </c>
      <c r="B155" s="347"/>
      <c r="C155" s="347"/>
      <c r="D155" s="347"/>
      <c r="E155" s="347"/>
      <c r="F155" s="347"/>
      <c r="G155" s="347"/>
      <c r="H155" s="347"/>
      <c r="I155" s="347"/>
      <c r="N155" s="625"/>
      <c r="O155" s="625"/>
      <c r="P155" s="625"/>
      <c r="Q155" s="625"/>
      <c r="R155" s="625"/>
      <c r="S155" s="625"/>
      <c r="T155" s="625"/>
      <c r="U155" s="625"/>
    </row>
    <row r="156" spans="1:21" s="76" customFormat="1" x14ac:dyDescent="0.2">
      <c r="A156" s="345" t="s">
        <v>375</v>
      </c>
      <c r="B156" s="347"/>
      <c r="C156" s="347"/>
      <c r="D156" s="347"/>
      <c r="E156" s="347"/>
      <c r="F156" s="347"/>
      <c r="G156" s="347"/>
      <c r="H156" s="347"/>
      <c r="I156" s="347"/>
      <c r="N156" s="73"/>
      <c r="O156" s="73"/>
      <c r="P156" s="73"/>
      <c r="Q156" s="73"/>
      <c r="R156" s="73"/>
      <c r="S156" s="73"/>
      <c r="T156" s="73"/>
      <c r="U156" s="73"/>
    </row>
    <row r="157" spans="1:21" s="76" customFormat="1" x14ac:dyDescent="0.2">
      <c r="A157" s="345" t="s">
        <v>376</v>
      </c>
      <c r="B157" s="347"/>
      <c r="C157" s="347"/>
      <c r="D157" s="347"/>
      <c r="E157" s="347"/>
      <c r="F157" s="347"/>
      <c r="G157" s="347"/>
      <c r="H157" s="347"/>
      <c r="I157" s="347"/>
      <c r="N157" s="78"/>
      <c r="O157" s="79"/>
      <c r="P157" s="79"/>
      <c r="Q157" s="79"/>
      <c r="R157" s="79"/>
      <c r="S157" s="79"/>
      <c r="T157" s="79"/>
      <c r="U157" s="79"/>
    </row>
    <row r="158" spans="1:21" s="76" customFormat="1" x14ac:dyDescent="0.2">
      <c r="A158" s="345" t="s">
        <v>377</v>
      </c>
      <c r="B158" s="347"/>
      <c r="C158" s="347"/>
      <c r="D158" s="347"/>
      <c r="E158" s="347"/>
      <c r="F158" s="347"/>
      <c r="G158" s="347"/>
      <c r="H158" s="347"/>
      <c r="I158" s="347"/>
      <c r="N158" s="78"/>
    </row>
    <row r="159" spans="1:21" s="76" customFormat="1" x14ac:dyDescent="0.2">
      <c r="A159" s="345" t="s">
        <v>379</v>
      </c>
      <c r="B159" s="347"/>
      <c r="C159" s="347"/>
      <c r="D159" s="347"/>
      <c r="E159" s="347"/>
      <c r="F159" s="347"/>
      <c r="G159" s="347"/>
      <c r="H159" s="347"/>
      <c r="I159" s="347"/>
      <c r="N159" s="78"/>
    </row>
    <row r="160" spans="1:21" s="76" customFormat="1" x14ac:dyDescent="0.2">
      <c r="A160" s="351" t="s">
        <v>378</v>
      </c>
      <c r="B160" s="347"/>
      <c r="C160" s="347"/>
      <c r="D160" s="347"/>
      <c r="E160" s="347"/>
      <c r="F160" s="347"/>
      <c r="G160" s="347"/>
      <c r="H160" s="347"/>
      <c r="I160" s="347"/>
      <c r="N160" s="78"/>
    </row>
    <row r="161" spans="1:14" s="76" customFormat="1" x14ac:dyDescent="0.2">
      <c r="A161" s="345" t="s">
        <v>380</v>
      </c>
      <c r="B161" s="347"/>
      <c r="C161" s="347"/>
      <c r="D161" s="347"/>
      <c r="E161" s="347"/>
      <c r="F161" s="347"/>
      <c r="G161" s="347"/>
      <c r="H161" s="347"/>
      <c r="I161" s="347"/>
      <c r="N161" s="78"/>
    </row>
    <row r="162" spans="1:14" s="76" customFormat="1" x14ac:dyDescent="0.2">
      <c r="A162" s="351" t="str">
        <f>'1461'!A162</f>
        <v>"All Adjusted ESE Riders" should include only ESE Riders.</v>
      </c>
      <c r="B162" s="347"/>
      <c r="C162" s="347"/>
      <c r="D162" s="347"/>
      <c r="E162" s="347"/>
      <c r="F162" s="347"/>
      <c r="G162" s="347"/>
      <c r="H162" s="347"/>
      <c r="I162" s="347"/>
      <c r="N162" s="78"/>
    </row>
    <row r="163" spans="1:14" s="76" customFormat="1" x14ac:dyDescent="0.2">
      <c r="A163" s="345" t="s">
        <v>383</v>
      </c>
      <c r="B163" s="347"/>
      <c r="C163" s="347"/>
      <c r="D163" s="347"/>
      <c r="E163" s="347"/>
      <c r="F163" s="347"/>
      <c r="G163" s="347"/>
      <c r="H163" s="347"/>
      <c r="I163" s="347"/>
      <c r="N163" s="78"/>
    </row>
    <row r="164" spans="1:14" s="76" customFormat="1" ht="15.75" customHeight="1" x14ac:dyDescent="0.2">
      <c r="A164" s="345" t="str">
        <f>'1461'!A164</f>
        <v xml:space="preserve">(j) Funding based on student eligibility and meals provided, if participating in the National School Lunch Program. </v>
      </c>
      <c r="B164" s="347"/>
      <c r="C164" s="347"/>
      <c r="D164" s="347"/>
      <c r="E164" s="347"/>
      <c r="F164" s="347"/>
      <c r="G164" s="347"/>
      <c r="H164" s="347"/>
      <c r="I164" s="347"/>
      <c r="N164" s="78"/>
    </row>
    <row r="165" spans="1:14" s="76" customFormat="1" ht="15.75" customHeight="1" x14ac:dyDescent="0.2">
      <c r="A165" s="345" t="s">
        <v>385</v>
      </c>
      <c r="B165" s="347"/>
      <c r="C165" s="347"/>
      <c r="D165" s="347"/>
      <c r="E165" s="347"/>
      <c r="F165" s="347"/>
      <c r="G165" s="347"/>
      <c r="H165" s="347"/>
      <c r="I165" s="347"/>
      <c r="N165" s="78"/>
    </row>
    <row r="166" spans="1:14" s="76" customFormat="1" ht="15.75" customHeight="1" x14ac:dyDescent="0.2">
      <c r="A166" s="351" t="s">
        <v>384</v>
      </c>
      <c r="B166" s="347"/>
      <c r="C166" s="347"/>
      <c r="D166" s="347"/>
      <c r="E166" s="347"/>
      <c r="F166" s="347"/>
      <c r="G166" s="347"/>
      <c r="H166" s="347"/>
      <c r="I166" s="347"/>
      <c r="N166" s="78"/>
    </row>
    <row r="167" spans="1:14" s="76" customFormat="1" ht="15.75" customHeight="1" x14ac:dyDescent="0.2">
      <c r="A167" s="345" t="s">
        <v>386</v>
      </c>
      <c r="B167" s="347"/>
      <c r="C167" s="347"/>
      <c r="D167" s="347"/>
      <c r="E167" s="347"/>
      <c r="F167" s="347"/>
      <c r="G167" s="347"/>
      <c r="H167" s="347"/>
      <c r="I167" s="347"/>
      <c r="N167" s="78"/>
    </row>
    <row r="168" spans="1:14" s="76" customFormat="1" ht="15.75" customHeight="1" x14ac:dyDescent="0.2">
      <c r="A168" s="351" t="str">
        <f>'1461'!A168</f>
        <v xml:space="preserve">unweighted full-time equivalent students. </v>
      </c>
      <c r="B168" s="347"/>
      <c r="C168" s="347"/>
      <c r="D168" s="347"/>
      <c r="E168" s="347"/>
      <c r="F168" s="347"/>
      <c r="G168" s="347"/>
      <c r="H168" s="347"/>
      <c r="I168" s="347"/>
      <c r="N168" s="78"/>
    </row>
    <row r="169" spans="1:14" s="76" customFormat="1" ht="15.75" customHeight="1" x14ac:dyDescent="0.2">
      <c r="A169" s="345" t="s">
        <v>388</v>
      </c>
      <c r="B169" s="347"/>
      <c r="C169" s="347"/>
      <c r="D169" s="347"/>
      <c r="E169" s="347"/>
      <c r="F169" s="347"/>
      <c r="G169" s="347"/>
      <c r="H169" s="347"/>
      <c r="I169" s="347"/>
      <c r="N169" s="78"/>
    </row>
    <row r="170" spans="1:14" s="76" customFormat="1" ht="15.75" customHeight="1" x14ac:dyDescent="0.2">
      <c r="A170" s="351" t="s">
        <v>387</v>
      </c>
      <c r="B170" s="347"/>
      <c r="C170" s="347"/>
      <c r="D170" s="347"/>
      <c r="E170" s="347"/>
      <c r="F170" s="347"/>
      <c r="G170" s="347"/>
      <c r="H170" s="347"/>
      <c r="I170" s="347"/>
      <c r="N170" s="78"/>
    </row>
    <row r="171" spans="1:14" s="76" customFormat="1" ht="15.75" customHeight="1" x14ac:dyDescent="0.2">
      <c r="A171" s="345"/>
      <c r="B171" s="347"/>
      <c r="C171" s="347"/>
      <c r="D171" s="347"/>
      <c r="E171" s="347"/>
      <c r="F171" s="347"/>
      <c r="G171" s="347"/>
      <c r="H171" s="347"/>
      <c r="I171" s="347"/>
      <c r="N171" s="78"/>
    </row>
    <row r="172" spans="1:14" s="76" customFormat="1" ht="15.75" customHeight="1" x14ac:dyDescent="0.25">
      <c r="A172" s="358" t="str">
        <f>'1461'!A172</f>
        <v>Administrative fees:</v>
      </c>
      <c r="B172" s="347"/>
      <c r="C172" s="347"/>
      <c r="D172" s="347"/>
      <c r="E172" s="347"/>
      <c r="F172" s="347"/>
      <c r="G172" s="347"/>
      <c r="H172" s="347"/>
      <c r="I172" s="347"/>
      <c r="J172" s="3"/>
      <c r="K172" s="3"/>
      <c r="L172" s="3"/>
      <c r="M172" s="3"/>
      <c r="N172" s="78"/>
    </row>
    <row r="173" spans="1:14" s="76" customFormat="1" ht="15.75" customHeight="1" x14ac:dyDescent="0.25">
      <c r="A173" s="362" t="str">
        <f>'1461'!A173</f>
        <v xml:space="preserve">Administrative fees charged by the school district pursuant to s. 1002.33(20)(a), F.S., shall be calculated based upon 5% of available funds from the FEFP and categorical </v>
      </c>
      <c r="B173" s="350"/>
      <c r="C173" s="350"/>
      <c r="D173" s="350"/>
      <c r="E173" s="350"/>
      <c r="F173" s="350"/>
      <c r="G173" s="350"/>
      <c r="H173" s="350"/>
      <c r="I173" s="350"/>
      <c r="J173" s="3"/>
      <c r="K173" s="3"/>
      <c r="L173" s="3"/>
      <c r="M173" s="3"/>
      <c r="N173" s="78"/>
    </row>
    <row r="174" spans="1:14" s="76" customFormat="1" ht="15.75" customHeight="1" x14ac:dyDescent="0.25">
      <c r="A174" s="363" t="str">
        <f>'1461'!A174</f>
        <v>funding for which charter students may be eligible.  To calculate the administrative fee to be withheld for schools with more than 250 students, divide the school</v>
      </c>
      <c r="B174" s="357"/>
      <c r="C174" s="357"/>
      <c r="D174" s="357"/>
      <c r="E174" s="357"/>
      <c r="F174" s="357"/>
      <c r="G174" s="357"/>
      <c r="H174" s="357"/>
      <c r="I174" s="357"/>
      <c r="J174" s="3"/>
      <c r="K174" s="3"/>
      <c r="L174" s="3"/>
      <c r="M174" s="3"/>
      <c r="N174" s="78"/>
    </row>
    <row r="175" spans="1:14" s="76" customFormat="1" ht="15.75" customHeight="1" x14ac:dyDescent="0.25">
      <c r="A175" s="363" t="s">
        <v>389</v>
      </c>
      <c r="B175" s="357"/>
      <c r="C175" s="357"/>
      <c r="D175" s="357"/>
      <c r="E175" s="357"/>
      <c r="F175" s="357"/>
      <c r="G175" s="357"/>
      <c r="H175" s="357"/>
      <c r="I175" s="357"/>
      <c r="J175" s="3"/>
      <c r="K175" s="3"/>
      <c r="L175" s="3"/>
      <c r="M175" s="3"/>
      <c r="N175" s="78"/>
    </row>
    <row r="176" spans="1:14" s="76" customFormat="1" ht="15.75" customHeight="1" x14ac:dyDescent="0.2">
      <c r="A176" s="363" t="s">
        <v>390</v>
      </c>
      <c r="B176" s="357"/>
      <c r="C176" s="357"/>
      <c r="D176" s="357"/>
      <c r="E176" s="357"/>
      <c r="F176" s="357"/>
      <c r="G176" s="357"/>
      <c r="H176" s="357"/>
      <c r="I176" s="357"/>
      <c r="N176" s="78"/>
    </row>
    <row r="177" spans="1:21" s="76" customFormat="1" ht="15.75" customHeight="1" x14ac:dyDescent="0.2">
      <c r="A177" s="362"/>
      <c r="B177" s="357"/>
      <c r="C177" s="357"/>
      <c r="D177" s="357"/>
      <c r="E177" s="357"/>
      <c r="F177" s="357"/>
      <c r="G177" s="357"/>
      <c r="H177" s="357"/>
      <c r="I177" s="357"/>
      <c r="N177" s="78"/>
    </row>
    <row r="178" spans="1:21" ht="15.75" customHeight="1" x14ac:dyDescent="0.25">
      <c r="A178" s="362" t="str">
        <f>'1461'!A178</f>
        <v xml:space="preserve">For high performing charter schools, administrative fees charged by the school district shall be calculated based upon 2% of available funds from the FEFP and categorical </v>
      </c>
      <c r="B178" s="350"/>
      <c r="C178" s="350"/>
      <c r="D178" s="350"/>
      <c r="E178" s="350"/>
      <c r="F178" s="350"/>
      <c r="G178" s="350"/>
      <c r="H178" s="350"/>
      <c r="I178" s="350"/>
      <c r="J178" s="76"/>
      <c r="K178" s="76"/>
      <c r="L178" s="76"/>
      <c r="M178" s="76"/>
      <c r="N178" s="78"/>
      <c r="O178" s="76"/>
      <c r="P178" s="76"/>
      <c r="Q178" s="76"/>
      <c r="R178" s="76"/>
      <c r="S178" s="76"/>
      <c r="T178" s="76"/>
      <c r="U178" s="76"/>
    </row>
    <row r="179" spans="1:21" ht="15.75" customHeight="1" x14ac:dyDescent="0.25">
      <c r="A179" s="363" t="str">
        <f>'1461'!A179</f>
        <v>funding for which charter students may be eligible.  To calculate the administrative fee to be withheld for schools with more than 250 students, divide the school</v>
      </c>
      <c r="B179" s="350"/>
      <c r="C179" s="350"/>
      <c r="D179" s="350"/>
      <c r="E179" s="350"/>
      <c r="F179" s="350"/>
      <c r="G179" s="350"/>
      <c r="H179" s="350"/>
      <c r="I179" s="350"/>
      <c r="J179" s="76"/>
      <c r="K179" s="76"/>
      <c r="L179" s="76"/>
      <c r="M179" s="76"/>
      <c r="N179" s="74"/>
    </row>
    <row r="180" spans="1:21" s="76" customFormat="1" ht="15.75" customHeight="1" x14ac:dyDescent="0.25">
      <c r="A180" s="363" t="str">
        <f>'1461'!A180</f>
        <v xml:space="preserve">population into 250. Multiply that fraction times the funds available, then times 2%.  </v>
      </c>
      <c r="B180" s="350"/>
      <c r="C180" s="350"/>
      <c r="D180" s="350"/>
      <c r="E180" s="350"/>
      <c r="F180" s="350"/>
      <c r="G180" s="350"/>
      <c r="H180" s="350"/>
      <c r="I180" s="350"/>
      <c r="N180" s="74"/>
      <c r="O180" s="3"/>
      <c r="P180" s="3"/>
      <c r="Q180" s="3"/>
      <c r="R180" s="3"/>
      <c r="S180" s="3"/>
      <c r="T180" s="3"/>
      <c r="U180" s="3"/>
    </row>
    <row r="181" spans="1:21" x14ac:dyDescent="0.25">
      <c r="A181" s="345"/>
      <c r="B181" s="350"/>
      <c r="C181" s="350"/>
      <c r="D181" s="350"/>
      <c r="E181" s="350"/>
      <c r="F181" s="350"/>
      <c r="G181" s="350"/>
      <c r="H181" s="350"/>
      <c r="I181" s="350"/>
      <c r="N181" s="78"/>
      <c r="O181" s="76"/>
      <c r="P181" s="76"/>
      <c r="Q181" s="76"/>
      <c r="R181" s="76"/>
      <c r="S181" s="76"/>
      <c r="T181" s="76"/>
      <c r="U181" s="76"/>
    </row>
    <row r="182" spans="1:21" x14ac:dyDescent="0.25">
      <c r="A182" s="358" t="str">
        <f>'1461'!A182</f>
        <v>Other:</v>
      </c>
      <c r="B182" s="356"/>
      <c r="C182" s="356"/>
      <c r="D182" s="356"/>
      <c r="E182" s="356"/>
      <c r="F182" s="356"/>
      <c r="G182" s="356"/>
      <c r="H182" s="356"/>
      <c r="I182" s="356"/>
      <c r="N182" s="78"/>
      <c r="O182" s="76"/>
      <c r="P182" s="76"/>
      <c r="Q182" s="76"/>
      <c r="R182" s="76"/>
      <c r="S182" s="76"/>
      <c r="T182" s="76"/>
      <c r="U182" s="76"/>
    </row>
    <row r="183" spans="1:21" x14ac:dyDescent="0.25">
      <c r="A183" s="362" t="str">
        <f>'1461'!A183</f>
        <v>FEFP and categorical funding are recalculated during the year to reflect the revised number of full-time equivalent students reported during the survey periods designated</v>
      </c>
      <c r="B183" s="350"/>
      <c r="C183" s="350"/>
      <c r="D183" s="350"/>
      <c r="E183" s="350"/>
      <c r="F183" s="350"/>
      <c r="G183" s="350"/>
      <c r="H183" s="350"/>
      <c r="I183" s="350"/>
      <c r="N183" s="78"/>
      <c r="O183" s="76"/>
      <c r="P183" s="76"/>
      <c r="Q183" s="76"/>
      <c r="R183" s="76"/>
      <c r="S183" s="76"/>
      <c r="T183" s="76"/>
      <c r="U183" s="76"/>
    </row>
    <row r="184" spans="1:21" x14ac:dyDescent="0.25">
      <c r="A184" s="363" t="str">
        <f>'1461'!A184</f>
        <v>by the Commissioner of Education.</v>
      </c>
      <c r="B184" s="357"/>
      <c r="C184" s="357"/>
      <c r="D184" s="357"/>
      <c r="E184" s="357"/>
      <c r="F184" s="357"/>
      <c r="G184" s="357"/>
      <c r="H184" s="357"/>
      <c r="I184" s="357"/>
      <c r="N184" s="74"/>
    </row>
    <row r="185" spans="1:21" x14ac:dyDescent="0.25">
      <c r="A185" s="362" t="str">
        <f>'1461'!A185</f>
        <v>Revenues flow to districts from state sources and from county tax collectors on various distribution schedules.</v>
      </c>
      <c r="B185" s="350"/>
      <c r="C185" s="350"/>
      <c r="D185" s="350"/>
      <c r="E185" s="350"/>
      <c r="F185" s="350"/>
      <c r="G185" s="350"/>
      <c r="H185" s="350"/>
      <c r="I185" s="350"/>
      <c r="N185" s="74"/>
    </row>
    <row r="186" spans="1:21" x14ac:dyDescent="0.25">
      <c r="A186" s="293"/>
      <c r="B186" s="293"/>
      <c r="C186" s="293"/>
      <c r="D186" s="293"/>
      <c r="E186" s="293"/>
      <c r="F186" s="293"/>
      <c r="G186" s="293"/>
      <c r="H186" s="293"/>
      <c r="I186" s="293"/>
      <c r="N186" s="74"/>
    </row>
    <row r="187" spans="1:21" x14ac:dyDescent="0.25">
      <c r="A187" s="74"/>
      <c r="N187" s="74"/>
    </row>
    <row r="188" spans="1:21" x14ac:dyDescent="0.25">
      <c r="A188" s="74"/>
      <c r="N188" s="74"/>
    </row>
    <row r="189" spans="1:21" x14ac:dyDescent="0.25">
      <c r="A189" s="74"/>
      <c r="N189" s="74"/>
    </row>
    <row r="190" spans="1:21" x14ac:dyDescent="0.25">
      <c r="A190" s="74"/>
      <c r="B190" s="135"/>
      <c r="C190" s="135"/>
      <c r="D190" s="135"/>
      <c r="E190" s="135"/>
      <c r="F190" s="135"/>
      <c r="G190" s="135"/>
      <c r="H190" s="135"/>
      <c r="I190" s="135"/>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5" right="0.1" top="0.5" bottom="0.5" header="0" footer="0.1"/>
  <pageSetup scale="32"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6" t="s">
        <v>15</v>
      </c>
      <c r="C1" s="567"/>
      <c r="D1" s="567"/>
      <c r="E1" s="567"/>
      <c r="F1" s="567"/>
      <c r="G1" s="567"/>
      <c r="H1" s="567"/>
      <c r="I1" s="567"/>
      <c r="J1" s="135"/>
      <c r="K1" s="135"/>
      <c r="L1" s="135"/>
      <c r="N1" s="82">
        <f>A1</f>
        <v>0</v>
      </c>
      <c r="O1" s="658" t="s">
        <v>15</v>
      </c>
      <c r="P1" s="659"/>
      <c r="Q1" s="659"/>
      <c r="R1" s="659"/>
      <c r="S1" s="659"/>
      <c r="T1" s="659"/>
      <c r="U1" s="659"/>
    </row>
    <row r="2" spans="1:21" ht="21" x14ac:dyDescent="0.35">
      <c r="A2" s="1" t="s">
        <v>257</v>
      </c>
      <c r="B2" s="2"/>
      <c r="C2" s="2"/>
      <c r="D2" s="2"/>
      <c r="E2" s="2"/>
      <c r="F2" s="2"/>
      <c r="G2" s="2"/>
      <c r="H2" s="2"/>
      <c r="I2" s="2"/>
      <c r="N2" s="660" t="s">
        <v>18</v>
      </c>
      <c r="O2" s="660"/>
      <c r="P2" s="660"/>
      <c r="Q2" s="660"/>
      <c r="R2" s="660"/>
      <c r="S2" s="660"/>
      <c r="T2" s="660"/>
      <c r="U2" s="660"/>
    </row>
    <row r="3" spans="1:21" x14ac:dyDescent="0.25">
      <c r="A3" s="81" t="str">
        <f>'1461'!A3</f>
        <v>Based on the FLDOE 2024-25 Conference Calculation</v>
      </c>
      <c r="N3" s="627" t="str">
        <f>A3</f>
        <v>Based on the FLDOE 2024-25 Conference Calculation</v>
      </c>
      <c r="O3" s="627"/>
      <c r="P3" s="627"/>
      <c r="Q3" s="627"/>
      <c r="R3" s="627"/>
      <c r="S3" s="627"/>
      <c r="T3" s="627"/>
      <c r="U3" s="627"/>
    </row>
    <row r="4" spans="1:21" x14ac:dyDescent="0.25">
      <c r="A4" s="568" t="s">
        <v>0</v>
      </c>
      <c r="B4" s="568"/>
      <c r="C4" s="569" t="s">
        <v>9</v>
      </c>
      <c r="D4" s="569"/>
      <c r="E4" s="569"/>
      <c r="F4" s="4" t="str">
        <f>'1461'!F4</f>
        <v>July 2024</v>
      </c>
      <c r="G4" s="4"/>
      <c r="H4" s="4"/>
      <c r="I4" s="4"/>
      <c r="N4" s="661" t="s">
        <v>0</v>
      </c>
      <c r="O4" s="661"/>
      <c r="P4" s="662" t="str">
        <f>C4</f>
        <v>Palm Beach</v>
      </c>
      <c r="Q4" s="662"/>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70" t="s">
        <v>433</v>
      </c>
      <c r="B7" s="664"/>
      <c r="C7" s="664"/>
      <c r="D7" s="664"/>
      <c r="E7" s="664"/>
      <c r="F7" s="664"/>
      <c r="G7" s="664"/>
      <c r="H7" s="664"/>
      <c r="I7" s="664"/>
      <c r="N7" s="661" t="str">
        <f>A7</f>
        <v>1A.   2023-24 FEFP State and Local Funding</v>
      </c>
      <c r="O7" s="661"/>
      <c r="P7" s="661"/>
      <c r="Q7" s="661"/>
      <c r="R7" s="661"/>
      <c r="S7" s="661"/>
      <c r="T7" s="661"/>
      <c r="U7" s="661"/>
    </row>
    <row r="8" spans="1:21" x14ac:dyDescent="0.25">
      <c r="A8" s="84"/>
      <c r="B8" s="85" t="s">
        <v>92</v>
      </c>
      <c r="C8" s="299">
        <f>'1461'!C8</f>
        <v>5330.98</v>
      </c>
      <c r="D8" s="86"/>
      <c r="E8" s="87"/>
      <c r="F8" s="84"/>
      <c r="G8" s="85" t="s">
        <v>393</v>
      </c>
      <c r="H8" s="287">
        <f>'1461'!H8</f>
        <v>1.0407999999999999</v>
      </c>
      <c r="I8" s="75"/>
      <c r="N8" s="665" t="s">
        <v>10</v>
      </c>
      <c r="O8" s="665"/>
      <c r="P8" s="666">
        <f>C8</f>
        <v>5330.98</v>
      </c>
      <c r="Q8" s="666"/>
      <c r="R8" s="648" t="s">
        <v>394</v>
      </c>
      <c r="S8" s="649"/>
      <c r="T8" s="650">
        <f>H8</f>
        <v>1.0407999999999999</v>
      </c>
      <c r="U8" s="650"/>
    </row>
    <row r="9" spans="1:21" x14ac:dyDescent="0.25">
      <c r="A9" s="84"/>
      <c r="B9" s="85"/>
      <c r="C9" s="222"/>
      <c r="D9" s="86"/>
      <c r="E9" s="87"/>
      <c r="F9" s="84"/>
      <c r="G9" s="85" t="s">
        <v>391</v>
      </c>
      <c r="H9" s="287">
        <f>'1461'!H9</f>
        <v>1</v>
      </c>
      <c r="I9" s="75"/>
      <c r="N9" s="12"/>
      <c r="O9" s="12"/>
      <c r="P9" s="13"/>
      <c r="Q9" s="13"/>
      <c r="R9" s="387" t="s">
        <v>392</v>
      </c>
      <c r="S9" s="384"/>
      <c r="T9" s="650">
        <f>H9</f>
        <v>1</v>
      </c>
      <c r="U9" s="650"/>
    </row>
    <row r="10" spans="1:21" x14ac:dyDescent="0.25">
      <c r="A10" s="7"/>
      <c r="B10" s="42" t="s">
        <v>310</v>
      </c>
      <c r="C10" s="456" t="str">
        <f>'1461'!C10</f>
        <v xml:space="preserve"> </v>
      </c>
      <c r="D10" s="88" t="str">
        <f>'1461'!D10</f>
        <v xml:space="preserve"> </v>
      </c>
      <c r="E10" s="8"/>
      <c r="F10" s="9"/>
      <c r="G10" s="9"/>
      <c r="H10" s="10"/>
      <c r="I10" s="305" t="str">
        <f>'1461'!I10</f>
        <v>2024-25</v>
      </c>
      <c r="N10" s="12"/>
      <c r="O10" s="12"/>
      <c r="P10" s="13"/>
      <c r="Q10" s="13"/>
      <c r="R10" s="14"/>
      <c r="S10" s="14"/>
      <c r="T10" s="15"/>
      <c r="U10" s="366" t="str">
        <f>I10</f>
        <v>2024-25</v>
      </c>
    </row>
    <row r="11" spans="1:21" x14ac:dyDescent="0.25">
      <c r="A11" s="7"/>
      <c r="B11" s="7"/>
      <c r="C11" s="88" t="str">
        <f>'1461'!C11</f>
        <v>Oct 2023</v>
      </c>
      <c r="D11" s="333" t="str">
        <f>'1461'!D11</f>
        <v>Feb 2024</v>
      </c>
      <c r="E11" s="89" t="s">
        <v>8</v>
      </c>
      <c r="F11" s="571" t="s">
        <v>1</v>
      </c>
      <c r="G11" s="571"/>
      <c r="H11" s="10" t="s">
        <v>60</v>
      </c>
      <c r="I11" s="11" t="s">
        <v>27</v>
      </c>
      <c r="N11" s="12"/>
      <c r="O11" s="12"/>
      <c r="P11" s="13"/>
      <c r="Q11" s="13"/>
      <c r="R11" s="651" t="s">
        <v>1</v>
      </c>
      <c r="S11" s="651"/>
      <c r="T11" s="15" t="s">
        <v>60</v>
      </c>
      <c r="U11" s="16" t="s">
        <v>27</v>
      </c>
    </row>
    <row r="12" spans="1:21" ht="15.75" customHeight="1" x14ac:dyDescent="0.25">
      <c r="A12" s="572" t="s">
        <v>1</v>
      </c>
      <c r="B12" s="572"/>
      <c r="C12" s="324" t="str">
        <f>'1461'!C12</f>
        <v>FTE</v>
      </c>
      <c r="D12" s="324" t="str">
        <f>'1461'!D12</f>
        <v>FTE</v>
      </c>
      <c r="E12" s="324" t="s">
        <v>2</v>
      </c>
      <c r="F12" s="573" t="s">
        <v>63</v>
      </c>
      <c r="G12" s="573"/>
      <c r="H12" s="17" t="s">
        <v>59</v>
      </c>
      <c r="I12" s="388" t="s">
        <v>395</v>
      </c>
      <c r="N12" s="639" t="s">
        <v>1</v>
      </c>
      <c r="O12" s="639"/>
      <c r="P12" s="652" t="s">
        <v>19</v>
      </c>
      <c r="Q12" s="652"/>
      <c r="R12" s="653" t="s">
        <v>63</v>
      </c>
      <c r="S12" s="653"/>
      <c r="T12" s="18" t="s">
        <v>59</v>
      </c>
      <c r="U12" s="19" t="str">
        <f>I12</f>
        <v>(WFTE x BSA x CWF x SDF)</v>
      </c>
    </row>
    <row r="13" spans="1:21" x14ac:dyDescent="0.25">
      <c r="A13" s="574" t="s">
        <v>36</v>
      </c>
      <c r="B13" s="574"/>
      <c r="C13" s="91"/>
      <c r="D13" s="91"/>
      <c r="E13" s="92" t="s">
        <v>37</v>
      </c>
      <c r="F13" s="575" t="s">
        <v>38</v>
      </c>
      <c r="G13" s="575"/>
      <c r="H13" s="20" t="s">
        <v>39</v>
      </c>
      <c r="I13" s="21" t="s">
        <v>40</v>
      </c>
      <c r="N13" s="654" t="s">
        <v>36</v>
      </c>
      <c r="O13" s="654"/>
      <c r="P13" s="655" t="s">
        <v>37</v>
      </c>
      <c r="Q13" s="655"/>
      <c r="R13" s="656" t="s">
        <v>38</v>
      </c>
      <c r="S13" s="656"/>
      <c r="T13" s="22" t="s">
        <v>39</v>
      </c>
      <c r="U13" s="23" t="s">
        <v>40</v>
      </c>
    </row>
    <row r="14" spans="1:21" x14ac:dyDescent="0.25">
      <c r="A14" s="576" t="s">
        <v>20</v>
      </c>
      <c r="B14" s="576"/>
      <c r="C14" s="143">
        <v>0</v>
      </c>
      <c r="D14" s="141">
        <v>0</v>
      </c>
      <c r="E14" s="187">
        <f>IF(D$30=0,C14*2,C14+D14)</f>
        <v>0</v>
      </c>
      <c r="F14" s="667">
        <f>'1461'!F14:G14</f>
        <v>1.1180000000000001</v>
      </c>
      <c r="G14" s="667"/>
      <c r="H14" s="145">
        <f>ROUND(E14*F14,4)</f>
        <v>0</v>
      </c>
      <c r="I14" s="111">
        <f>ROUND(ROUND(ROUND(H14*$C$8,4)*($H$8),2)*(MAX($H$9,1)),2)</f>
        <v>0</v>
      </c>
      <c r="N14" s="641" t="s">
        <v>20</v>
      </c>
      <c r="O14" s="641"/>
      <c r="P14" s="642">
        <f t="shared" ref="P14:P29" si="0">IF($H$133=1,E14,0)</f>
        <v>0</v>
      </c>
      <c r="Q14" s="642"/>
      <c r="R14" s="657">
        <v>1</v>
      </c>
      <c r="S14" s="657"/>
      <c r="T14" s="95">
        <f>ROUND(P14*R14,4)</f>
        <v>0</v>
      </c>
      <c r="U14" s="473">
        <f>ROUND(ROUND(ROUND(T14*$C$8,4)*($H$8),2)*(MAX($H$9,1)),2)</f>
        <v>0</v>
      </c>
    </row>
    <row r="15" spans="1:21" x14ac:dyDescent="0.25">
      <c r="A15" s="578" t="s">
        <v>21</v>
      </c>
      <c r="B15" s="578"/>
      <c r="C15" s="143">
        <v>0</v>
      </c>
      <c r="D15" s="143">
        <v>0.5</v>
      </c>
      <c r="E15" s="116">
        <f t="shared" ref="E15:E29" si="1">IF(D$30=0,C15*2,C15+D15)</f>
        <v>0.5</v>
      </c>
      <c r="F15" s="663">
        <f>'1461'!F15:G15</f>
        <v>1.1180000000000001</v>
      </c>
      <c r="G15" s="663"/>
      <c r="H15" s="80">
        <f t="shared" ref="H15:H29" si="2">ROUND(E15*F15,4)</f>
        <v>0.55900000000000005</v>
      </c>
      <c r="I15" s="101">
        <f t="shared" ref="I15:I29" si="3">ROUND(ROUND(ROUND(H15*$C$8,4)*($H$8),2)*(MAX($H$9,1)),2)</f>
        <v>3101.6</v>
      </c>
      <c r="J15" s="65" t="str">
        <f>IF(ROUND(E15,2)=ROUND(SUM(E57:E59),2)," ","CHECK PK-3 LINES BELOW")</f>
        <v xml:space="preserve"> </v>
      </c>
      <c r="N15" s="601" t="s">
        <v>21</v>
      </c>
      <c r="O15" s="601"/>
      <c r="P15" s="642">
        <f t="shared" si="0"/>
        <v>0.5</v>
      </c>
      <c r="Q15" s="642"/>
      <c r="R15" s="647">
        <v>1</v>
      </c>
      <c r="S15" s="647"/>
      <c r="T15" s="95">
        <f t="shared" ref="T15:T29" si="4">ROUND(P15*R15,4)</f>
        <v>0.5</v>
      </c>
      <c r="U15" s="473">
        <f t="shared" ref="U15:U29" si="5">ROUND(ROUND(ROUND(T15*$C$8,4)*($H$8),2)*(MAX($H$9,1)),2)</f>
        <v>2774.24</v>
      </c>
    </row>
    <row r="16" spans="1:21" x14ac:dyDescent="0.25">
      <c r="A16" s="578" t="s">
        <v>22</v>
      </c>
      <c r="B16" s="578"/>
      <c r="C16" s="143">
        <v>0</v>
      </c>
      <c r="D16" s="143">
        <v>0</v>
      </c>
      <c r="E16" s="116">
        <f t="shared" si="1"/>
        <v>0</v>
      </c>
      <c r="F16" s="663">
        <f>'1461'!F16:G16</f>
        <v>1</v>
      </c>
      <c r="G16" s="663"/>
      <c r="H16" s="80">
        <f t="shared" si="2"/>
        <v>0</v>
      </c>
      <c r="I16" s="101">
        <f t="shared" si="3"/>
        <v>0</v>
      </c>
      <c r="N16" s="601" t="s">
        <v>22</v>
      </c>
      <c r="O16" s="601"/>
      <c r="P16" s="642">
        <f t="shared" si="0"/>
        <v>0</v>
      </c>
      <c r="Q16" s="642"/>
      <c r="R16" s="647">
        <v>1</v>
      </c>
      <c r="S16" s="647"/>
      <c r="T16" s="95">
        <f t="shared" si="4"/>
        <v>0</v>
      </c>
      <c r="U16" s="473">
        <f t="shared" si="5"/>
        <v>0</v>
      </c>
    </row>
    <row r="17" spans="1:21" x14ac:dyDescent="0.25">
      <c r="A17" s="578" t="s">
        <v>23</v>
      </c>
      <c r="B17" s="578"/>
      <c r="C17" s="143">
        <v>0</v>
      </c>
      <c r="D17" s="143">
        <v>0</v>
      </c>
      <c r="E17" s="116">
        <f t="shared" si="1"/>
        <v>0</v>
      </c>
      <c r="F17" s="663">
        <f>'1461'!F17:G17</f>
        <v>1</v>
      </c>
      <c r="G17" s="663"/>
      <c r="H17" s="80">
        <f t="shared" si="2"/>
        <v>0</v>
      </c>
      <c r="I17" s="101">
        <f t="shared" si="3"/>
        <v>0</v>
      </c>
      <c r="J17" s="65" t="str">
        <f>IF(ROUND(E17,2)=ROUND(SUM(E60:E62),2)," ","CHECK 4-8 LINES BELOW")</f>
        <v xml:space="preserve"> </v>
      </c>
      <c r="N17" s="601" t="s">
        <v>23</v>
      </c>
      <c r="O17" s="601"/>
      <c r="P17" s="642">
        <f t="shared" si="0"/>
        <v>0</v>
      </c>
      <c r="Q17" s="642"/>
      <c r="R17" s="647">
        <v>1</v>
      </c>
      <c r="S17" s="647"/>
      <c r="T17" s="95">
        <f t="shared" si="4"/>
        <v>0</v>
      </c>
      <c r="U17" s="473">
        <f t="shared" si="5"/>
        <v>0</v>
      </c>
    </row>
    <row r="18" spans="1:21" x14ac:dyDescent="0.25">
      <c r="A18" s="578" t="s">
        <v>24</v>
      </c>
      <c r="B18" s="578"/>
      <c r="C18" s="143">
        <v>0</v>
      </c>
      <c r="D18" s="143">
        <v>0</v>
      </c>
      <c r="E18" s="116">
        <f t="shared" si="1"/>
        <v>0</v>
      </c>
      <c r="F18" s="663">
        <f>'1461'!F18:G18</f>
        <v>0.97799999999999998</v>
      </c>
      <c r="G18" s="663"/>
      <c r="H18" s="80">
        <f t="shared" si="2"/>
        <v>0</v>
      </c>
      <c r="I18" s="101">
        <f t="shared" si="3"/>
        <v>0</v>
      </c>
      <c r="N18" s="601" t="s">
        <v>24</v>
      </c>
      <c r="O18" s="601"/>
      <c r="P18" s="642">
        <f t="shared" si="0"/>
        <v>0</v>
      </c>
      <c r="Q18" s="642"/>
      <c r="R18" s="647">
        <v>1</v>
      </c>
      <c r="S18" s="647"/>
      <c r="T18" s="95">
        <f t="shared" si="4"/>
        <v>0</v>
      </c>
      <c r="U18" s="473">
        <f t="shared" si="5"/>
        <v>0</v>
      </c>
    </row>
    <row r="19" spans="1:21" x14ac:dyDescent="0.25">
      <c r="A19" s="578" t="s">
        <v>25</v>
      </c>
      <c r="B19" s="578"/>
      <c r="C19" s="143">
        <v>0</v>
      </c>
      <c r="D19" s="143">
        <v>0</v>
      </c>
      <c r="E19" s="116">
        <f t="shared" si="1"/>
        <v>0</v>
      </c>
      <c r="F19" s="663">
        <f>'1461'!F19:G19</f>
        <v>0.97799999999999998</v>
      </c>
      <c r="G19" s="663"/>
      <c r="H19" s="80">
        <f t="shared" si="2"/>
        <v>0</v>
      </c>
      <c r="I19" s="101">
        <f t="shared" si="3"/>
        <v>0</v>
      </c>
      <c r="J19" s="65" t="str">
        <f>IF(ROUND(E19,2)=ROUND(SUM(E63:E65),2)," ","CHECK 4-8 LINES BELOW")</f>
        <v xml:space="preserve"> </v>
      </c>
      <c r="N19" s="601" t="s">
        <v>25</v>
      </c>
      <c r="O19" s="601"/>
      <c r="P19" s="642">
        <f t="shared" si="0"/>
        <v>0</v>
      </c>
      <c r="Q19" s="642"/>
      <c r="R19" s="647">
        <v>1</v>
      </c>
      <c r="S19" s="647"/>
      <c r="T19" s="95">
        <f t="shared" si="4"/>
        <v>0</v>
      </c>
      <c r="U19" s="472">
        <f t="shared" si="5"/>
        <v>0</v>
      </c>
    </row>
    <row r="20" spans="1:21" x14ac:dyDescent="0.25">
      <c r="A20" s="578" t="s">
        <v>79</v>
      </c>
      <c r="B20" s="578"/>
      <c r="C20" s="143">
        <v>25.5</v>
      </c>
      <c r="D20" s="143">
        <v>29.73</v>
      </c>
      <c r="E20" s="116">
        <f t="shared" si="1"/>
        <v>55.230000000000004</v>
      </c>
      <c r="F20" s="663">
        <f>'1461'!F20:G20</f>
        <v>3.6970000000000001</v>
      </c>
      <c r="G20" s="663"/>
      <c r="H20" s="80">
        <f t="shared" si="2"/>
        <v>204.18530000000001</v>
      </c>
      <c r="I20" s="101">
        <f t="shared" si="3"/>
        <v>1132918.8700000001</v>
      </c>
      <c r="N20" s="601" t="s">
        <v>79</v>
      </c>
      <c r="O20" s="601"/>
      <c r="P20" s="642">
        <f t="shared" si="0"/>
        <v>55.230000000000004</v>
      </c>
      <c r="Q20" s="642"/>
      <c r="R20" s="647">
        <v>1</v>
      </c>
      <c r="S20" s="647"/>
      <c r="T20" s="95">
        <f t="shared" si="4"/>
        <v>55.23</v>
      </c>
      <c r="U20" s="473">
        <f t="shared" si="5"/>
        <v>306442.77</v>
      </c>
    </row>
    <row r="21" spans="1:21" x14ac:dyDescent="0.25">
      <c r="A21" s="578" t="s">
        <v>80</v>
      </c>
      <c r="B21" s="578"/>
      <c r="C21" s="143">
        <v>22</v>
      </c>
      <c r="D21" s="143">
        <v>24</v>
      </c>
      <c r="E21" s="116">
        <f t="shared" si="1"/>
        <v>46</v>
      </c>
      <c r="F21" s="663">
        <f>'1461'!F21:G21</f>
        <v>3.6970000000000001</v>
      </c>
      <c r="G21" s="663"/>
      <c r="H21" s="80">
        <f t="shared" si="2"/>
        <v>170.06200000000001</v>
      </c>
      <c r="I21" s="101">
        <f t="shared" si="3"/>
        <v>943586.28</v>
      </c>
      <c r="N21" s="601" t="s">
        <v>80</v>
      </c>
      <c r="O21" s="601"/>
      <c r="P21" s="642">
        <f t="shared" si="0"/>
        <v>46</v>
      </c>
      <c r="Q21" s="642"/>
      <c r="R21" s="647">
        <v>1</v>
      </c>
      <c r="S21" s="647"/>
      <c r="T21" s="95">
        <f t="shared" si="4"/>
        <v>46</v>
      </c>
      <c r="U21" s="473">
        <f t="shared" si="5"/>
        <v>255230.26</v>
      </c>
    </row>
    <row r="22" spans="1:21" x14ac:dyDescent="0.25">
      <c r="A22" s="578" t="s">
        <v>81</v>
      </c>
      <c r="B22" s="578"/>
      <c r="C22" s="143">
        <v>0</v>
      </c>
      <c r="D22" s="143">
        <v>0</v>
      </c>
      <c r="E22" s="116">
        <f t="shared" si="1"/>
        <v>0</v>
      </c>
      <c r="F22" s="663">
        <f>'1461'!F22:G22</f>
        <v>3.6970000000000001</v>
      </c>
      <c r="G22" s="663"/>
      <c r="H22" s="80">
        <f t="shared" si="2"/>
        <v>0</v>
      </c>
      <c r="I22" s="101">
        <f t="shared" si="3"/>
        <v>0</v>
      </c>
      <c r="N22" s="601" t="s">
        <v>81</v>
      </c>
      <c r="O22" s="601"/>
      <c r="P22" s="642">
        <f t="shared" si="0"/>
        <v>0</v>
      </c>
      <c r="Q22" s="642"/>
      <c r="R22" s="647">
        <v>1</v>
      </c>
      <c r="S22" s="647"/>
      <c r="T22" s="95">
        <f t="shared" si="4"/>
        <v>0</v>
      </c>
      <c r="U22" s="473">
        <f t="shared" si="5"/>
        <v>0</v>
      </c>
    </row>
    <row r="23" spans="1:21" x14ac:dyDescent="0.25">
      <c r="A23" s="578" t="s">
        <v>82</v>
      </c>
      <c r="B23" s="578"/>
      <c r="C23" s="143">
        <v>6.5</v>
      </c>
      <c r="D23" s="143">
        <v>9.0500000000000007</v>
      </c>
      <c r="E23" s="116">
        <f t="shared" si="1"/>
        <v>15.55</v>
      </c>
      <c r="F23" s="663">
        <f>'1461'!F23:G23</f>
        <v>5.992</v>
      </c>
      <c r="G23" s="663"/>
      <c r="H23" s="80">
        <f t="shared" si="2"/>
        <v>93.175600000000003</v>
      </c>
      <c r="I23" s="101">
        <f t="shared" si="3"/>
        <v>516983.32</v>
      </c>
      <c r="N23" s="601" t="s">
        <v>82</v>
      </c>
      <c r="O23" s="601"/>
      <c r="P23" s="642">
        <f t="shared" si="0"/>
        <v>15.55</v>
      </c>
      <c r="Q23" s="642"/>
      <c r="R23" s="647">
        <v>1</v>
      </c>
      <c r="S23" s="647"/>
      <c r="T23" s="95">
        <f t="shared" si="4"/>
        <v>15.55</v>
      </c>
      <c r="U23" s="473">
        <f t="shared" si="5"/>
        <v>86278.93</v>
      </c>
    </row>
    <row r="24" spans="1:21" x14ac:dyDescent="0.25">
      <c r="A24" s="578" t="s">
        <v>83</v>
      </c>
      <c r="B24" s="578"/>
      <c r="C24" s="143">
        <v>9</v>
      </c>
      <c r="D24" s="143">
        <v>11.58</v>
      </c>
      <c r="E24" s="116">
        <f t="shared" si="1"/>
        <v>20.58</v>
      </c>
      <c r="F24" s="663">
        <f>'1461'!F24:G24</f>
        <v>5.992</v>
      </c>
      <c r="G24" s="663"/>
      <c r="H24" s="80">
        <f t="shared" si="2"/>
        <v>123.3154</v>
      </c>
      <c r="I24" s="101">
        <f t="shared" si="3"/>
        <v>684213.52</v>
      </c>
      <c r="N24" s="601" t="s">
        <v>83</v>
      </c>
      <c r="O24" s="601"/>
      <c r="P24" s="642">
        <f t="shared" si="0"/>
        <v>20.58</v>
      </c>
      <c r="Q24" s="642"/>
      <c r="R24" s="647">
        <v>1</v>
      </c>
      <c r="S24" s="647"/>
      <c r="T24" s="95">
        <f t="shared" si="4"/>
        <v>20.58</v>
      </c>
      <c r="U24" s="473">
        <f t="shared" si="5"/>
        <v>114187.8</v>
      </c>
    </row>
    <row r="25" spans="1:21" x14ac:dyDescent="0.25">
      <c r="A25" s="578" t="s">
        <v>84</v>
      </c>
      <c r="B25" s="578"/>
      <c r="C25" s="143">
        <v>0</v>
      </c>
      <c r="D25" s="143">
        <v>0</v>
      </c>
      <c r="E25" s="116">
        <f t="shared" si="1"/>
        <v>0</v>
      </c>
      <c r="F25" s="663">
        <f>'1461'!F25:G25</f>
        <v>5.992</v>
      </c>
      <c r="G25" s="663"/>
      <c r="H25" s="80">
        <f t="shared" si="2"/>
        <v>0</v>
      </c>
      <c r="I25" s="101">
        <f t="shared" si="3"/>
        <v>0</v>
      </c>
      <c r="N25" s="601" t="s">
        <v>84</v>
      </c>
      <c r="O25" s="601"/>
      <c r="P25" s="642">
        <f t="shared" si="0"/>
        <v>0</v>
      </c>
      <c r="Q25" s="642"/>
      <c r="R25" s="647">
        <v>1</v>
      </c>
      <c r="S25" s="647"/>
      <c r="T25" s="95">
        <f t="shared" si="4"/>
        <v>0</v>
      </c>
      <c r="U25" s="473">
        <f t="shared" si="5"/>
        <v>0</v>
      </c>
    </row>
    <row r="26" spans="1:21" x14ac:dyDescent="0.25">
      <c r="A26" s="578" t="s">
        <v>85</v>
      </c>
      <c r="B26" s="578"/>
      <c r="C26" s="143">
        <v>0</v>
      </c>
      <c r="D26" s="143">
        <v>0</v>
      </c>
      <c r="E26" s="116">
        <f t="shared" si="1"/>
        <v>0</v>
      </c>
      <c r="F26" s="663">
        <f>'1461'!F26:G26</f>
        <v>1.1919999999999999</v>
      </c>
      <c r="G26" s="663"/>
      <c r="H26" s="80">
        <f t="shared" si="2"/>
        <v>0</v>
      </c>
      <c r="I26" s="101">
        <f t="shared" si="3"/>
        <v>0</v>
      </c>
      <c r="N26" s="601" t="s">
        <v>85</v>
      </c>
      <c r="O26" s="601"/>
      <c r="P26" s="642">
        <f t="shared" si="0"/>
        <v>0</v>
      </c>
      <c r="Q26" s="642"/>
      <c r="R26" s="647">
        <v>1</v>
      </c>
      <c r="S26" s="647"/>
      <c r="T26" s="95">
        <f t="shared" si="4"/>
        <v>0</v>
      </c>
      <c r="U26" s="473">
        <f t="shared" si="5"/>
        <v>0</v>
      </c>
    </row>
    <row r="27" spans="1:21" x14ac:dyDescent="0.25">
      <c r="A27" s="578" t="s">
        <v>86</v>
      </c>
      <c r="B27" s="578"/>
      <c r="C27" s="143">
        <v>0</v>
      </c>
      <c r="D27" s="143">
        <v>0</v>
      </c>
      <c r="E27" s="116">
        <f t="shared" si="1"/>
        <v>0</v>
      </c>
      <c r="F27" s="663">
        <f>'1461'!F27:G27</f>
        <v>1.1919999999999999</v>
      </c>
      <c r="G27" s="663"/>
      <c r="H27" s="80">
        <f t="shared" si="2"/>
        <v>0</v>
      </c>
      <c r="I27" s="101">
        <f t="shared" si="3"/>
        <v>0</v>
      </c>
      <c r="N27" s="601" t="s">
        <v>86</v>
      </c>
      <c r="O27" s="601"/>
      <c r="P27" s="642">
        <f t="shared" si="0"/>
        <v>0</v>
      </c>
      <c r="Q27" s="642"/>
      <c r="R27" s="647">
        <v>1</v>
      </c>
      <c r="S27" s="647"/>
      <c r="T27" s="95">
        <f t="shared" si="4"/>
        <v>0</v>
      </c>
      <c r="U27" s="473">
        <f t="shared" si="5"/>
        <v>0</v>
      </c>
    </row>
    <row r="28" spans="1:21" x14ac:dyDescent="0.25">
      <c r="A28" s="578" t="s">
        <v>87</v>
      </c>
      <c r="B28" s="578"/>
      <c r="C28" s="143">
        <v>0</v>
      </c>
      <c r="D28" s="143">
        <v>0</v>
      </c>
      <c r="E28" s="116">
        <f t="shared" si="1"/>
        <v>0</v>
      </c>
      <c r="F28" s="663">
        <f>'1461'!F28:G28</f>
        <v>1.1919999999999999</v>
      </c>
      <c r="G28" s="663"/>
      <c r="H28" s="80">
        <f t="shared" si="2"/>
        <v>0</v>
      </c>
      <c r="I28" s="101">
        <f t="shared" si="3"/>
        <v>0</v>
      </c>
      <c r="N28" s="601" t="s">
        <v>87</v>
      </c>
      <c r="O28" s="601"/>
      <c r="P28" s="642">
        <f t="shared" si="0"/>
        <v>0</v>
      </c>
      <c r="Q28" s="642"/>
      <c r="R28" s="647">
        <v>1</v>
      </c>
      <c r="S28" s="647"/>
      <c r="T28" s="95">
        <f t="shared" si="4"/>
        <v>0</v>
      </c>
      <c r="U28" s="473">
        <f t="shared" si="5"/>
        <v>0</v>
      </c>
    </row>
    <row r="29" spans="1:21" x14ac:dyDescent="0.25">
      <c r="A29" s="578" t="s">
        <v>88</v>
      </c>
      <c r="B29" s="578"/>
      <c r="C29" s="110">
        <v>0</v>
      </c>
      <c r="D29" s="110">
        <v>0</v>
      </c>
      <c r="E29" s="154">
        <f t="shared" si="1"/>
        <v>0</v>
      </c>
      <c r="F29" s="663">
        <f>'1461'!F29:G29</f>
        <v>1.079</v>
      </c>
      <c r="G29" s="663"/>
      <c r="H29" s="93">
        <f t="shared" si="2"/>
        <v>0</v>
      </c>
      <c r="I29" s="94">
        <f t="shared" si="3"/>
        <v>0</v>
      </c>
      <c r="N29" s="616" t="s">
        <v>88</v>
      </c>
      <c r="O29" s="616"/>
      <c r="P29" s="642">
        <f t="shared" si="0"/>
        <v>0</v>
      </c>
      <c r="Q29" s="642"/>
      <c r="R29" s="643">
        <v>1</v>
      </c>
      <c r="S29" s="643"/>
      <c r="T29" s="95">
        <f t="shared" si="4"/>
        <v>0</v>
      </c>
      <c r="U29" s="473">
        <f t="shared" si="5"/>
        <v>0</v>
      </c>
    </row>
    <row r="30" spans="1:21" x14ac:dyDescent="0.25">
      <c r="A30" s="590" t="s">
        <v>5</v>
      </c>
      <c r="B30" s="590"/>
      <c r="C30" s="94">
        <f>SUM(C14:C29)</f>
        <v>63</v>
      </c>
      <c r="D30" s="94">
        <f>SUM(D14:D29)</f>
        <v>74.86</v>
      </c>
      <c r="E30" s="94">
        <f>SUM(E14:E29)</f>
        <v>137.86000000000001</v>
      </c>
      <c r="F30" s="582"/>
      <c r="G30" s="582"/>
      <c r="H30" s="99">
        <f>SUM(H14:H29)</f>
        <v>591.29729999999995</v>
      </c>
      <c r="I30" s="94">
        <f>SUM(I14:I29)</f>
        <v>3280803.5900000003</v>
      </c>
      <c r="N30" s="644" t="s">
        <v>5</v>
      </c>
      <c r="O30" s="644"/>
      <c r="P30" s="645">
        <f>SUM(P14:P29)</f>
        <v>137.86000000000001</v>
      </c>
      <c r="Q30" s="645"/>
      <c r="R30" s="617"/>
      <c r="S30" s="617"/>
      <c r="T30" s="100">
        <f>SUM(T14:T29)</f>
        <v>137.85999999999999</v>
      </c>
      <c r="U30" s="473">
        <f>SUM(U14:U29)</f>
        <v>764914</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0" t="s">
        <v>233</v>
      </c>
      <c r="G34" s="670"/>
      <c r="H34" s="670"/>
      <c r="I34" s="101"/>
      <c r="N34" s="28"/>
      <c r="O34" s="28"/>
      <c r="P34" s="29"/>
      <c r="Q34" s="29"/>
      <c r="R34" s="30"/>
      <c r="S34" s="30"/>
      <c r="T34" s="102"/>
      <c r="U34" s="103"/>
    </row>
    <row r="35" spans="1:21" hidden="1" x14ac:dyDescent="0.25">
      <c r="A35" s="3"/>
      <c r="B35" s="69"/>
      <c r="C35" s="69"/>
      <c r="D35" s="69"/>
      <c r="E35" s="69"/>
      <c r="F35" s="670"/>
      <c r="G35" s="670"/>
      <c r="H35" s="670"/>
      <c r="I35" s="24" t="s">
        <v>61</v>
      </c>
      <c r="N35" s="627" t="s">
        <v>26</v>
      </c>
      <c r="O35" s="627"/>
      <c r="P35" s="627"/>
      <c r="Q35" s="627"/>
      <c r="R35" s="627"/>
      <c r="S35" s="627"/>
      <c r="T35" s="627"/>
      <c r="U35" s="25" t="str">
        <f>I35</f>
        <v>2015-16</v>
      </c>
    </row>
    <row r="36" spans="1:21" hidden="1" x14ac:dyDescent="0.25">
      <c r="A36" s="26"/>
      <c r="B36" s="26"/>
      <c r="C36" s="88" t="s">
        <v>93</v>
      </c>
      <c r="D36" s="88" t="s">
        <v>94</v>
      </c>
      <c r="E36" s="89" t="s">
        <v>8</v>
      </c>
      <c r="F36" s="670"/>
      <c r="G36" s="670"/>
      <c r="H36" s="670"/>
      <c r="I36" s="24" t="s">
        <v>27</v>
      </c>
      <c r="N36" s="28"/>
      <c r="O36" s="28"/>
      <c r="P36" s="29"/>
      <c r="Q36" s="29"/>
      <c r="R36" s="30"/>
      <c r="S36" s="30"/>
      <c r="T36" s="102"/>
      <c r="U36" s="25" t="s">
        <v>27</v>
      </c>
    </row>
    <row r="37" spans="1:21" ht="26.25" hidden="1" x14ac:dyDescent="0.25">
      <c r="A37" s="572" t="s">
        <v>50</v>
      </c>
      <c r="B37" s="572"/>
      <c r="C37" s="90" t="s">
        <v>2</v>
      </c>
      <c r="D37" s="90" t="s">
        <v>2</v>
      </c>
      <c r="E37" s="90" t="s">
        <v>2</v>
      </c>
      <c r="F37" s="671"/>
      <c r="G37" s="671"/>
      <c r="H37" s="671"/>
      <c r="I37" s="31" t="s">
        <v>395</v>
      </c>
      <c r="N37" s="639" t="s">
        <v>50</v>
      </c>
      <c r="O37" s="639"/>
      <c r="P37" s="640" t="s">
        <v>19</v>
      </c>
      <c r="Q37" s="640"/>
      <c r="R37" s="640"/>
      <c r="S37" s="640"/>
      <c r="T37" s="640"/>
      <c r="U37" s="19" t="str">
        <f>I37</f>
        <v>(WFTE x BSA x CWF x SDF)</v>
      </c>
    </row>
    <row r="38" spans="1:21" hidden="1" x14ac:dyDescent="0.25">
      <c r="A38" s="576" t="s">
        <v>45</v>
      </c>
      <c r="B38" s="576"/>
      <c r="C38" s="147">
        <v>0</v>
      </c>
      <c r="D38" s="147">
        <v>0</v>
      </c>
      <c r="E38" s="187">
        <f t="shared" ref="E38:E43" si="6">IF(D$44=0,C38*2,C38+D38)</f>
        <v>0</v>
      </c>
      <c r="F38" s="148"/>
      <c r="G38" s="148"/>
      <c r="H38" s="148"/>
      <c r="I38" s="111">
        <f>ROUND(ROUND(ROUND(E38*$C$8,4)*($H$8),2)*(MAX($H$9,1)),2)</f>
        <v>0</v>
      </c>
      <c r="N38" s="641" t="s">
        <v>45</v>
      </c>
      <c r="O38" s="641"/>
      <c r="P38" s="608">
        <f t="shared" ref="P38:P43" si="7">IF($H$133=1,E38,0)</f>
        <v>0</v>
      </c>
      <c r="Q38" s="608"/>
      <c r="R38" s="608"/>
      <c r="S38" s="608"/>
      <c r="T38" s="608"/>
      <c r="U38" s="98">
        <f>ROUND(ROUND(ROUND(P38*$C$8,4)*($H$8),2)*(MAX($H$9,1)),2)</f>
        <v>0</v>
      </c>
    </row>
    <row r="39" spans="1:21" hidden="1" x14ac:dyDescent="0.25">
      <c r="A39" s="578" t="s">
        <v>46</v>
      </c>
      <c r="B39" s="578"/>
      <c r="C39" s="150">
        <v>0</v>
      </c>
      <c r="D39" s="150">
        <v>0</v>
      </c>
      <c r="E39" s="116">
        <f t="shared" si="6"/>
        <v>0</v>
      </c>
      <c r="F39" s="151"/>
      <c r="G39" s="151"/>
      <c r="H39" s="151"/>
      <c r="I39" s="101">
        <f t="shared" ref="I39:I43" si="8">ROUND(ROUND(ROUND(E39*$C$8,4)*($H$8),2)*(MAX($H$9,1)),2)</f>
        <v>0</v>
      </c>
      <c r="N39" s="601" t="s">
        <v>46</v>
      </c>
      <c r="O39" s="601"/>
      <c r="P39" s="608">
        <f t="shared" si="7"/>
        <v>0</v>
      </c>
      <c r="Q39" s="608"/>
      <c r="R39" s="608"/>
      <c r="S39" s="608"/>
      <c r="T39" s="608"/>
      <c r="U39" s="98">
        <f t="shared" ref="U39:U43" si="9">ROUND(ROUND(ROUND(P39*$C$8,4)*($H$8),2)*(MAX($H$9,1)),2)</f>
        <v>0</v>
      </c>
    </row>
    <row r="40" spans="1:21" hidden="1" x14ac:dyDescent="0.25">
      <c r="A40" s="583" t="s">
        <v>47</v>
      </c>
      <c r="B40" s="583"/>
      <c r="C40" s="150">
        <v>0</v>
      </c>
      <c r="D40" s="150">
        <v>0</v>
      </c>
      <c r="E40" s="116">
        <f t="shared" si="6"/>
        <v>0</v>
      </c>
      <c r="F40" s="151"/>
      <c r="G40" s="151"/>
      <c r="H40" s="151"/>
      <c r="I40" s="101">
        <f t="shared" si="8"/>
        <v>0</v>
      </c>
      <c r="N40" s="646" t="s">
        <v>47</v>
      </c>
      <c r="O40" s="646"/>
      <c r="P40" s="608">
        <f t="shared" si="7"/>
        <v>0</v>
      </c>
      <c r="Q40" s="608"/>
      <c r="R40" s="608"/>
      <c r="S40" s="608"/>
      <c r="T40" s="608"/>
      <c r="U40" s="98">
        <f t="shared" si="9"/>
        <v>0</v>
      </c>
    </row>
    <row r="41" spans="1:21" hidden="1" x14ac:dyDescent="0.25">
      <c r="A41" s="578" t="s">
        <v>48</v>
      </c>
      <c r="B41" s="578"/>
      <c r="C41" s="150">
        <v>0</v>
      </c>
      <c r="D41" s="150">
        <v>0</v>
      </c>
      <c r="E41" s="116">
        <f t="shared" si="6"/>
        <v>0</v>
      </c>
      <c r="F41" s="151"/>
      <c r="G41" s="151"/>
      <c r="H41" s="151"/>
      <c r="I41" s="101">
        <f t="shared" si="8"/>
        <v>0</v>
      </c>
      <c r="N41" s="601" t="s">
        <v>48</v>
      </c>
      <c r="O41" s="601"/>
      <c r="P41" s="608">
        <f t="shared" si="7"/>
        <v>0</v>
      </c>
      <c r="Q41" s="608"/>
      <c r="R41" s="608"/>
      <c r="S41" s="608"/>
      <c r="T41" s="608"/>
      <c r="U41" s="98">
        <f t="shared" si="9"/>
        <v>0</v>
      </c>
    </row>
    <row r="42" spans="1:21" hidden="1" x14ac:dyDescent="0.25">
      <c r="A42" s="578" t="s">
        <v>49</v>
      </c>
      <c r="B42" s="578"/>
      <c r="C42" s="150">
        <v>0</v>
      </c>
      <c r="D42" s="150">
        <v>0</v>
      </c>
      <c r="E42" s="116">
        <f t="shared" si="6"/>
        <v>0</v>
      </c>
      <c r="F42" s="151"/>
      <c r="G42" s="151"/>
      <c r="H42" s="151"/>
      <c r="I42" s="101">
        <f t="shared" si="8"/>
        <v>0</v>
      </c>
      <c r="N42" s="601" t="s">
        <v>49</v>
      </c>
      <c r="O42" s="601"/>
      <c r="P42" s="608">
        <f t="shared" si="7"/>
        <v>0</v>
      </c>
      <c r="Q42" s="608"/>
      <c r="R42" s="608"/>
      <c r="S42" s="608"/>
      <c r="T42" s="608"/>
      <c r="U42" s="98">
        <f t="shared" si="9"/>
        <v>0</v>
      </c>
    </row>
    <row r="43" spans="1:21" hidden="1" x14ac:dyDescent="0.25">
      <c r="A43" s="578" t="s">
        <v>41</v>
      </c>
      <c r="B43" s="578"/>
      <c r="C43" s="149">
        <v>0</v>
      </c>
      <c r="D43" s="149">
        <v>0</v>
      </c>
      <c r="E43" s="154">
        <f t="shared" si="6"/>
        <v>0</v>
      </c>
      <c r="F43" s="151"/>
      <c r="G43" s="151"/>
      <c r="H43" s="151"/>
      <c r="I43" s="94">
        <f t="shared" si="8"/>
        <v>0</v>
      </c>
      <c r="N43" s="616" t="s">
        <v>41</v>
      </c>
      <c r="O43" s="616"/>
      <c r="P43" s="608">
        <f t="shared" si="7"/>
        <v>0</v>
      </c>
      <c r="Q43" s="608"/>
      <c r="R43" s="608"/>
      <c r="S43" s="608"/>
      <c r="T43" s="60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3" t="s">
        <v>43</v>
      </c>
      <c r="O44" s="603"/>
      <c r="P44" s="603"/>
      <c r="Q44" s="603"/>
      <c r="R44" s="33">
        <f>SUM(P38:R43)</f>
        <v>0</v>
      </c>
      <c r="S44" s="617" t="s">
        <v>51</v>
      </c>
      <c r="T44" s="617"/>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591.29729999999995</v>
      </c>
      <c r="F46" s="34"/>
      <c r="G46" s="106"/>
      <c r="H46" s="107" t="s">
        <v>98</v>
      </c>
      <c r="I46" s="94">
        <f>SUM(I44,I30)</f>
        <v>3280803.5900000003</v>
      </c>
      <c r="N46" s="603" t="s">
        <v>44</v>
      </c>
      <c r="O46" s="603"/>
      <c r="P46" s="603"/>
      <c r="Q46" s="603"/>
      <c r="R46" s="35">
        <f>R44+T30</f>
        <v>137.85999999999999</v>
      </c>
      <c r="S46" s="617" t="s">
        <v>42</v>
      </c>
      <c r="T46" s="617"/>
      <c r="U46" s="108">
        <f>SUM(U44,U30)</f>
        <v>764914</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396</v>
      </c>
      <c r="B48" s="26"/>
      <c r="C48" s="26"/>
      <c r="D48" s="26"/>
      <c r="E48" s="26"/>
      <c r="F48" s="34"/>
      <c r="G48" s="27"/>
      <c r="H48" s="27"/>
      <c r="I48" s="101"/>
      <c r="N48" s="383" t="s">
        <v>396</v>
      </c>
      <c r="O48" s="28"/>
      <c r="P48" s="28"/>
      <c r="Q48" s="28"/>
      <c r="R48" s="35"/>
      <c r="S48" s="30"/>
      <c r="T48" s="30"/>
      <c r="U48" s="402"/>
    </row>
    <row r="49" spans="1:22" s="391" customFormat="1" ht="9" customHeight="1" x14ac:dyDescent="0.2">
      <c r="A49" s="481" t="s">
        <v>397</v>
      </c>
      <c r="F49" s="392"/>
      <c r="G49" s="393"/>
      <c r="H49" s="393"/>
      <c r="I49" s="394"/>
      <c r="N49" s="403" t="s">
        <v>397</v>
      </c>
      <c r="O49" s="395"/>
      <c r="P49" s="395"/>
      <c r="Q49" s="395"/>
      <c r="R49" s="396"/>
      <c r="S49" s="397"/>
      <c r="T49" s="397"/>
      <c r="U49" s="404"/>
    </row>
    <row r="50" spans="1:22" s="391" customFormat="1" ht="11.25" customHeight="1" x14ac:dyDescent="0.2">
      <c r="A50" s="483" t="s">
        <v>398</v>
      </c>
      <c r="F50" s="392"/>
      <c r="G50" s="393"/>
      <c r="H50" s="393"/>
      <c r="I50" s="394"/>
      <c r="N50" s="405" t="s">
        <v>398</v>
      </c>
      <c r="O50" s="395"/>
      <c r="P50" s="395"/>
      <c r="Q50" s="395"/>
      <c r="R50" s="396"/>
      <c r="S50" s="397"/>
      <c r="T50" s="397"/>
      <c r="U50" s="404"/>
    </row>
    <row r="51" spans="1:22" x14ac:dyDescent="0.25">
      <c r="A51" s="389"/>
      <c r="B51" s="399" t="s">
        <v>399</v>
      </c>
      <c r="C51" s="26"/>
      <c r="D51" s="26"/>
      <c r="E51" s="43" t="s">
        <v>400</v>
      </c>
      <c r="F51" s="400">
        <f>I46</f>
        <v>3280803.5900000003</v>
      </c>
      <c r="G51" s="109" t="s">
        <v>6</v>
      </c>
      <c r="H51" s="401">
        <v>4.5199999999999997E-2</v>
      </c>
      <c r="I51" s="101">
        <f>ROUND(F51*H51,2)</f>
        <v>148292.32</v>
      </c>
      <c r="N51" s="406"/>
      <c r="O51" s="407" t="s">
        <v>399</v>
      </c>
      <c r="P51" s="28"/>
      <c r="Q51" s="44" t="s">
        <v>400</v>
      </c>
      <c r="R51" s="408">
        <f>U30</f>
        <v>764914</v>
      </c>
      <c r="S51" s="409" t="s">
        <v>6</v>
      </c>
      <c r="T51" s="410">
        <v>4.5199999999999997E-2</v>
      </c>
      <c r="U51" s="402">
        <f>ROUND(R51*T51,2)</f>
        <v>34574.11</v>
      </c>
    </row>
    <row r="52" spans="1:22" x14ac:dyDescent="0.25">
      <c r="A52" s="26"/>
      <c r="B52" s="81" t="s">
        <v>401</v>
      </c>
      <c r="C52" s="26"/>
      <c r="D52" s="26"/>
      <c r="E52" s="43" t="s">
        <v>400</v>
      </c>
      <c r="F52" s="400">
        <f>I46</f>
        <v>3280803.5900000003</v>
      </c>
      <c r="G52" s="109" t="s">
        <v>6</v>
      </c>
      <c r="H52" s="401">
        <v>1.41E-2</v>
      </c>
      <c r="I52" s="101">
        <f>ROUND(F52*H52,2)</f>
        <v>46259.33</v>
      </c>
      <c r="N52" s="28"/>
      <c r="O52" s="383" t="s">
        <v>401</v>
      </c>
      <c r="P52" s="28"/>
      <c r="Q52" s="44" t="s">
        <v>400</v>
      </c>
      <c r="R52" s="408">
        <f>U30</f>
        <v>764914</v>
      </c>
      <c r="S52" s="409" t="s">
        <v>6</v>
      </c>
      <c r="T52" s="410">
        <v>1.41E-2</v>
      </c>
      <c r="U52" s="411">
        <f>ROUND(R52*T52,2)</f>
        <v>10785.29</v>
      </c>
    </row>
    <row r="53" spans="1:22" x14ac:dyDescent="0.25">
      <c r="A53" s="26"/>
      <c r="B53" s="81" t="s">
        <v>402</v>
      </c>
      <c r="C53" s="26"/>
      <c r="D53" s="26"/>
      <c r="E53" s="43"/>
      <c r="F53" s="400"/>
      <c r="G53" s="109"/>
      <c r="H53" s="401"/>
      <c r="I53" s="97">
        <f>SUM(I51:I52)</f>
        <v>194551.65000000002</v>
      </c>
      <c r="N53" s="28"/>
      <c r="O53" s="383" t="s">
        <v>402</v>
      </c>
      <c r="P53" s="28"/>
      <c r="Q53" s="44"/>
      <c r="R53" s="408"/>
      <c r="S53" s="409"/>
      <c r="T53" s="410"/>
      <c r="U53" s="402">
        <f>SUM(U51:U52)</f>
        <v>45359.4</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440</v>
      </c>
      <c r="G55" s="109" t="s">
        <v>441</v>
      </c>
      <c r="H55" s="454" t="s">
        <v>442</v>
      </c>
      <c r="I55" s="101"/>
      <c r="N55" s="448"/>
      <c r="O55" s="448"/>
      <c r="P55" s="464"/>
      <c r="Q55" s="465"/>
      <c r="R55" s="466"/>
      <c r="S55" s="468" t="s">
        <v>441</v>
      </c>
      <c r="T55" s="469" t="s">
        <v>442</v>
      </c>
      <c r="U55" s="467"/>
      <c r="V55" s="424"/>
    </row>
    <row r="56" spans="1:22" x14ac:dyDescent="0.25">
      <c r="A56" s="36" t="s">
        <v>443</v>
      </c>
      <c r="B56" s="36"/>
      <c r="C56" s="324" t="str">
        <f>'1461'!C56</f>
        <v>FTE</v>
      </c>
      <c r="D56" s="324" t="str">
        <f>'1461'!D56</f>
        <v>FTE</v>
      </c>
      <c r="E56" s="90" t="s">
        <v>2</v>
      </c>
      <c r="F56" s="439" t="s">
        <v>444</v>
      </c>
      <c r="G56" s="441" t="s">
        <v>444</v>
      </c>
      <c r="H56" s="455" t="s">
        <v>445</v>
      </c>
      <c r="I56" s="36"/>
      <c r="N56" s="459" t="s">
        <v>443</v>
      </c>
      <c r="O56" s="459"/>
      <c r="P56" s="620" t="s">
        <v>2</v>
      </c>
      <c r="Q56" s="620"/>
      <c r="R56" s="459" t="s">
        <v>449</v>
      </c>
      <c r="S56" s="450" t="s">
        <v>444</v>
      </c>
      <c r="T56" s="470" t="s">
        <v>445</v>
      </c>
      <c r="U56" s="459"/>
      <c r="V56" s="458"/>
    </row>
    <row r="57" spans="1:22" x14ac:dyDescent="0.25">
      <c r="A57" s="588" t="s">
        <v>447</v>
      </c>
      <c r="B57" s="588"/>
      <c r="C57" s="143">
        <v>0</v>
      </c>
      <c r="D57" s="143">
        <v>0</v>
      </c>
      <c r="E57" s="116">
        <f t="shared" ref="E57:E65" si="10">IF(D$72=0,C57*2,C57+D57)</f>
        <v>0</v>
      </c>
      <c r="F57" s="443" t="s">
        <v>439</v>
      </c>
      <c r="G57" s="443">
        <v>251</v>
      </c>
      <c r="H57" s="457">
        <f>'1461'!H57</f>
        <v>1047</v>
      </c>
      <c r="I57" s="101">
        <f>ROUND(E57*H57,2)</f>
        <v>0</v>
      </c>
      <c r="N57" s="618" t="s">
        <v>447</v>
      </c>
      <c r="O57" s="618"/>
      <c r="P57" s="621"/>
      <c r="Q57" s="621"/>
      <c r="R57" s="449" t="s">
        <v>439</v>
      </c>
      <c r="S57" s="449">
        <v>251</v>
      </c>
      <c r="T57" s="460">
        <f>H57</f>
        <v>1047</v>
      </c>
      <c r="U57" s="474">
        <f>ROUND(P57*T57,2)</f>
        <v>0</v>
      </c>
      <c r="V57" s="424"/>
    </row>
    <row r="58" spans="1:22" x14ac:dyDescent="0.25">
      <c r="A58" s="589"/>
      <c r="B58" s="589"/>
      <c r="C58" s="143">
        <v>0</v>
      </c>
      <c r="D58" s="143"/>
      <c r="E58" s="116">
        <f t="shared" si="10"/>
        <v>0</v>
      </c>
      <c r="F58" s="443" t="s">
        <v>439</v>
      </c>
      <c r="G58" s="443">
        <v>252</v>
      </c>
      <c r="H58" s="457">
        <f>'1461'!H58</f>
        <v>3380</v>
      </c>
      <c r="I58" s="101">
        <f t="shared" ref="I58:I65" si="11">ROUND(E58*H58,2)</f>
        <v>0</v>
      </c>
      <c r="N58" s="619"/>
      <c r="O58" s="619"/>
      <c r="P58" s="622"/>
      <c r="Q58" s="622"/>
      <c r="R58" s="449" t="s">
        <v>439</v>
      </c>
      <c r="S58" s="449">
        <v>252</v>
      </c>
      <c r="T58" s="460">
        <f t="shared" ref="T58:T65" si="12">H58</f>
        <v>3380</v>
      </c>
      <c r="U58" s="474">
        <f t="shared" ref="U58:U65" si="13">ROUND(P58*T58,2)</f>
        <v>0</v>
      </c>
      <c r="V58" s="424"/>
    </row>
    <row r="59" spans="1:22" x14ac:dyDescent="0.25">
      <c r="A59" s="589"/>
      <c r="B59" s="589"/>
      <c r="C59" s="143">
        <v>0</v>
      </c>
      <c r="D59" s="143">
        <v>0.5</v>
      </c>
      <c r="E59" s="116">
        <f t="shared" si="10"/>
        <v>0.5</v>
      </c>
      <c r="F59" s="443" t="s">
        <v>439</v>
      </c>
      <c r="G59" s="443">
        <v>253</v>
      </c>
      <c r="H59" s="457">
        <f>'1461'!H59</f>
        <v>6896</v>
      </c>
      <c r="I59" s="101">
        <f t="shared" si="11"/>
        <v>3448</v>
      </c>
      <c r="N59" s="619"/>
      <c r="O59" s="619"/>
      <c r="P59" s="622"/>
      <c r="Q59" s="622"/>
      <c r="R59" s="449" t="s">
        <v>439</v>
      </c>
      <c r="S59" s="449">
        <v>253</v>
      </c>
      <c r="T59" s="460">
        <f t="shared" si="12"/>
        <v>6896</v>
      </c>
      <c r="U59" s="474">
        <f t="shared" si="13"/>
        <v>0</v>
      </c>
      <c r="V59" s="424"/>
    </row>
    <row r="60" spans="1:22" x14ac:dyDescent="0.25">
      <c r="A60" s="589"/>
      <c r="B60" s="589"/>
      <c r="C60" s="143">
        <v>0</v>
      </c>
      <c r="D60" s="143">
        <v>0</v>
      </c>
      <c r="E60" s="116">
        <f t="shared" si="10"/>
        <v>0</v>
      </c>
      <c r="F60" s="444" t="s">
        <v>13</v>
      </c>
      <c r="G60" s="443">
        <v>251</v>
      </c>
      <c r="H60" s="457">
        <f>'1461'!H60</f>
        <v>1173</v>
      </c>
      <c r="I60" s="101">
        <f t="shared" si="11"/>
        <v>0</v>
      </c>
      <c r="N60" s="619"/>
      <c r="O60" s="619"/>
      <c r="P60" s="622"/>
      <c r="Q60" s="622"/>
      <c r="R60" s="40" t="s">
        <v>13</v>
      </c>
      <c r="S60" s="449">
        <v>251</v>
      </c>
      <c r="T60" s="460">
        <f t="shared" si="12"/>
        <v>1173</v>
      </c>
      <c r="U60" s="474">
        <f t="shared" si="13"/>
        <v>0</v>
      </c>
      <c r="V60" s="424"/>
    </row>
    <row r="61" spans="1:22" x14ac:dyDescent="0.25">
      <c r="A61" s="589"/>
      <c r="B61" s="589"/>
      <c r="C61" s="143">
        <v>0</v>
      </c>
      <c r="D61" s="143">
        <v>0</v>
      </c>
      <c r="E61" s="116">
        <f t="shared" si="10"/>
        <v>0</v>
      </c>
      <c r="F61" s="444" t="s">
        <v>13</v>
      </c>
      <c r="G61" s="443">
        <v>252</v>
      </c>
      <c r="H61" s="457">
        <f>'1461'!H61</f>
        <v>3506</v>
      </c>
      <c r="I61" s="101">
        <f t="shared" si="11"/>
        <v>0</v>
      </c>
      <c r="N61" s="619"/>
      <c r="O61" s="619"/>
      <c r="P61" s="622"/>
      <c r="Q61" s="622"/>
      <c r="R61" s="40" t="s">
        <v>13</v>
      </c>
      <c r="S61" s="449">
        <v>252</v>
      </c>
      <c r="T61" s="460">
        <f t="shared" si="12"/>
        <v>3506</v>
      </c>
      <c r="U61" s="474">
        <f t="shared" si="13"/>
        <v>0</v>
      </c>
      <c r="V61" s="424"/>
    </row>
    <row r="62" spans="1:22" x14ac:dyDescent="0.25">
      <c r="A62" s="589"/>
      <c r="B62" s="589"/>
      <c r="C62" s="143">
        <v>0</v>
      </c>
      <c r="D62" s="143">
        <v>0</v>
      </c>
      <c r="E62" s="116">
        <f t="shared" si="10"/>
        <v>0</v>
      </c>
      <c r="F62" s="444" t="s">
        <v>13</v>
      </c>
      <c r="G62" s="443">
        <v>253</v>
      </c>
      <c r="H62" s="457">
        <f>'1461'!H62</f>
        <v>7023</v>
      </c>
      <c r="I62" s="101">
        <f t="shared" si="11"/>
        <v>0</v>
      </c>
      <c r="N62" s="619"/>
      <c r="O62" s="619"/>
      <c r="P62" s="622"/>
      <c r="Q62" s="622"/>
      <c r="R62" s="40" t="s">
        <v>13</v>
      </c>
      <c r="S62" s="449">
        <v>253</v>
      </c>
      <c r="T62" s="460">
        <f t="shared" si="12"/>
        <v>7023</v>
      </c>
      <c r="U62" s="474">
        <f t="shared" si="13"/>
        <v>0</v>
      </c>
      <c r="V62" s="424"/>
    </row>
    <row r="63" spans="1:22" x14ac:dyDescent="0.25">
      <c r="A63" s="589"/>
      <c r="B63" s="589"/>
      <c r="C63" s="143">
        <v>0</v>
      </c>
      <c r="D63" s="143">
        <v>0</v>
      </c>
      <c r="E63" s="116">
        <f t="shared" si="10"/>
        <v>0</v>
      </c>
      <c r="F63" s="444" t="s">
        <v>14</v>
      </c>
      <c r="G63" s="443">
        <v>251</v>
      </c>
      <c r="H63" s="457">
        <f>'1461'!H63</f>
        <v>835</v>
      </c>
      <c r="I63" s="101">
        <f t="shared" si="11"/>
        <v>0</v>
      </c>
      <c r="N63" s="619"/>
      <c r="O63" s="619"/>
      <c r="P63" s="622"/>
      <c r="Q63" s="622"/>
      <c r="R63" s="40" t="s">
        <v>14</v>
      </c>
      <c r="S63" s="449">
        <v>251</v>
      </c>
      <c r="T63" s="460">
        <f t="shared" si="12"/>
        <v>835</v>
      </c>
      <c r="U63" s="474">
        <f t="shared" si="13"/>
        <v>0</v>
      </c>
      <c r="V63" s="424"/>
    </row>
    <row r="64" spans="1:22" x14ac:dyDescent="0.25">
      <c r="A64" s="589"/>
      <c r="B64" s="589"/>
      <c r="C64" s="143">
        <v>0</v>
      </c>
      <c r="D64" s="143">
        <v>0</v>
      </c>
      <c r="E64" s="116">
        <f t="shared" si="10"/>
        <v>0</v>
      </c>
      <c r="F64" s="444" t="s">
        <v>14</v>
      </c>
      <c r="G64" s="443">
        <v>252</v>
      </c>
      <c r="H64" s="457">
        <f>'1461'!H64</f>
        <v>3168</v>
      </c>
      <c r="I64" s="101">
        <f t="shared" si="11"/>
        <v>0</v>
      </c>
      <c r="N64" s="619"/>
      <c r="O64" s="619"/>
      <c r="P64" s="622"/>
      <c r="Q64" s="622"/>
      <c r="R64" s="40" t="s">
        <v>14</v>
      </c>
      <c r="S64" s="449">
        <v>252</v>
      </c>
      <c r="T64" s="460">
        <f t="shared" si="12"/>
        <v>3168</v>
      </c>
      <c r="U64" s="474">
        <f t="shared" si="13"/>
        <v>0</v>
      </c>
      <c r="V64" s="424"/>
    </row>
    <row r="65" spans="1:22" ht="16.5" thickBot="1" x14ac:dyDescent="0.3">
      <c r="A65" s="589"/>
      <c r="B65" s="589"/>
      <c r="C65" s="143">
        <v>0</v>
      </c>
      <c r="D65" s="143">
        <v>0</v>
      </c>
      <c r="E65" s="116">
        <f t="shared" si="10"/>
        <v>0</v>
      </c>
      <c r="F65" s="444" t="s">
        <v>14</v>
      </c>
      <c r="G65" s="443">
        <v>253</v>
      </c>
      <c r="H65" s="457">
        <f>'1461'!H65</f>
        <v>6685</v>
      </c>
      <c r="I65" s="101">
        <f t="shared" si="11"/>
        <v>0</v>
      </c>
      <c r="N65" s="619"/>
      <c r="O65" s="619"/>
      <c r="P65" s="623"/>
      <c r="Q65" s="623"/>
      <c r="R65" s="40" t="s">
        <v>14</v>
      </c>
      <c r="S65" s="449">
        <v>253</v>
      </c>
      <c r="T65" s="460">
        <f t="shared" si="12"/>
        <v>6685</v>
      </c>
      <c r="U65" s="475">
        <f t="shared" si="13"/>
        <v>0</v>
      </c>
      <c r="V65" s="424"/>
    </row>
    <row r="66" spans="1:22" ht="16.5" thickBot="1" x14ac:dyDescent="0.3">
      <c r="A66" s="440"/>
      <c r="C66" s="97">
        <f>SUM(C57:C65)</f>
        <v>0</v>
      </c>
      <c r="D66" s="97">
        <f>SUM(D57:D65)</f>
        <v>0.5</v>
      </c>
      <c r="E66" s="97">
        <f>SUM(E57:E65)</f>
        <v>0.5</v>
      </c>
      <c r="F66" s="590" t="s">
        <v>448</v>
      </c>
      <c r="G66" s="590"/>
      <c r="H66" s="590"/>
      <c r="I66" s="97">
        <f>SUM(I57:I65)</f>
        <v>3448</v>
      </c>
      <c r="N66" s="446"/>
      <c r="O66" s="51"/>
      <c r="P66" s="602">
        <f>SUM(P57:P65)</f>
        <v>0</v>
      </c>
      <c r="Q66" s="602"/>
      <c r="R66" s="603" t="s">
        <v>448</v>
      </c>
      <c r="S66" s="603"/>
      <c r="T66" s="603"/>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450</v>
      </c>
      <c r="N68" s="453" t="s">
        <v>458</v>
      </c>
      <c r="O68" s="51"/>
      <c r="P68" s="51"/>
      <c r="Q68" s="51"/>
      <c r="R68" s="51"/>
      <c r="S68" s="51"/>
      <c r="T68" s="51"/>
      <c r="U68" s="51"/>
    </row>
    <row r="69" spans="1:22" x14ac:dyDescent="0.25">
      <c r="A69" s="584" t="s">
        <v>403</v>
      </c>
      <c r="B69" s="578"/>
      <c r="C69" s="112">
        <f>E30</f>
        <v>137.86000000000001</v>
      </c>
      <c r="D69" s="565" t="s">
        <v>414</v>
      </c>
      <c r="E69" s="565"/>
      <c r="F69" s="565"/>
      <c r="G69" s="565"/>
      <c r="H69" s="300">
        <f>'1461'!H69</f>
        <v>210228.91</v>
      </c>
      <c r="I69" s="113"/>
      <c r="N69" s="600" t="s">
        <v>407</v>
      </c>
      <c r="O69" s="601"/>
      <c r="P69" s="41">
        <f>P30</f>
        <v>137.86000000000001</v>
      </c>
      <c r="Q69" s="606" t="s">
        <v>409</v>
      </c>
      <c r="R69" s="607"/>
      <c r="S69" s="607"/>
      <c r="T69" s="604">
        <f>H69</f>
        <v>210228.91</v>
      </c>
      <c r="U69" s="604"/>
    </row>
    <row r="70" spans="1:22" x14ac:dyDescent="0.25">
      <c r="B70" s="69"/>
      <c r="G70" s="42" t="s">
        <v>12</v>
      </c>
      <c r="H70" s="114">
        <f>ROUND(C69/H69,6)</f>
        <v>6.5600000000000001E-4</v>
      </c>
      <c r="I70" s="115"/>
      <c r="N70" s="601"/>
      <c r="O70" s="601"/>
      <c r="P70" s="601"/>
      <c r="Q70" s="601"/>
      <c r="R70" s="601"/>
      <c r="S70" s="601"/>
      <c r="T70" s="605">
        <f>ROUND(P69/T69,6)</f>
        <v>6.5600000000000001E-4</v>
      </c>
      <c r="U70" s="605"/>
    </row>
    <row r="71" spans="1:22" x14ac:dyDescent="0.25">
      <c r="A71" s="442" t="s">
        <v>451</v>
      </c>
      <c r="N71" s="453" t="s">
        <v>459</v>
      </c>
      <c r="O71" s="51"/>
      <c r="P71" s="51"/>
      <c r="Q71" s="51"/>
      <c r="R71" s="51"/>
      <c r="S71" s="51"/>
      <c r="T71" s="51"/>
      <c r="U71" s="51"/>
    </row>
    <row r="72" spans="1:22" x14ac:dyDescent="0.25">
      <c r="A72" s="584" t="s">
        <v>404</v>
      </c>
      <c r="B72" s="578"/>
      <c r="C72" s="112">
        <f>H30</f>
        <v>591.29729999999995</v>
      </c>
      <c r="D72" s="565" t="s">
        <v>415</v>
      </c>
      <c r="E72" s="565"/>
      <c r="F72" s="565"/>
      <c r="G72" s="565"/>
      <c r="H72" s="301">
        <f>'1461'!H72</f>
        <v>234891.44</v>
      </c>
      <c r="I72" s="116"/>
      <c r="N72" s="600" t="s">
        <v>408</v>
      </c>
      <c r="O72" s="601"/>
      <c r="P72" s="41">
        <f>T30</f>
        <v>137.85999999999999</v>
      </c>
      <c r="Q72" s="606" t="s">
        <v>410</v>
      </c>
      <c r="R72" s="607"/>
      <c r="S72" s="607"/>
      <c r="T72" s="604">
        <f>H72</f>
        <v>234891.44</v>
      </c>
      <c r="U72" s="604"/>
    </row>
    <row r="73" spans="1:22" x14ac:dyDescent="0.25">
      <c r="G73" s="42" t="s">
        <v>12</v>
      </c>
      <c r="H73" s="114">
        <f>ROUND(C72/H72,6)</f>
        <v>2.5170000000000001E-3</v>
      </c>
      <c r="I73" s="114"/>
      <c r="N73" s="601"/>
      <c r="O73" s="601"/>
      <c r="P73" s="601"/>
      <c r="Q73" s="601"/>
      <c r="R73" s="601"/>
      <c r="S73" s="601"/>
      <c r="T73" s="605">
        <f>ROUND(P72/T72,6)</f>
        <v>5.8699999999999996E-4</v>
      </c>
      <c r="U73" s="605"/>
    </row>
    <row r="74" spans="1:22" x14ac:dyDescent="0.25">
      <c r="A74" s="417" t="s">
        <v>452</v>
      </c>
      <c r="B74" s="414"/>
      <c r="C74" s="414"/>
      <c r="D74" s="414"/>
      <c r="E74" s="414"/>
      <c r="F74" s="414"/>
      <c r="G74" s="414"/>
      <c r="H74" s="414"/>
      <c r="I74" s="414"/>
      <c r="N74" s="416" t="s">
        <v>460</v>
      </c>
      <c r="O74" s="415"/>
      <c r="P74" s="415"/>
      <c r="Q74" s="415"/>
      <c r="R74" s="415"/>
      <c r="S74" s="415"/>
      <c r="T74" s="415"/>
      <c r="U74" s="415"/>
      <c r="V74" s="414"/>
    </row>
    <row r="75" spans="1:22" x14ac:dyDescent="0.25">
      <c r="A75" s="584" t="s">
        <v>405</v>
      </c>
      <c r="B75" s="578"/>
      <c r="C75" s="112">
        <f>E30</f>
        <v>137.86000000000001</v>
      </c>
      <c r="D75" s="557" t="s">
        <v>416</v>
      </c>
      <c r="E75" s="557"/>
      <c r="F75" s="557"/>
      <c r="G75" s="557"/>
      <c r="H75" s="300">
        <f>'1461'!H75</f>
        <v>187665.41</v>
      </c>
      <c r="I75" s="113"/>
      <c r="N75" s="600" t="s">
        <v>406</v>
      </c>
      <c r="O75" s="601"/>
      <c r="P75" s="41">
        <f>P30</f>
        <v>137.86000000000001</v>
      </c>
      <c r="Q75" s="636" t="s">
        <v>411</v>
      </c>
      <c r="R75" s="637"/>
      <c r="S75" s="637"/>
      <c r="T75" s="604">
        <f>H75</f>
        <v>187665.41</v>
      </c>
      <c r="U75" s="604"/>
    </row>
    <row r="76" spans="1:22" x14ac:dyDescent="0.25">
      <c r="B76" s="69"/>
      <c r="G76" s="42" t="s">
        <v>12</v>
      </c>
      <c r="H76" s="114">
        <f>ROUND(C75/H75,6)</f>
        <v>7.3499999999999998E-4</v>
      </c>
      <c r="I76" s="115"/>
      <c r="N76" s="601"/>
      <c r="O76" s="601"/>
      <c r="P76" s="601"/>
      <c r="Q76" s="601"/>
      <c r="R76" s="601"/>
      <c r="S76" s="601"/>
      <c r="T76" s="605">
        <f>ROUND(P75/T75,6)</f>
        <v>7.3499999999999998E-4</v>
      </c>
      <c r="U76" s="605"/>
    </row>
    <row r="77" spans="1:22" x14ac:dyDescent="0.25">
      <c r="A77" s="417" t="s">
        <v>453</v>
      </c>
      <c r="B77" s="414"/>
      <c r="C77" s="414"/>
      <c r="D77" s="414"/>
      <c r="E77" s="414"/>
      <c r="F77" s="414"/>
      <c r="G77" s="414"/>
      <c r="H77" s="414"/>
      <c r="I77" s="414"/>
      <c r="N77" s="416" t="s">
        <v>461</v>
      </c>
      <c r="O77" s="415"/>
      <c r="P77" s="415"/>
      <c r="Q77" s="415"/>
      <c r="R77" s="415"/>
      <c r="S77" s="415"/>
      <c r="T77" s="415"/>
      <c r="U77" s="415"/>
      <c r="V77" s="414"/>
    </row>
    <row r="78" spans="1:22" x14ac:dyDescent="0.25">
      <c r="A78" s="584" t="s">
        <v>405</v>
      </c>
      <c r="B78" s="578"/>
      <c r="C78" s="112">
        <f>E30</f>
        <v>137.86000000000001</v>
      </c>
      <c r="D78" s="585" t="s">
        <v>417</v>
      </c>
      <c r="E78" s="585"/>
      <c r="F78" s="585"/>
      <c r="G78" s="585"/>
      <c r="H78" s="300">
        <f>'1461'!H78</f>
        <v>209892.26</v>
      </c>
      <c r="I78" s="113"/>
      <c r="N78" s="600" t="s">
        <v>406</v>
      </c>
      <c r="O78" s="601"/>
      <c r="P78" s="41">
        <f>P30</f>
        <v>137.86000000000001</v>
      </c>
      <c r="Q78" s="634" t="s">
        <v>412</v>
      </c>
      <c r="R78" s="635"/>
      <c r="S78" s="635"/>
      <c r="T78" s="604">
        <f>H78</f>
        <v>209892.26</v>
      </c>
      <c r="U78" s="604"/>
    </row>
    <row r="79" spans="1:22" x14ac:dyDescent="0.25">
      <c r="B79" s="69"/>
      <c r="G79" s="42" t="s">
        <v>12</v>
      </c>
      <c r="H79" s="114">
        <f>ROUND(C78/H78,6)</f>
        <v>6.5700000000000003E-4</v>
      </c>
      <c r="I79" s="115"/>
      <c r="N79" s="601"/>
      <c r="O79" s="601"/>
      <c r="P79" s="601"/>
      <c r="Q79" s="601"/>
      <c r="R79" s="601"/>
      <c r="S79" s="601"/>
      <c r="T79" s="605">
        <f>ROUND(P78/T78,6)</f>
        <v>6.5700000000000003E-4</v>
      </c>
      <c r="U79" s="605"/>
    </row>
    <row r="80" spans="1:22" x14ac:dyDescent="0.25">
      <c r="A80" s="417" t="s">
        <v>454</v>
      </c>
      <c r="B80" s="414"/>
      <c r="C80" s="414"/>
      <c r="D80" s="414"/>
      <c r="E80" s="414"/>
      <c r="F80" s="414"/>
      <c r="G80" s="414"/>
      <c r="H80" s="414"/>
      <c r="I80" s="414"/>
      <c r="N80" s="416" t="s">
        <v>462</v>
      </c>
      <c r="O80" s="415"/>
      <c r="P80" s="415"/>
      <c r="Q80" s="415"/>
      <c r="R80" s="415"/>
      <c r="S80" s="415"/>
      <c r="T80" s="415"/>
      <c r="U80" s="415"/>
      <c r="V80" s="414"/>
    </row>
    <row r="81" spans="1:21" x14ac:dyDescent="0.25">
      <c r="A81" s="584" t="s">
        <v>413</v>
      </c>
      <c r="B81" s="578"/>
      <c r="C81" s="112">
        <f>E30</f>
        <v>137.86000000000001</v>
      </c>
      <c r="D81" s="557" t="s">
        <v>418</v>
      </c>
      <c r="E81" s="557"/>
      <c r="F81" s="557"/>
      <c r="G81" s="557"/>
      <c r="H81" s="300">
        <f>'1461'!H81</f>
        <v>187328.76</v>
      </c>
      <c r="I81" s="113"/>
      <c r="N81" s="600" t="s">
        <v>419</v>
      </c>
      <c r="O81" s="601"/>
      <c r="P81" s="41">
        <f>P30</f>
        <v>137.86000000000001</v>
      </c>
      <c r="Q81" s="636" t="s">
        <v>420</v>
      </c>
      <c r="R81" s="637"/>
      <c r="S81" s="637"/>
      <c r="T81" s="604">
        <f>H81</f>
        <v>187328.76</v>
      </c>
      <c r="U81" s="604"/>
    </row>
    <row r="82" spans="1:21" x14ac:dyDescent="0.25">
      <c r="B82" s="69"/>
      <c r="G82" s="42" t="s">
        <v>12</v>
      </c>
      <c r="H82" s="114">
        <f>ROUND(C81/H81,6)</f>
        <v>7.36E-4</v>
      </c>
      <c r="I82" s="115"/>
      <c r="N82" s="601"/>
      <c r="O82" s="601"/>
      <c r="P82" s="601"/>
      <c r="Q82" s="601"/>
      <c r="R82" s="601"/>
      <c r="S82" s="601"/>
      <c r="T82" s="605">
        <f>ROUND(P81/T81,6)</f>
        <v>7.36E-4</v>
      </c>
      <c r="U82" s="605"/>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455</v>
      </c>
      <c r="D85" s="69"/>
      <c r="E85" s="43" t="s">
        <v>299</v>
      </c>
      <c r="F85" s="302">
        <f>'1461'!F85</f>
        <v>46163704</v>
      </c>
      <c r="G85" s="37" t="s">
        <v>6</v>
      </c>
      <c r="H85" s="422">
        <f>H79</f>
        <v>6.5700000000000003E-4</v>
      </c>
      <c r="I85" s="101">
        <f>ROUND(F85*H85,2)</f>
        <v>30329.55</v>
      </c>
      <c r="N85" s="453" t="s">
        <v>455</v>
      </c>
      <c r="O85" s="51"/>
      <c r="P85" s="51"/>
      <c r="Q85" s="44"/>
      <c r="R85" s="419">
        <f>F85</f>
        <v>46163704</v>
      </c>
      <c r="S85" s="38" t="s">
        <v>6</v>
      </c>
      <c r="T85" s="421">
        <f>T79</f>
        <v>6.5700000000000003E-4</v>
      </c>
      <c r="U85" s="473">
        <f>ROUND(R85*T85,2)</f>
        <v>30329.55</v>
      </c>
    </row>
    <row r="86" spans="1:21" x14ac:dyDescent="0.25">
      <c r="A86" s="399"/>
      <c r="D86" s="69"/>
      <c r="E86" s="43"/>
      <c r="F86" s="117"/>
      <c r="G86" s="37"/>
      <c r="H86" s="422"/>
      <c r="I86" s="101"/>
      <c r="N86" s="51"/>
      <c r="O86" s="51"/>
      <c r="P86" s="51"/>
      <c r="Q86" s="44"/>
      <c r="R86" s="420"/>
      <c r="S86" s="38"/>
      <c r="T86" s="421"/>
      <c r="U86" s="477"/>
    </row>
    <row r="87" spans="1:21" x14ac:dyDescent="0.25">
      <c r="A87" s="587" t="s">
        <v>71</v>
      </c>
      <c r="B87" s="578"/>
      <c r="C87" s="578"/>
      <c r="D87" s="69"/>
      <c r="E87" s="43"/>
      <c r="F87" s="117"/>
      <c r="G87" s="37"/>
      <c r="H87" s="422"/>
      <c r="I87" s="101"/>
      <c r="N87" s="600" t="s">
        <v>463</v>
      </c>
      <c r="O87" s="601"/>
      <c r="P87" s="601"/>
      <c r="Q87" s="51"/>
      <c r="R87" s="420"/>
      <c r="S87" s="51"/>
      <c r="T87" s="38"/>
      <c r="U87" s="478"/>
    </row>
    <row r="88" spans="1:21" x14ac:dyDescent="0.25">
      <c r="A88" s="587" t="s">
        <v>99</v>
      </c>
      <c r="B88" s="578"/>
      <c r="C88" s="578"/>
      <c r="D88" s="69"/>
      <c r="E88" s="43" t="s">
        <v>3</v>
      </c>
      <c r="F88" s="302">
        <f>'1461'!F88</f>
        <v>0</v>
      </c>
      <c r="G88" s="37" t="s">
        <v>6</v>
      </c>
      <c r="H88" s="422">
        <f>H70</f>
        <v>6.5600000000000001E-4</v>
      </c>
      <c r="I88" s="101">
        <f>ROUND(F88*H88,2)</f>
        <v>0</v>
      </c>
      <c r="N88" s="638" t="s">
        <v>99</v>
      </c>
      <c r="O88" s="601"/>
      <c r="P88" s="601"/>
      <c r="Q88" s="44"/>
      <c r="R88" s="419">
        <f>F88</f>
        <v>0</v>
      </c>
      <c r="S88" s="38" t="s">
        <v>6</v>
      </c>
      <c r="T88" s="421">
        <f>T70</f>
        <v>6.5600000000000001E-4</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456</v>
      </c>
      <c r="D90" s="69"/>
      <c r="E90" s="43" t="s">
        <v>421</v>
      </c>
      <c r="F90" s="302">
        <f>'1461'!F90</f>
        <v>19042026</v>
      </c>
      <c r="G90" s="37" t="s">
        <v>6</v>
      </c>
      <c r="H90" s="422">
        <f>H82</f>
        <v>7.36E-4</v>
      </c>
      <c r="I90" s="101">
        <f>ROUND(F90*H90,2)</f>
        <v>14014.93</v>
      </c>
      <c r="N90" s="453" t="s">
        <v>456</v>
      </c>
      <c r="O90" s="51"/>
      <c r="P90" s="51"/>
      <c r="Q90" s="44"/>
      <c r="R90" s="419">
        <f>F90</f>
        <v>19042026</v>
      </c>
      <c r="S90" s="38" t="s">
        <v>6</v>
      </c>
      <c r="T90" s="421">
        <f>T82</f>
        <v>7.36E-4</v>
      </c>
      <c r="U90" s="473">
        <f>ROUND(R90*T90,2)</f>
        <v>14014.93</v>
      </c>
    </row>
    <row r="91" spans="1:21" x14ac:dyDescent="0.25">
      <c r="A91" s="399"/>
      <c r="D91" s="69"/>
      <c r="E91" s="43"/>
      <c r="F91" s="117"/>
      <c r="G91" s="37"/>
      <c r="H91" s="422"/>
      <c r="I91" s="101"/>
      <c r="N91" s="407"/>
      <c r="O91" s="51"/>
      <c r="P91" s="51"/>
      <c r="Q91" s="44"/>
      <c r="R91" s="419"/>
      <c r="S91" s="38"/>
      <c r="T91" s="421"/>
      <c r="U91" s="473"/>
    </row>
    <row r="92" spans="1:21" x14ac:dyDescent="0.25">
      <c r="A92" s="451" t="s">
        <v>457</v>
      </c>
      <c r="D92" s="69"/>
      <c r="E92" s="43" t="s">
        <v>3</v>
      </c>
      <c r="F92" s="302">
        <f>'1461'!F92</f>
        <v>11441151</v>
      </c>
      <c r="G92" s="37" t="s">
        <v>6</v>
      </c>
      <c r="H92" s="422">
        <f>H76</f>
        <v>7.3499999999999998E-4</v>
      </c>
      <c r="I92" s="101">
        <f t="shared" ref="I92:I96" si="14">ROUND(F92*H92,2)</f>
        <v>8409.25</v>
      </c>
      <c r="N92" s="453" t="s">
        <v>457</v>
      </c>
      <c r="O92" s="51"/>
      <c r="P92" s="51"/>
      <c r="Q92" s="44"/>
      <c r="R92" s="419">
        <f t="shared" ref="R92:R96" si="15">F92</f>
        <v>11441151</v>
      </c>
      <c r="S92" s="38" t="s">
        <v>6</v>
      </c>
      <c r="T92" s="421">
        <f>T76</f>
        <v>7.3499999999999998E-4</v>
      </c>
      <c r="U92" s="473">
        <f>ROUND(R92*T92,2)</f>
        <v>8409.25</v>
      </c>
    </row>
    <row r="93" spans="1:21" x14ac:dyDescent="0.25">
      <c r="A93" s="81"/>
      <c r="D93" s="69"/>
      <c r="E93" s="43"/>
      <c r="F93" s="117"/>
      <c r="G93" s="37"/>
      <c r="H93" s="422"/>
      <c r="I93" s="101"/>
      <c r="N93" s="383"/>
      <c r="O93" s="51"/>
      <c r="P93" s="51"/>
      <c r="Q93" s="44"/>
      <c r="R93" s="420"/>
      <c r="S93" s="38"/>
      <c r="T93" s="421"/>
      <c r="U93" s="477"/>
    </row>
    <row r="94" spans="1:21" x14ac:dyDescent="0.25">
      <c r="A94" s="584" t="s">
        <v>422</v>
      </c>
      <c r="B94" s="578"/>
      <c r="C94" s="578"/>
      <c r="D94" s="69"/>
      <c r="E94" s="43" t="s">
        <v>4</v>
      </c>
      <c r="F94" s="302">
        <f>'1461'!F94</f>
        <v>247265670</v>
      </c>
      <c r="G94" s="37" t="s">
        <v>6</v>
      </c>
      <c r="H94" s="422">
        <f>H73</f>
        <v>2.5170000000000001E-3</v>
      </c>
      <c r="I94" s="101">
        <f t="shared" si="14"/>
        <v>622367.68999999994</v>
      </c>
      <c r="N94" s="601" t="s">
        <v>422</v>
      </c>
      <c r="O94" s="601"/>
      <c r="P94" s="601"/>
      <c r="Q94" s="44"/>
      <c r="R94" s="419">
        <f t="shared" si="15"/>
        <v>247265670</v>
      </c>
      <c r="S94" s="38" t="s">
        <v>6</v>
      </c>
      <c r="T94" s="421">
        <f>T73</f>
        <v>5.8699999999999996E-4</v>
      </c>
      <c r="U94" s="473">
        <f>ROUND(R94*T94,2)</f>
        <v>145144.95000000001</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4" t="s">
        <v>423</v>
      </c>
      <c r="B96" s="578"/>
      <c r="C96" s="578"/>
      <c r="D96" s="69"/>
      <c r="E96" s="43" t="s">
        <v>4</v>
      </c>
      <c r="F96" s="302">
        <f>'1461'!F96</f>
        <v>0</v>
      </c>
      <c r="G96" s="37" t="s">
        <v>6</v>
      </c>
      <c r="H96" s="422">
        <f>H73</f>
        <v>2.5170000000000001E-3</v>
      </c>
      <c r="I96" s="101">
        <f t="shared" si="14"/>
        <v>0</v>
      </c>
      <c r="N96" s="600" t="s">
        <v>423</v>
      </c>
      <c r="O96" s="601"/>
      <c r="P96" s="601"/>
      <c r="Q96" s="44"/>
      <c r="R96" s="419">
        <f t="shared" si="15"/>
        <v>0</v>
      </c>
      <c r="S96" s="38" t="s">
        <v>6</v>
      </c>
      <c r="T96" s="421">
        <f>T73</f>
        <v>5.8699999999999996E-4</v>
      </c>
      <c r="U96" s="473">
        <f>ROUND(R96*T96,2)</f>
        <v>0</v>
      </c>
    </row>
    <row r="97" spans="1:21" x14ac:dyDescent="0.25">
      <c r="A97" s="530"/>
      <c r="B97" s="529"/>
      <c r="C97" s="529"/>
      <c r="D97" s="529"/>
      <c r="E97" s="527"/>
      <c r="F97" s="117"/>
      <c r="G97" s="528"/>
      <c r="H97" s="422"/>
      <c r="I97" s="101"/>
      <c r="N97" s="533"/>
      <c r="O97" s="532"/>
      <c r="P97" s="532"/>
      <c r="Q97" s="44"/>
      <c r="R97" s="535"/>
      <c r="S97" s="534"/>
      <c r="T97" s="421"/>
      <c r="U97" s="477"/>
    </row>
    <row r="98" spans="1:21" x14ac:dyDescent="0.25">
      <c r="A98" s="530" t="s">
        <v>497</v>
      </c>
      <c r="B98" s="529"/>
      <c r="C98" s="529"/>
      <c r="D98" s="529"/>
      <c r="E98" s="527" t="s">
        <v>3</v>
      </c>
      <c r="F98" s="290">
        <v>0</v>
      </c>
      <c r="G98" s="528" t="s">
        <v>6</v>
      </c>
      <c r="H98" s="422">
        <f>H70</f>
        <v>6.5600000000000001E-4</v>
      </c>
      <c r="I98" s="101">
        <f t="shared" ref="I98" si="16">ROUND(F98*H98,2)</f>
        <v>0</v>
      </c>
      <c r="N98" s="533" t="s">
        <v>497</v>
      </c>
      <c r="O98" s="533"/>
      <c r="P98" s="533"/>
      <c r="Q98" s="44"/>
      <c r="R98" s="536">
        <f>F98</f>
        <v>0</v>
      </c>
      <c r="S98" s="534" t="s">
        <v>6</v>
      </c>
      <c r="T98" s="421">
        <f>T70</f>
        <v>6.5600000000000001E-4</v>
      </c>
      <c r="U98" s="473">
        <f>ROUND(R98*T98,2)</f>
        <v>0</v>
      </c>
    </row>
    <row r="99" spans="1:21" x14ac:dyDescent="0.25">
      <c r="A99" s="530"/>
      <c r="B99" s="529"/>
      <c r="C99" s="529"/>
      <c r="D99" s="529"/>
      <c r="E99" s="527"/>
      <c r="F99" s="276"/>
      <c r="G99" s="528"/>
      <c r="H99" s="422"/>
      <c r="I99" s="101"/>
      <c r="N99" s="533"/>
      <c r="O99" s="533"/>
      <c r="P99" s="533"/>
      <c r="Q99" s="44"/>
      <c r="R99" s="535"/>
      <c r="S99" s="534"/>
      <c r="T99" s="421"/>
      <c r="U99" s="477"/>
    </row>
    <row r="100" spans="1:21" x14ac:dyDescent="0.25">
      <c r="A100" s="530"/>
      <c r="B100" s="529"/>
      <c r="C100" s="529"/>
      <c r="D100" s="529"/>
      <c r="E100" s="527"/>
      <c r="F100" s="276"/>
      <c r="G100" s="528"/>
      <c r="H100" s="422"/>
      <c r="I100" s="101"/>
      <c r="N100" s="533"/>
      <c r="O100" s="533"/>
      <c r="P100" s="533"/>
      <c r="Q100" s="44"/>
      <c r="R100" s="420"/>
      <c r="S100" s="534"/>
      <c r="T100" s="421"/>
      <c r="U100" s="103"/>
    </row>
    <row r="101" spans="1:21" x14ac:dyDescent="0.25">
      <c r="A101" s="399" t="s">
        <v>498</v>
      </c>
      <c r="N101" s="407" t="s">
        <v>498</v>
      </c>
      <c r="O101" s="51"/>
      <c r="P101" s="51"/>
      <c r="Q101" s="51"/>
      <c r="R101" s="51"/>
      <c r="S101" s="51"/>
      <c r="T101" s="51"/>
      <c r="U101" s="51"/>
    </row>
    <row r="102" spans="1:21" x14ac:dyDescent="0.25">
      <c r="B102" s="69"/>
      <c r="C102" s="563" t="s">
        <v>60</v>
      </c>
      <c r="D102" s="563"/>
      <c r="E102" s="69"/>
      <c r="F102" s="39" t="s">
        <v>28</v>
      </c>
      <c r="G102" s="69"/>
      <c r="H102" s="69"/>
      <c r="I102" s="69"/>
      <c r="N102" s="45"/>
      <c r="O102" s="45"/>
      <c r="P102" s="45"/>
      <c r="Q102" s="45"/>
      <c r="R102" s="45"/>
      <c r="S102" s="45"/>
      <c r="T102" s="45"/>
      <c r="U102" s="45"/>
    </row>
    <row r="103" spans="1:21" x14ac:dyDescent="0.25">
      <c r="A103" s="3"/>
      <c r="B103" s="118"/>
      <c r="C103" s="564" t="s">
        <v>101</v>
      </c>
      <c r="D103" s="564"/>
      <c r="E103" s="423" t="s">
        <v>426</v>
      </c>
      <c r="F103" s="120" t="s">
        <v>106</v>
      </c>
      <c r="G103" s="121"/>
      <c r="H103" s="121"/>
      <c r="I103" s="121"/>
      <c r="N103" s="631" t="s">
        <v>35</v>
      </c>
      <c r="O103" s="631"/>
      <c r="P103" s="672" t="s">
        <v>428</v>
      </c>
      <c r="Q103" s="633"/>
      <c r="R103" s="604" t="s">
        <v>31</v>
      </c>
      <c r="S103" s="604"/>
      <c r="T103" s="604"/>
      <c r="U103" s="604"/>
    </row>
    <row r="104" spans="1:21" x14ac:dyDescent="0.25">
      <c r="A104" s="26"/>
      <c r="B104" s="52" t="s">
        <v>105</v>
      </c>
      <c r="C104" s="596">
        <f>H14+H15+H20+H23+H26</f>
        <v>297.91989999999998</v>
      </c>
      <c r="D104" s="596"/>
      <c r="E104" s="46">
        <f>H8</f>
        <v>1.0407999999999999</v>
      </c>
      <c r="F104" s="303">
        <f>'1461'!F104</f>
        <v>950.92</v>
      </c>
      <c r="G104" s="39" t="s">
        <v>12</v>
      </c>
      <c r="H104" s="101">
        <f>ROUND(C104*E104*F104,2)</f>
        <v>294856.55</v>
      </c>
      <c r="I104" s="104"/>
      <c r="N104" s="28" t="s">
        <v>17</v>
      </c>
      <c r="O104" s="47">
        <f>T14+T15+T20+T23+T26</f>
        <v>71.28</v>
      </c>
      <c r="P104" s="611">
        <f>T8</f>
        <v>1.0407999999999999</v>
      </c>
      <c r="Q104" s="611"/>
      <c r="R104" s="48">
        <f>F104</f>
        <v>950.92</v>
      </c>
      <c r="S104" s="40" t="s">
        <v>12</v>
      </c>
      <c r="T104" s="479">
        <f>ROUND(O104*P104*R104,2)</f>
        <v>70547.070000000007</v>
      </c>
      <c r="U104" s="102"/>
    </row>
    <row r="105" spans="1:21" x14ac:dyDescent="0.25">
      <c r="A105" s="49"/>
      <c r="B105" s="49" t="s">
        <v>104</v>
      </c>
      <c r="C105" s="596">
        <f>H16+H17+H21+H24+H27</f>
        <v>293.37740000000002</v>
      </c>
      <c r="D105" s="596"/>
      <c r="E105" s="46">
        <f>H8</f>
        <v>1.0407999999999999</v>
      </c>
      <c r="F105" s="303">
        <f>'1461'!F105</f>
        <v>907.92</v>
      </c>
      <c r="G105" s="39" t="s">
        <v>12</v>
      </c>
      <c r="H105" s="101">
        <f>ROUND(C105*E105*F105,2)</f>
        <v>277230.83</v>
      </c>
      <c r="N105" s="50" t="s">
        <v>13</v>
      </c>
      <c r="O105" s="47">
        <f>T16+T17+T21+T24+T27</f>
        <v>66.58</v>
      </c>
      <c r="P105" s="611">
        <f>T8</f>
        <v>1.0407999999999999</v>
      </c>
      <c r="Q105" s="611"/>
      <c r="R105" s="48">
        <f>F105</f>
        <v>907.92</v>
      </c>
      <c r="S105" s="40" t="s">
        <v>12</v>
      </c>
      <c r="T105" s="479">
        <f>ROUND(O105*P105*R105,2)</f>
        <v>62915.65</v>
      </c>
      <c r="U105" s="51"/>
    </row>
    <row r="106" spans="1:21" ht="16.5" thickBot="1" x14ac:dyDescent="0.3">
      <c r="A106" s="52"/>
      <c r="B106" s="52" t="s">
        <v>103</v>
      </c>
      <c r="C106" s="596">
        <f>H18+H19+H22+H25+H28+H29</f>
        <v>0</v>
      </c>
      <c r="D106" s="596"/>
      <c r="E106" s="46">
        <f>H8</f>
        <v>1.0407999999999999</v>
      </c>
      <c r="F106" s="303">
        <f>'1461'!F106</f>
        <v>910.12</v>
      </c>
      <c r="G106" s="39" t="s">
        <v>12</v>
      </c>
      <c r="H106" s="94">
        <f>ROUND(C106*E106*F106,2)</f>
        <v>0</v>
      </c>
      <c r="N106" s="53" t="s">
        <v>14</v>
      </c>
      <c r="O106" s="54">
        <f>T18+T19+T22+T25+T28+T29</f>
        <v>0</v>
      </c>
      <c r="P106" s="611">
        <f>T8</f>
        <v>1.0407999999999999</v>
      </c>
      <c r="Q106" s="611"/>
      <c r="R106" s="48">
        <f>F106</f>
        <v>910.12</v>
      </c>
      <c r="S106" s="40" t="s">
        <v>12</v>
      </c>
      <c r="T106" s="479">
        <f>ROUND(O106*P106*R106,2)</f>
        <v>0</v>
      </c>
      <c r="U106" s="51"/>
    </row>
    <row r="107" spans="1:21" ht="16.5" thickBot="1" x14ac:dyDescent="0.3">
      <c r="A107" s="55"/>
      <c r="B107" s="122" t="s">
        <v>102</v>
      </c>
      <c r="C107" s="586">
        <f>SUM(C104:C106)</f>
        <v>591.29729999999995</v>
      </c>
      <c r="D107" s="586"/>
      <c r="E107" s="123"/>
      <c r="F107" s="123"/>
      <c r="G107" s="123"/>
      <c r="H107" s="124" t="s">
        <v>100</v>
      </c>
      <c r="I107" s="101">
        <f>IF(A1=75,0,H106+H105+H104)</f>
        <v>572087.38</v>
      </c>
      <c r="N107" s="56" t="s">
        <v>89</v>
      </c>
      <c r="O107" s="57">
        <f>SUM(O104:O106)</f>
        <v>137.86000000000001</v>
      </c>
      <c r="P107" s="612" t="s">
        <v>16</v>
      </c>
      <c r="Q107" s="613"/>
      <c r="R107" s="613"/>
      <c r="S107" s="613"/>
      <c r="T107" s="613"/>
      <c r="U107" s="473">
        <f>IF(N1=75,0,T106+T105+T104)</f>
        <v>133462.72</v>
      </c>
    </row>
    <row r="108" spans="1:21" ht="16.5" thickTop="1" x14ac:dyDescent="0.25">
      <c r="A108" s="555" t="s">
        <v>65</v>
      </c>
      <c r="B108" s="555"/>
      <c r="C108" s="555"/>
      <c r="D108" s="555"/>
      <c r="E108" s="555"/>
      <c r="F108" s="555"/>
      <c r="G108" s="555"/>
      <c r="H108" s="555"/>
      <c r="I108" s="555"/>
      <c r="N108" s="614" t="s">
        <v>65</v>
      </c>
      <c r="O108" s="614"/>
      <c r="P108" s="614"/>
      <c r="Q108" s="614"/>
      <c r="R108" s="614"/>
      <c r="S108" s="614"/>
      <c r="T108" s="614"/>
      <c r="U108" s="614"/>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0" t="s">
        <v>499</v>
      </c>
      <c r="C110" s="43"/>
      <c r="D110" s="69"/>
      <c r="E110" s="43" t="s">
        <v>32</v>
      </c>
      <c r="F110" s="556"/>
      <c r="G110" s="556"/>
      <c r="H110" s="556"/>
      <c r="I110" s="556"/>
      <c r="N110" s="600" t="s">
        <v>499</v>
      </c>
      <c r="O110" s="601"/>
      <c r="P110" s="601"/>
      <c r="Q110" s="615"/>
      <c r="R110" s="615"/>
      <c r="S110" s="615"/>
      <c r="T110" s="615"/>
      <c r="U110" s="103"/>
    </row>
    <row r="111" spans="1:21" x14ac:dyDescent="0.25">
      <c r="B111" s="69"/>
      <c r="C111" s="88" t="s">
        <v>494</v>
      </c>
      <c r="D111" s="333" t="s">
        <v>495</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57" t="s">
        <v>381</v>
      </c>
      <c r="B113" s="558"/>
      <c r="C113" s="143">
        <v>0</v>
      </c>
      <c r="D113" s="143">
        <v>0</v>
      </c>
      <c r="E113" s="116">
        <f>(C113+D113)/2</f>
        <v>0</v>
      </c>
      <c r="F113" s="126" t="s">
        <v>30</v>
      </c>
      <c r="G113" s="304">
        <f>'1461'!G113</f>
        <v>576</v>
      </c>
      <c r="I113" s="101">
        <f>ROUND(G113*E113,2)</f>
        <v>0</v>
      </c>
      <c r="N113" s="630" t="s">
        <v>52</v>
      </c>
      <c r="O113" s="630"/>
      <c r="P113" s="610">
        <f>IF(H133=1,E113,0)</f>
        <v>0</v>
      </c>
      <c r="Q113" s="610"/>
      <c r="R113" s="610"/>
      <c r="S113" s="83" t="s">
        <v>30</v>
      </c>
      <c r="T113" s="58">
        <f>G113</f>
        <v>576</v>
      </c>
      <c r="U113" s="473">
        <f>ROUND(T113*P113,2)</f>
        <v>0</v>
      </c>
    </row>
    <row r="114" spans="1:21" x14ac:dyDescent="0.25">
      <c r="A114" s="557" t="s">
        <v>382</v>
      </c>
      <c r="B114" s="558"/>
      <c r="C114" s="143">
        <v>0</v>
      </c>
      <c r="D114" s="143">
        <v>1</v>
      </c>
      <c r="E114" s="116">
        <f>(C114+D114)/2</f>
        <v>0.5</v>
      </c>
      <c r="F114" s="126" t="s">
        <v>30</v>
      </c>
      <c r="G114" s="304">
        <f>'1461'!G114</f>
        <v>1823</v>
      </c>
      <c r="I114" s="101">
        <f>ROUND(G114*E114,2)</f>
        <v>911.5</v>
      </c>
      <c r="N114" s="630" t="s">
        <v>64</v>
      </c>
      <c r="O114" s="630"/>
      <c r="P114" s="608"/>
      <c r="Q114" s="608"/>
      <c r="R114" s="608"/>
      <c r="S114" s="83" t="s">
        <v>30</v>
      </c>
      <c r="T114" s="58">
        <f>G114</f>
        <v>1823</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4" t="s">
        <v>430</v>
      </c>
      <c r="B117" s="578"/>
      <c r="C117" s="578"/>
      <c r="D117" s="69"/>
      <c r="E117" s="39" t="s">
        <v>300</v>
      </c>
      <c r="F117" s="563"/>
      <c r="G117" s="563"/>
      <c r="H117" s="563"/>
      <c r="I117" s="563"/>
      <c r="N117" s="600" t="s">
        <v>431</v>
      </c>
      <c r="O117" s="601"/>
      <c r="P117" s="601"/>
      <c r="Q117" s="601"/>
      <c r="R117" s="601"/>
      <c r="S117" s="601"/>
      <c r="T117" s="601"/>
      <c r="U117" s="601"/>
    </row>
    <row r="118" spans="1:21" hidden="1" x14ac:dyDescent="0.25">
      <c r="B118" s="69"/>
      <c r="C118" s="564" t="s">
        <v>66</v>
      </c>
      <c r="D118" s="564"/>
      <c r="E118" s="564"/>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5" t="s">
        <v>109</v>
      </c>
      <c r="G119" s="563"/>
      <c r="H119" s="37" t="s">
        <v>29</v>
      </c>
      <c r="I119" s="37"/>
      <c r="N119" s="45"/>
      <c r="O119" s="45"/>
      <c r="P119" s="45"/>
      <c r="Q119" s="45"/>
      <c r="R119" s="45"/>
      <c r="S119" s="45"/>
      <c r="T119" s="45"/>
      <c r="U119" s="45"/>
    </row>
    <row r="120" spans="1:21" hidden="1" x14ac:dyDescent="0.25">
      <c r="A120" s="564" t="s">
        <v>69</v>
      </c>
      <c r="B120" s="564"/>
      <c r="C120" s="90" t="s">
        <v>2</v>
      </c>
      <c r="D120" s="90" t="s">
        <v>2</v>
      </c>
      <c r="E120" s="59" t="s">
        <v>2</v>
      </c>
      <c r="F120" s="564" t="s">
        <v>28</v>
      </c>
      <c r="G120" s="564"/>
      <c r="H120" s="59" t="s">
        <v>28</v>
      </c>
      <c r="I120" s="59" t="s">
        <v>8</v>
      </c>
      <c r="N120" s="609" t="s">
        <v>53</v>
      </c>
      <c r="O120" s="609"/>
      <c r="P120" s="610" t="s">
        <v>66</v>
      </c>
      <c r="Q120" s="610"/>
      <c r="R120" s="609" t="s">
        <v>54</v>
      </c>
      <c r="S120" s="609"/>
      <c r="T120" s="60" t="s">
        <v>55</v>
      </c>
      <c r="U120" s="60" t="s">
        <v>8</v>
      </c>
    </row>
    <row r="121" spans="1:21" hidden="1" x14ac:dyDescent="0.25">
      <c r="A121" s="561" t="s">
        <v>56</v>
      </c>
      <c r="B121" s="561"/>
      <c r="C121" s="141">
        <v>0</v>
      </c>
      <c r="D121" s="141">
        <v>0</v>
      </c>
      <c r="E121" s="187">
        <f>IF(D30=0,C121*2,C121+D121)</f>
        <v>0</v>
      </c>
      <c r="F121" s="562">
        <v>0</v>
      </c>
      <c r="G121" s="562"/>
      <c r="H121" s="224">
        <f>IF(C121=0,0,125)</f>
        <v>0</v>
      </c>
      <c r="I121" s="101">
        <f>ROUND((H121+F121)*E121,2)</f>
        <v>0</v>
      </c>
      <c r="N121" s="601" t="s">
        <v>56</v>
      </c>
      <c r="O121" s="601"/>
      <c r="P121" s="608">
        <f>IF(H$133=1,C121,0)</f>
        <v>0</v>
      </c>
      <c r="Q121" s="608"/>
      <c r="R121" s="628">
        <f>F121</f>
        <v>0</v>
      </c>
      <c r="S121" s="628"/>
      <c r="T121" s="62">
        <f>H121</f>
        <v>0</v>
      </c>
      <c r="U121" s="96">
        <f>ROUND((T121+R121)*P121,0)</f>
        <v>0</v>
      </c>
    </row>
    <row r="122" spans="1:21" hidden="1" x14ac:dyDescent="0.25">
      <c r="A122" s="581" t="s">
        <v>57</v>
      </c>
      <c r="B122" s="581"/>
      <c r="C122" s="143">
        <v>0</v>
      </c>
      <c r="D122" s="143">
        <v>0</v>
      </c>
      <c r="E122" s="116">
        <f>IF(D31=0,C122*2,C122+D122)</f>
        <v>0</v>
      </c>
      <c r="F122" s="598">
        <f>ROUND(F121/2,2)</f>
        <v>0</v>
      </c>
      <c r="G122" s="598"/>
      <c r="H122" s="224">
        <f>IF(C122=0,0,62.5)</f>
        <v>0</v>
      </c>
      <c r="I122" s="101">
        <f>ROUND((H122+F122)*E122,2)</f>
        <v>0</v>
      </c>
      <c r="N122" s="601" t="s">
        <v>57</v>
      </c>
      <c r="O122" s="601"/>
      <c r="P122" s="608">
        <f>IF(H$133=1,C122,0)</f>
        <v>0</v>
      </c>
      <c r="Q122" s="608"/>
      <c r="R122" s="629">
        <f>ROUND(R121/2,2)</f>
        <v>0</v>
      </c>
      <c r="S122" s="629"/>
      <c r="T122" s="62">
        <f>H122</f>
        <v>0</v>
      </c>
      <c r="U122" s="96">
        <f>ROUND((T122+R122)*P122,0)</f>
        <v>0</v>
      </c>
    </row>
    <row r="123" spans="1:21" ht="16.5" hidden="1" thickBot="1" x14ac:dyDescent="0.3">
      <c r="A123" s="581" t="s">
        <v>58</v>
      </c>
      <c r="B123" s="581"/>
      <c r="C123" s="143">
        <v>0</v>
      </c>
      <c r="D123" s="143">
        <v>0</v>
      </c>
      <c r="E123" s="116">
        <f>IF(D32=0,C123*2,C123+D123)</f>
        <v>0</v>
      </c>
      <c r="F123" s="599"/>
      <c r="G123" s="599"/>
      <c r="H123" s="225">
        <f>IF(H121&gt;0,436,0)</f>
        <v>0</v>
      </c>
      <c r="I123" s="101">
        <f>ROUND(H123*E123,2)</f>
        <v>0</v>
      </c>
      <c r="N123" s="616" t="s">
        <v>58</v>
      </c>
      <c r="O123" s="616"/>
      <c r="P123" s="608">
        <f>IF(H$133=1,C123,0)</f>
        <v>0</v>
      </c>
      <c r="Q123" s="608"/>
      <c r="R123" s="609"/>
      <c r="S123" s="609"/>
      <c r="T123" s="64">
        <f>H123</f>
        <v>0</v>
      </c>
      <c r="U123" s="103">
        <f>ROUND(T123*P123,0)</f>
        <v>0</v>
      </c>
    </row>
    <row r="124" spans="1:21" ht="16.5" hidden="1" thickBot="1" x14ac:dyDescent="0.3">
      <c r="A124" s="563" t="s">
        <v>8</v>
      </c>
      <c r="B124" s="563"/>
      <c r="C124" s="65"/>
      <c r="D124" s="65"/>
      <c r="E124" s="65"/>
      <c r="F124" s="65"/>
      <c r="G124" s="65"/>
      <c r="H124" s="65"/>
      <c r="I124" s="97">
        <f>SUM(I121:I123)</f>
        <v>0</v>
      </c>
      <c r="N124" s="627" t="s">
        <v>8</v>
      </c>
      <c r="O124" s="627"/>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4" t="s">
        <v>432</v>
      </c>
      <c r="B126" s="578"/>
      <c r="C126" s="578"/>
      <c r="D126" s="69"/>
      <c r="E126" s="68" t="s">
        <v>34</v>
      </c>
      <c r="F126" s="597"/>
      <c r="G126" s="597"/>
      <c r="H126" s="597"/>
      <c r="I126" s="154">
        <v>0</v>
      </c>
      <c r="N126" s="600" t="s">
        <v>432</v>
      </c>
      <c r="O126" s="601"/>
      <c r="P126" s="601"/>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90" t="s">
        <v>8</v>
      </c>
      <c r="B128" s="590"/>
      <c r="C128" s="590"/>
      <c r="D128" s="590"/>
      <c r="E128" s="590"/>
      <c r="F128" s="590"/>
      <c r="G128" s="590"/>
      <c r="H128" s="590"/>
      <c r="I128" s="94">
        <f>SUM(I46,I66,I85,I88,I90,I92,I94,I96,I107,I113,I114,I124,I126)</f>
        <v>4532371.8900000006</v>
      </c>
      <c r="N128" s="453"/>
      <c r="O128" s="452"/>
      <c r="P128" s="452"/>
      <c r="Q128" s="306"/>
      <c r="R128" s="306"/>
      <c r="S128" s="306"/>
      <c r="T128" s="306"/>
      <c r="U128" s="480">
        <f>SUM(U30,U85,U88,U90,U92,U94,U96,U107,U113,U114,U124,U126)</f>
        <v>1096275.4000000001</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434</v>
      </c>
      <c r="B130" s="26"/>
      <c r="C130" s="26"/>
      <c r="D130" s="26"/>
      <c r="E130" s="26"/>
      <c r="F130" s="26"/>
      <c r="G130" s="26"/>
      <c r="H130" s="26"/>
      <c r="I130" s="101">
        <f>I128-I53</f>
        <v>4337820.24</v>
      </c>
      <c r="N130" s="600" t="s">
        <v>434</v>
      </c>
      <c r="O130" s="601"/>
      <c r="P130" s="601"/>
      <c r="Q130" s="601"/>
      <c r="R130" s="601"/>
      <c r="S130" s="601"/>
      <c r="T130" s="601"/>
      <c r="U130" s="132">
        <f>U128-U53</f>
        <v>1050916.0000000002</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4" t="s">
        <v>502</v>
      </c>
      <c r="B132" s="578"/>
      <c r="C132" s="578"/>
      <c r="D132" s="578"/>
      <c r="E132" s="578"/>
      <c r="F132" s="578"/>
      <c r="G132" s="578"/>
      <c r="H132" s="81" t="s">
        <v>333</v>
      </c>
      <c r="I132" s="134"/>
      <c r="N132" s="600" t="s">
        <v>502</v>
      </c>
      <c r="O132" s="601"/>
      <c r="P132" s="601"/>
      <c r="Q132" s="601"/>
      <c r="R132" s="601"/>
      <c r="S132" s="601"/>
      <c r="T132" s="601"/>
      <c r="U132" s="138"/>
    </row>
    <row r="133" spans="1:21" x14ac:dyDescent="0.25">
      <c r="A133" s="578" t="s">
        <v>70</v>
      </c>
      <c r="B133" s="578"/>
      <c r="C133" s="578"/>
      <c r="D133" s="578"/>
      <c r="E133" s="578"/>
      <c r="F133" s="578"/>
      <c r="G133" s="578"/>
      <c r="H133" s="70">
        <f>IF(E30=0,"",IF((E15+E17+SUM(E19:E25))/E30&gt;0.75,1,""))</f>
        <v>1</v>
      </c>
      <c r="I133" s="116">
        <f>U130</f>
        <v>1050916.0000000002</v>
      </c>
      <c r="N133" s="601" t="s">
        <v>70</v>
      </c>
      <c r="O133" s="601"/>
      <c r="P133" s="601"/>
      <c r="Q133" s="601"/>
      <c r="R133" s="601"/>
      <c r="S133" s="601"/>
      <c r="T133" s="601"/>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1050916.0000000002</v>
      </c>
      <c r="I135" s="94">
        <f>ROUND(IF(E30=0,0,IF(E30&gt;250,-(((250/E30)*H135)*IF(G135="H",0.02,0.05)),IF(G135="H",-0.02*H135,-0.05*H135))),2)</f>
        <v>-52545.8</v>
      </c>
      <c r="N135" s="626"/>
      <c r="O135" s="626"/>
      <c r="P135" s="626"/>
      <c r="Q135" s="626"/>
      <c r="R135" s="626"/>
      <c r="S135" s="626"/>
      <c r="T135" s="626"/>
      <c r="U135" s="626"/>
    </row>
    <row r="136" spans="1:21" x14ac:dyDescent="0.25">
      <c r="B136" s="69"/>
      <c r="C136" s="69"/>
      <c r="D136" s="69"/>
      <c r="E136" s="69"/>
      <c r="F136" s="69"/>
      <c r="G136" s="69"/>
      <c r="H136" s="65"/>
      <c r="I136" s="101"/>
      <c r="N136" s="624" t="s">
        <v>7</v>
      </c>
      <c r="O136" s="624"/>
      <c r="P136" s="624"/>
      <c r="Q136" s="624"/>
      <c r="R136" s="624"/>
      <c r="S136" s="624"/>
      <c r="T136" s="624"/>
      <c r="U136" s="624"/>
    </row>
    <row r="137" spans="1:21" x14ac:dyDescent="0.25">
      <c r="A137" s="309" t="s">
        <v>74</v>
      </c>
      <c r="B137" s="310"/>
      <c r="C137" s="310"/>
      <c r="D137" s="310"/>
      <c r="E137" s="310"/>
      <c r="F137" s="310"/>
      <c r="G137" s="310"/>
      <c r="H137" s="311"/>
      <c r="I137" s="312">
        <f>I128+I135</f>
        <v>4479826.0900000008</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Payments'!Q72</f>
        <v>0</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4479826.0900000008</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373318.84</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45" t="str">
        <f>'1461'!A152</f>
        <v>(a) Additional FTE includes FTE earned through Advanced Placement, International Baccalaureate, Advanced International Certificate of Education, Industry Certified Career</v>
      </c>
      <c r="B152" s="346"/>
      <c r="C152" s="346"/>
      <c r="D152" s="346"/>
      <c r="E152" s="346"/>
      <c r="F152" s="346"/>
      <c r="G152" s="346"/>
      <c r="H152" s="346"/>
      <c r="I152" s="346"/>
      <c r="J152" s="77"/>
      <c r="K152" s="76"/>
      <c r="L152" s="76"/>
      <c r="M152" s="76"/>
      <c r="N152" s="73"/>
      <c r="O152" s="73"/>
      <c r="P152" s="73"/>
      <c r="Q152" s="73"/>
      <c r="R152" s="73"/>
      <c r="S152" s="73"/>
      <c r="T152" s="73"/>
      <c r="U152" s="73"/>
    </row>
    <row r="153" spans="1:21" ht="15.75" customHeight="1" x14ac:dyDescent="0.25">
      <c r="A153" s="351" t="s">
        <v>372</v>
      </c>
      <c r="B153" s="346"/>
      <c r="C153" s="346"/>
      <c r="D153" s="346"/>
      <c r="E153" s="346"/>
      <c r="F153" s="346"/>
      <c r="G153" s="346"/>
      <c r="H153" s="346"/>
      <c r="I153" s="346"/>
      <c r="J153" s="77"/>
      <c r="K153" s="76"/>
      <c r="L153" s="76"/>
      <c r="M153" s="76"/>
      <c r="N153" s="73"/>
      <c r="O153" s="73"/>
      <c r="P153" s="73"/>
      <c r="Q153" s="73"/>
      <c r="R153" s="73"/>
      <c r="S153" s="73"/>
      <c r="T153" s="73"/>
      <c r="U153" s="73"/>
    </row>
    <row r="154" spans="1:21" x14ac:dyDescent="0.25">
      <c r="A154" s="345" t="s">
        <v>373</v>
      </c>
      <c r="B154" s="347"/>
      <c r="C154" s="347"/>
      <c r="D154" s="347"/>
      <c r="E154" s="347"/>
      <c r="F154" s="347"/>
      <c r="G154" s="347"/>
      <c r="H154" s="347"/>
      <c r="I154" s="347"/>
      <c r="J154" s="76"/>
      <c r="K154" s="76"/>
      <c r="L154" s="76"/>
      <c r="M154" s="76"/>
      <c r="N154" s="73"/>
      <c r="O154" s="73"/>
      <c r="P154" s="73"/>
      <c r="Q154" s="73"/>
      <c r="R154" s="73"/>
      <c r="S154" s="73"/>
      <c r="T154" s="73"/>
      <c r="U154" s="73"/>
    </row>
    <row r="155" spans="1:21" s="76" customFormat="1" x14ac:dyDescent="0.2">
      <c r="A155" s="345" t="s">
        <v>374</v>
      </c>
      <c r="B155" s="347"/>
      <c r="C155" s="347"/>
      <c r="D155" s="347"/>
      <c r="E155" s="347"/>
      <c r="F155" s="347"/>
      <c r="G155" s="347"/>
      <c r="H155" s="347"/>
      <c r="I155" s="347"/>
      <c r="N155" s="625"/>
      <c r="O155" s="625"/>
      <c r="P155" s="625"/>
      <c r="Q155" s="625"/>
      <c r="R155" s="625"/>
      <c r="S155" s="625"/>
      <c r="T155" s="625"/>
      <c r="U155" s="625"/>
    </row>
    <row r="156" spans="1:21" s="76" customFormat="1" x14ac:dyDescent="0.2">
      <c r="A156" s="345" t="s">
        <v>375</v>
      </c>
      <c r="B156" s="347"/>
      <c r="C156" s="347"/>
      <c r="D156" s="347"/>
      <c r="E156" s="347"/>
      <c r="F156" s="347"/>
      <c r="G156" s="347"/>
      <c r="H156" s="347"/>
      <c r="I156" s="347"/>
      <c r="N156" s="73"/>
      <c r="O156" s="73"/>
      <c r="P156" s="73"/>
      <c r="Q156" s="73"/>
      <c r="R156" s="73"/>
      <c r="S156" s="73"/>
      <c r="T156" s="73"/>
      <c r="U156" s="73"/>
    </row>
    <row r="157" spans="1:21" s="76" customFormat="1" x14ac:dyDescent="0.2">
      <c r="A157" s="345" t="s">
        <v>376</v>
      </c>
      <c r="B157" s="347"/>
      <c r="C157" s="347"/>
      <c r="D157" s="347"/>
      <c r="E157" s="347"/>
      <c r="F157" s="347"/>
      <c r="G157" s="347"/>
      <c r="H157" s="347"/>
      <c r="I157" s="347"/>
      <c r="N157" s="78"/>
      <c r="O157" s="79"/>
      <c r="P157" s="79"/>
      <c r="Q157" s="79"/>
      <c r="R157" s="79"/>
      <c r="S157" s="79"/>
      <c r="T157" s="79"/>
      <c r="U157" s="79"/>
    </row>
    <row r="158" spans="1:21" s="76" customFormat="1" x14ac:dyDescent="0.2">
      <c r="A158" s="345" t="s">
        <v>377</v>
      </c>
      <c r="B158" s="347"/>
      <c r="C158" s="347"/>
      <c r="D158" s="347"/>
      <c r="E158" s="347"/>
      <c r="F158" s="347"/>
      <c r="G158" s="347"/>
      <c r="H158" s="347"/>
      <c r="I158" s="347"/>
      <c r="N158" s="78"/>
    </row>
    <row r="159" spans="1:21" s="76" customFormat="1" x14ac:dyDescent="0.2">
      <c r="A159" s="345" t="s">
        <v>379</v>
      </c>
      <c r="B159" s="347"/>
      <c r="C159" s="347"/>
      <c r="D159" s="347"/>
      <c r="E159" s="347"/>
      <c r="F159" s="347"/>
      <c r="G159" s="347"/>
      <c r="H159" s="347"/>
      <c r="I159" s="347"/>
      <c r="N159" s="78"/>
    </row>
    <row r="160" spans="1:21" s="76" customFormat="1" x14ac:dyDescent="0.2">
      <c r="A160" s="351" t="s">
        <v>378</v>
      </c>
      <c r="B160" s="347"/>
      <c r="C160" s="347"/>
      <c r="D160" s="347"/>
      <c r="E160" s="347"/>
      <c r="F160" s="347"/>
      <c r="G160" s="347"/>
      <c r="H160" s="347"/>
      <c r="I160" s="347"/>
      <c r="N160" s="78"/>
    </row>
    <row r="161" spans="1:14" s="76" customFormat="1" x14ac:dyDescent="0.2">
      <c r="A161" s="345" t="s">
        <v>380</v>
      </c>
      <c r="B161" s="347"/>
      <c r="C161" s="347"/>
      <c r="D161" s="347"/>
      <c r="E161" s="347"/>
      <c r="F161" s="347"/>
      <c r="G161" s="347"/>
      <c r="H161" s="347"/>
      <c r="I161" s="347"/>
      <c r="N161" s="78"/>
    </row>
    <row r="162" spans="1:14" s="76" customFormat="1" x14ac:dyDescent="0.2">
      <c r="A162" s="351" t="str">
        <f>'1461'!A162</f>
        <v>"All Adjusted ESE Riders" should include only ESE Riders.</v>
      </c>
      <c r="B162" s="347"/>
      <c r="C162" s="347"/>
      <c r="D162" s="347"/>
      <c r="E162" s="347"/>
      <c r="F162" s="347"/>
      <c r="G162" s="347"/>
      <c r="H162" s="347"/>
      <c r="I162" s="347"/>
      <c r="N162" s="78"/>
    </row>
    <row r="163" spans="1:14" s="76" customFormat="1" x14ac:dyDescent="0.2">
      <c r="A163" s="345" t="s">
        <v>383</v>
      </c>
      <c r="B163" s="347"/>
      <c r="C163" s="347"/>
      <c r="D163" s="347"/>
      <c r="E163" s="347"/>
      <c r="F163" s="347"/>
      <c r="G163" s="347"/>
      <c r="H163" s="347"/>
      <c r="I163" s="347"/>
      <c r="N163" s="78"/>
    </row>
    <row r="164" spans="1:14" s="76" customFormat="1" ht="15.75" customHeight="1" x14ac:dyDescent="0.2">
      <c r="A164" s="345" t="str">
        <f>'1461'!A164</f>
        <v xml:space="preserve">(j) Funding based on student eligibility and meals provided, if participating in the National School Lunch Program. </v>
      </c>
      <c r="B164" s="347"/>
      <c r="C164" s="347"/>
      <c r="D164" s="347"/>
      <c r="E164" s="347"/>
      <c r="F164" s="347"/>
      <c r="G164" s="347"/>
      <c r="H164" s="347"/>
      <c r="I164" s="347"/>
      <c r="N164" s="78"/>
    </row>
    <row r="165" spans="1:14" s="76" customFormat="1" ht="15.75" customHeight="1" x14ac:dyDescent="0.2">
      <c r="A165" s="345" t="s">
        <v>385</v>
      </c>
      <c r="B165" s="347"/>
      <c r="C165" s="347"/>
      <c r="D165" s="347"/>
      <c r="E165" s="347"/>
      <c r="F165" s="347"/>
      <c r="G165" s="347"/>
      <c r="H165" s="347"/>
      <c r="I165" s="347"/>
      <c r="N165" s="78"/>
    </row>
    <row r="166" spans="1:14" s="76" customFormat="1" ht="15.75" customHeight="1" x14ac:dyDescent="0.2">
      <c r="A166" s="351" t="s">
        <v>384</v>
      </c>
      <c r="B166" s="347"/>
      <c r="C166" s="347"/>
      <c r="D166" s="347"/>
      <c r="E166" s="347"/>
      <c r="F166" s="347"/>
      <c r="G166" s="347"/>
      <c r="H166" s="347"/>
      <c r="I166" s="347"/>
      <c r="N166" s="78"/>
    </row>
    <row r="167" spans="1:14" s="76" customFormat="1" ht="15.75" customHeight="1" x14ac:dyDescent="0.2">
      <c r="A167" s="345" t="s">
        <v>386</v>
      </c>
      <c r="B167" s="347"/>
      <c r="C167" s="347"/>
      <c r="D167" s="347"/>
      <c r="E167" s="347"/>
      <c r="F167" s="347"/>
      <c r="G167" s="347"/>
      <c r="H167" s="347"/>
      <c r="I167" s="347"/>
      <c r="N167" s="78"/>
    </row>
    <row r="168" spans="1:14" s="76" customFormat="1" ht="15.75" customHeight="1" x14ac:dyDescent="0.2">
      <c r="A168" s="351" t="str">
        <f>'1461'!A168</f>
        <v xml:space="preserve">unweighted full-time equivalent students. </v>
      </c>
      <c r="B168" s="347"/>
      <c r="C168" s="347"/>
      <c r="D168" s="347"/>
      <c r="E168" s="347"/>
      <c r="F168" s="347"/>
      <c r="G168" s="347"/>
      <c r="H168" s="347"/>
      <c r="I168" s="347"/>
      <c r="N168" s="78"/>
    </row>
    <row r="169" spans="1:14" s="76" customFormat="1" ht="15.75" customHeight="1" x14ac:dyDescent="0.2">
      <c r="A169" s="345" t="s">
        <v>388</v>
      </c>
      <c r="B169" s="347"/>
      <c r="C169" s="347"/>
      <c r="D169" s="347"/>
      <c r="E169" s="347"/>
      <c r="F169" s="347"/>
      <c r="G169" s="347"/>
      <c r="H169" s="347"/>
      <c r="I169" s="347"/>
      <c r="N169" s="78"/>
    </row>
    <row r="170" spans="1:14" s="76" customFormat="1" ht="15.75" customHeight="1" x14ac:dyDescent="0.2">
      <c r="A170" s="351" t="s">
        <v>387</v>
      </c>
      <c r="B170" s="347"/>
      <c r="C170" s="347"/>
      <c r="D170" s="347"/>
      <c r="E170" s="347"/>
      <c r="F170" s="347"/>
      <c r="G170" s="347"/>
      <c r="H170" s="347"/>
      <c r="I170" s="347"/>
      <c r="N170" s="78"/>
    </row>
    <row r="171" spans="1:14" s="76" customFormat="1" ht="15.75" customHeight="1" x14ac:dyDescent="0.2">
      <c r="A171" s="345"/>
      <c r="B171" s="347"/>
      <c r="C171" s="347"/>
      <c r="D171" s="347"/>
      <c r="E171" s="347"/>
      <c r="F171" s="347"/>
      <c r="G171" s="347"/>
      <c r="H171" s="347"/>
      <c r="I171" s="347"/>
      <c r="N171" s="78"/>
    </row>
    <row r="172" spans="1:14" s="76" customFormat="1" ht="15.75" customHeight="1" x14ac:dyDescent="0.25">
      <c r="A172" s="358" t="str">
        <f>'1461'!A172</f>
        <v>Administrative fees:</v>
      </c>
      <c r="B172" s="347"/>
      <c r="C172" s="347"/>
      <c r="D172" s="347"/>
      <c r="E172" s="347"/>
      <c r="F172" s="347"/>
      <c r="G172" s="347"/>
      <c r="H172" s="347"/>
      <c r="I172" s="347"/>
      <c r="J172" s="3"/>
      <c r="K172" s="3"/>
      <c r="L172" s="3"/>
      <c r="M172" s="3"/>
      <c r="N172" s="78"/>
    </row>
    <row r="173" spans="1:14" s="76" customFormat="1" ht="15.75" customHeight="1" x14ac:dyDescent="0.25">
      <c r="A173" s="362" t="str">
        <f>'1461'!A173</f>
        <v xml:space="preserve">Administrative fees charged by the school district pursuant to s. 1002.33(20)(a), F.S., shall be calculated based upon 5% of available funds from the FEFP and categorical </v>
      </c>
      <c r="B173" s="350"/>
      <c r="C173" s="350"/>
      <c r="D173" s="350"/>
      <c r="E173" s="350"/>
      <c r="F173" s="350"/>
      <c r="G173" s="350"/>
      <c r="H173" s="350"/>
      <c r="I173" s="350"/>
      <c r="J173" s="3"/>
      <c r="K173" s="3"/>
      <c r="L173" s="3"/>
      <c r="M173" s="3"/>
      <c r="N173" s="78"/>
    </row>
    <row r="174" spans="1:14" s="76" customFormat="1" ht="15.75" customHeight="1" x14ac:dyDescent="0.25">
      <c r="A174" s="363" t="str">
        <f>'1461'!A174</f>
        <v>funding for which charter students may be eligible.  To calculate the administrative fee to be withheld for schools with more than 250 students, divide the school</v>
      </c>
      <c r="B174" s="357"/>
      <c r="C174" s="357"/>
      <c r="D174" s="357"/>
      <c r="E174" s="357"/>
      <c r="F174" s="357"/>
      <c r="G174" s="357"/>
      <c r="H174" s="357"/>
      <c r="I174" s="357"/>
      <c r="J174" s="3"/>
      <c r="K174" s="3"/>
      <c r="L174" s="3"/>
      <c r="M174" s="3"/>
      <c r="N174" s="78"/>
    </row>
    <row r="175" spans="1:14" s="76" customFormat="1" ht="15.75" customHeight="1" x14ac:dyDescent="0.25">
      <c r="A175" s="363" t="s">
        <v>389</v>
      </c>
      <c r="B175" s="357"/>
      <c r="C175" s="357"/>
      <c r="D175" s="357"/>
      <c r="E175" s="357"/>
      <c r="F175" s="357"/>
      <c r="G175" s="357"/>
      <c r="H175" s="357"/>
      <c r="I175" s="357"/>
      <c r="J175" s="3"/>
      <c r="K175" s="3"/>
      <c r="L175" s="3"/>
      <c r="M175" s="3"/>
      <c r="N175" s="78"/>
    </row>
    <row r="176" spans="1:14" s="76" customFormat="1" ht="15.75" customHeight="1" x14ac:dyDescent="0.2">
      <c r="A176" s="363" t="s">
        <v>390</v>
      </c>
      <c r="B176" s="357"/>
      <c r="C176" s="357"/>
      <c r="D176" s="357"/>
      <c r="E176" s="357"/>
      <c r="F176" s="357"/>
      <c r="G176" s="357"/>
      <c r="H176" s="357"/>
      <c r="I176" s="357"/>
      <c r="N176" s="78"/>
    </row>
    <row r="177" spans="1:21" s="76" customFormat="1" ht="15.75" customHeight="1" x14ac:dyDescent="0.2">
      <c r="A177" s="362"/>
      <c r="B177" s="357"/>
      <c r="C177" s="357"/>
      <c r="D177" s="357"/>
      <c r="E177" s="357"/>
      <c r="F177" s="357"/>
      <c r="G177" s="357"/>
      <c r="H177" s="357"/>
      <c r="I177" s="357"/>
      <c r="N177" s="78"/>
    </row>
    <row r="178" spans="1:21" ht="15.75" customHeight="1" x14ac:dyDescent="0.25">
      <c r="A178" s="362" t="str">
        <f>'1461'!A178</f>
        <v xml:space="preserve">For high performing charter schools, administrative fees charged by the school district shall be calculated based upon 2% of available funds from the FEFP and categorical </v>
      </c>
      <c r="B178" s="350"/>
      <c r="C178" s="350"/>
      <c r="D178" s="350"/>
      <c r="E178" s="350"/>
      <c r="F178" s="350"/>
      <c r="G178" s="350"/>
      <c r="H178" s="350"/>
      <c r="I178" s="350"/>
      <c r="J178" s="76"/>
      <c r="K178" s="76"/>
      <c r="L178" s="76"/>
      <c r="M178" s="76"/>
      <c r="N178" s="78"/>
      <c r="O178" s="76"/>
      <c r="P178" s="76"/>
      <c r="Q178" s="76"/>
      <c r="R178" s="76"/>
      <c r="S178" s="76"/>
      <c r="T178" s="76"/>
      <c r="U178" s="76"/>
    </row>
    <row r="179" spans="1:21" ht="15.75" customHeight="1" x14ac:dyDescent="0.25">
      <c r="A179" s="363" t="str">
        <f>'1461'!A179</f>
        <v>funding for which charter students may be eligible.  To calculate the administrative fee to be withheld for schools with more than 250 students, divide the school</v>
      </c>
      <c r="B179" s="350"/>
      <c r="C179" s="350"/>
      <c r="D179" s="350"/>
      <c r="E179" s="350"/>
      <c r="F179" s="350"/>
      <c r="G179" s="350"/>
      <c r="H179" s="350"/>
      <c r="I179" s="350"/>
      <c r="J179" s="76"/>
      <c r="K179" s="76"/>
      <c r="L179" s="76"/>
      <c r="M179" s="76"/>
      <c r="N179" s="74"/>
    </row>
    <row r="180" spans="1:21" s="76" customFormat="1" ht="15.75" customHeight="1" x14ac:dyDescent="0.25">
      <c r="A180" s="363" t="str">
        <f>'1461'!A180</f>
        <v xml:space="preserve">population into 250. Multiply that fraction times the funds available, then times 2%.  </v>
      </c>
      <c r="B180" s="350"/>
      <c r="C180" s="350"/>
      <c r="D180" s="350"/>
      <c r="E180" s="350"/>
      <c r="F180" s="350"/>
      <c r="G180" s="350"/>
      <c r="H180" s="350"/>
      <c r="I180" s="350"/>
      <c r="N180" s="74"/>
      <c r="O180" s="3"/>
      <c r="P180" s="3"/>
      <c r="Q180" s="3"/>
      <c r="R180" s="3"/>
      <c r="S180" s="3"/>
      <c r="T180" s="3"/>
      <c r="U180" s="3"/>
    </row>
    <row r="181" spans="1:21" x14ac:dyDescent="0.25">
      <c r="A181" s="345"/>
      <c r="B181" s="350"/>
      <c r="C181" s="350"/>
      <c r="D181" s="350"/>
      <c r="E181" s="350"/>
      <c r="F181" s="350"/>
      <c r="G181" s="350"/>
      <c r="H181" s="350"/>
      <c r="I181" s="350"/>
      <c r="N181" s="78"/>
      <c r="O181" s="76"/>
      <c r="P181" s="76"/>
      <c r="Q181" s="76"/>
      <c r="R181" s="76"/>
      <c r="S181" s="76"/>
      <c r="T181" s="76"/>
      <c r="U181" s="76"/>
    </row>
    <row r="182" spans="1:21" x14ac:dyDescent="0.25">
      <c r="A182" s="358" t="str">
        <f>'1461'!A182</f>
        <v>Other:</v>
      </c>
      <c r="B182" s="356"/>
      <c r="C182" s="356"/>
      <c r="D182" s="356"/>
      <c r="E182" s="356"/>
      <c r="F182" s="356"/>
      <c r="G182" s="356"/>
      <c r="H182" s="356"/>
      <c r="I182" s="356"/>
      <c r="N182" s="78"/>
      <c r="O182" s="76"/>
      <c r="P182" s="76"/>
      <c r="Q182" s="76"/>
      <c r="R182" s="76"/>
      <c r="S182" s="76"/>
      <c r="T182" s="76"/>
      <c r="U182" s="76"/>
    </row>
    <row r="183" spans="1:21" x14ac:dyDescent="0.25">
      <c r="A183" s="362" t="str">
        <f>'1461'!A183</f>
        <v>FEFP and categorical funding are recalculated during the year to reflect the revised number of full-time equivalent students reported during the survey periods designated</v>
      </c>
      <c r="B183" s="350"/>
      <c r="C183" s="350"/>
      <c r="D183" s="350"/>
      <c r="E183" s="350"/>
      <c r="F183" s="350"/>
      <c r="G183" s="350"/>
      <c r="H183" s="350"/>
      <c r="I183" s="350"/>
      <c r="N183" s="78"/>
      <c r="O183" s="76"/>
      <c r="P183" s="76"/>
      <c r="Q183" s="76"/>
      <c r="R183" s="76"/>
      <c r="S183" s="76"/>
      <c r="T183" s="76"/>
      <c r="U183" s="76"/>
    </row>
    <row r="184" spans="1:21" x14ac:dyDescent="0.25">
      <c r="A184" s="363" t="str">
        <f>'1461'!A184</f>
        <v>by the Commissioner of Education.</v>
      </c>
      <c r="B184" s="357"/>
      <c r="C184" s="357"/>
      <c r="D184" s="357"/>
      <c r="E184" s="357"/>
      <c r="F184" s="357"/>
      <c r="G184" s="357"/>
      <c r="H184" s="357"/>
      <c r="I184" s="357"/>
      <c r="N184" s="74"/>
    </row>
    <row r="185" spans="1:21" x14ac:dyDescent="0.25">
      <c r="A185" s="362" t="str">
        <f>'1461'!A185</f>
        <v>Revenues flow to districts from state sources and from county tax collectors on various distribution schedules.</v>
      </c>
      <c r="B185" s="350"/>
      <c r="C185" s="350"/>
      <c r="D185" s="350"/>
      <c r="E185" s="350"/>
      <c r="F185" s="350"/>
      <c r="G185" s="350"/>
      <c r="H185" s="350"/>
      <c r="I185" s="350"/>
      <c r="N185" s="74"/>
    </row>
    <row r="186" spans="1:21" x14ac:dyDescent="0.25">
      <c r="A186" s="293"/>
      <c r="B186" s="293"/>
      <c r="C186" s="293"/>
      <c r="D186" s="293"/>
      <c r="E186" s="293"/>
      <c r="F186" s="293"/>
      <c r="G186" s="293"/>
      <c r="H186" s="293"/>
      <c r="I186" s="293"/>
      <c r="N186" s="74"/>
    </row>
    <row r="187" spans="1:21" x14ac:dyDescent="0.25">
      <c r="A187" s="74"/>
      <c r="N187" s="74"/>
    </row>
    <row r="188" spans="1:21" x14ac:dyDescent="0.25">
      <c r="A188" s="74"/>
      <c r="N188" s="74"/>
    </row>
    <row r="189" spans="1:21" x14ac:dyDescent="0.25">
      <c r="A189" s="74"/>
      <c r="N189" s="74"/>
    </row>
    <row r="190" spans="1:21" x14ac:dyDescent="0.25">
      <c r="A190" s="74"/>
      <c r="B190" s="135"/>
      <c r="C190" s="135"/>
      <c r="D190" s="135"/>
      <c r="E190" s="135"/>
      <c r="F190" s="135"/>
      <c r="G190" s="135"/>
      <c r="H190" s="135"/>
      <c r="I190" s="135"/>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4:B124"/>
    <mergeCell ref="R121:S121"/>
    <mergeCell ref="A122:B122"/>
    <mergeCell ref="F122:G122"/>
    <mergeCell ref="N122:O122"/>
    <mergeCell ref="P122:Q122"/>
    <mergeCell ref="N155:U155"/>
    <mergeCell ref="N135:U135"/>
    <mergeCell ref="N126:P126"/>
    <mergeCell ref="A126:C126"/>
    <mergeCell ref="F126:H126"/>
    <mergeCell ref="N130:T130"/>
    <mergeCell ref="A128:H128"/>
    <mergeCell ref="A132:G132"/>
    <mergeCell ref="A133:G133"/>
    <mergeCell ref="N136:U136"/>
    <mergeCell ref="A123:B123"/>
    <mergeCell ref="F123:G123"/>
    <mergeCell ref="N123:O123"/>
    <mergeCell ref="P123:Q123"/>
    <mergeCell ref="R123:S123"/>
    <mergeCell ref="R122:S122"/>
    <mergeCell ref="A121:B121"/>
    <mergeCell ref="F121:G121"/>
    <mergeCell ref="F110:I110"/>
    <mergeCell ref="N110:P110"/>
    <mergeCell ref="Q110:T110"/>
    <mergeCell ref="R120:S120"/>
    <mergeCell ref="A113:B113"/>
    <mergeCell ref="N113:O113"/>
    <mergeCell ref="P113:R113"/>
    <mergeCell ref="A114:B114"/>
    <mergeCell ref="N114:O114"/>
    <mergeCell ref="P114:R114"/>
    <mergeCell ref="A117:C117"/>
    <mergeCell ref="F117:I117"/>
    <mergeCell ref="N117:U117"/>
    <mergeCell ref="C118:E118"/>
    <mergeCell ref="F119:G119"/>
    <mergeCell ref="A120:B120"/>
    <mergeCell ref="F120:G120"/>
    <mergeCell ref="N120:O120"/>
    <mergeCell ref="P120:Q120"/>
    <mergeCell ref="C104:D104"/>
    <mergeCell ref="P104:Q104"/>
    <mergeCell ref="C105:D105"/>
    <mergeCell ref="P105:Q105"/>
    <mergeCell ref="C106:D106"/>
    <mergeCell ref="P106:Q106"/>
    <mergeCell ref="C107:D107"/>
    <mergeCell ref="P107:T107"/>
    <mergeCell ref="A108:I108"/>
    <mergeCell ref="N108:U108"/>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A78:B78"/>
    <mergeCell ref="D78:G78"/>
    <mergeCell ref="N78:O78"/>
    <mergeCell ref="Q78:S78"/>
    <mergeCell ref="T78:U78"/>
    <mergeCell ref="N79:S79"/>
    <mergeCell ref="T79:U79"/>
    <mergeCell ref="A57:B65"/>
    <mergeCell ref="F66:H66"/>
    <mergeCell ref="P65:Q65"/>
    <mergeCell ref="P66:Q66"/>
    <mergeCell ref="R66:T66"/>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N132:T132"/>
    <mergeCell ref="N133:T133"/>
    <mergeCell ref="P56:Q56"/>
    <mergeCell ref="P57:Q57"/>
    <mergeCell ref="P58:Q58"/>
    <mergeCell ref="P59:Q59"/>
    <mergeCell ref="P60:Q60"/>
    <mergeCell ref="P61:Q61"/>
    <mergeCell ref="P62:Q62"/>
    <mergeCell ref="P63:Q63"/>
    <mergeCell ref="P64:Q64"/>
    <mergeCell ref="N88:P88"/>
    <mergeCell ref="N76:S76"/>
    <mergeCell ref="T76:U76"/>
    <mergeCell ref="N124:O124"/>
    <mergeCell ref="N121:O121"/>
    <mergeCell ref="P121:Q121"/>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52</vt:i4>
      </vt:variant>
      <vt:variant>
        <vt:lpstr>Named Ranges</vt:lpstr>
      </vt:variant>
      <vt:variant>
        <vt:i4>6</vt:i4>
      </vt:variant>
    </vt:vector>
  </HeadingPairs>
  <TitlesOfParts>
    <vt:vector size="58" baseType="lpstr">
      <vt:lpstr>Net Payment</vt:lpstr>
      <vt:lpstr>Charter Schools</vt:lpstr>
      <vt:lpstr>Consolidated</vt:lpstr>
      <vt:lpstr>Cumulative Payments</vt:lpstr>
      <vt:lpstr>1461</vt:lpstr>
      <vt:lpstr>1571</vt:lpstr>
      <vt:lpstr>2521</vt:lpstr>
      <vt:lpstr>2531</vt:lpstr>
      <vt:lpstr>2791</vt:lpstr>
      <vt:lpstr>2801</vt:lpstr>
      <vt:lpstr>2911</vt:lpstr>
      <vt:lpstr>2941</vt:lpstr>
      <vt:lpstr>3083</vt:lpstr>
      <vt:lpstr>3345</vt:lpstr>
      <vt:lpstr>3381</vt:lpstr>
      <vt:lpstr>3382</vt:lpstr>
      <vt:lpstr>3391</vt:lpstr>
      <vt:lpstr>3394</vt:lpstr>
      <vt:lpstr>3395</vt:lpstr>
      <vt:lpstr>3396</vt:lpstr>
      <vt:lpstr>3398</vt:lpstr>
      <vt:lpstr>3400</vt:lpstr>
      <vt:lpstr>3401</vt:lpstr>
      <vt:lpstr>3413</vt:lpstr>
      <vt:lpstr>3421</vt:lpstr>
      <vt:lpstr>3431</vt:lpstr>
      <vt:lpstr>3441</vt:lpstr>
      <vt:lpstr>3924</vt:lpstr>
      <vt:lpstr>3941</vt:lpstr>
      <vt:lpstr>3961</vt:lpstr>
      <vt:lpstr>3971</vt:lpstr>
      <vt:lpstr>4001</vt:lpstr>
      <vt:lpstr>4002</vt:lpstr>
      <vt:lpstr>4012</vt:lpstr>
      <vt:lpstr>4013</vt:lpstr>
      <vt:lpstr>4020</vt:lpstr>
      <vt:lpstr>4030</vt:lpstr>
      <vt:lpstr>4031</vt:lpstr>
      <vt:lpstr>4041</vt:lpstr>
      <vt:lpstr>4050</vt:lpstr>
      <vt:lpstr>4051</vt:lpstr>
      <vt:lpstr>4061</vt:lpstr>
      <vt:lpstr>4080</vt:lpstr>
      <vt:lpstr>4081</vt:lpstr>
      <vt:lpstr>4090</vt:lpstr>
      <vt:lpstr>4091</vt:lpstr>
      <vt:lpstr>4100</vt:lpstr>
      <vt:lpstr>4102</vt:lpstr>
      <vt:lpstr>4103</vt:lpstr>
      <vt:lpstr>4111</vt:lpstr>
      <vt:lpstr>4131</vt:lpstr>
      <vt:lpstr>Virtual</vt:lpstr>
      <vt:lpstr>'1461'!Print_Area</vt:lpstr>
      <vt:lpstr>Consolidated!Print_Area</vt:lpstr>
      <vt:lpstr>'Net Payment'!Print_Area</vt:lpstr>
      <vt:lpstr>Virtual!Print_Area</vt:lpstr>
      <vt:lpstr>'1461'!Print_Titles</vt:lpstr>
      <vt:lpstr>'Net Payment'!Print_Titles</vt:lpstr>
    </vt:vector>
  </TitlesOfParts>
  <Company>DEPARTMENT OF EDUCATION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LeeDavis</dc:creator>
  <cp:lastModifiedBy>Fred Passelli</cp:lastModifiedBy>
  <cp:lastPrinted>2024-06-04T21:30:04Z</cp:lastPrinted>
  <dcterms:created xsi:type="dcterms:W3CDTF">1998-02-12T20:21:54Z</dcterms:created>
  <dcterms:modified xsi:type="dcterms:W3CDTF">2024-07-11T16:15:56Z</dcterms:modified>
</cp:coreProperties>
</file>