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sandranaylon\Desktop\"/>
    </mc:Choice>
  </mc:AlternateContent>
  <xr:revisionPtr revIDLastSave="0" documentId="8_{9B441767-0A7F-43C4-88A2-55B417BAA55B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</workbook>
</file>

<file path=xl/calcChain.xml><?xml version="1.0" encoding="utf-8"?>
<calcChain xmlns="http://schemas.openxmlformats.org/spreadsheetml/2006/main">
  <c r="AP78" i="1" l="1"/>
  <c r="AP15" i="1"/>
  <c r="D14" i="1"/>
  <c r="S152" i="1"/>
  <c r="S95" i="1"/>
  <c r="S97" i="1"/>
  <c r="S79" i="1"/>
  <c r="S150" i="1"/>
  <c r="S151" i="1"/>
  <c r="Q150" i="1"/>
  <c r="Q152" i="1"/>
  <c r="O162" i="1"/>
  <c r="AQ162" i="1"/>
  <c r="AQ6" i="1"/>
  <c r="AP6" i="1"/>
  <c r="AP8" i="1"/>
  <c r="AQ163" i="1" l="1"/>
  <c r="AQ154" i="1"/>
  <c r="AQ108" i="1"/>
  <c r="AQ99" i="1"/>
  <c r="AQ90" i="1"/>
  <c r="AQ81" i="1"/>
  <c r="AQ64" i="1"/>
  <c r="AQ46" i="1"/>
  <c r="AQ10" i="1"/>
  <c r="AQ12" i="1" s="1"/>
  <c r="AQ18" i="1" s="1"/>
  <c r="AP154" i="1"/>
  <c r="AP93" i="1"/>
  <c r="C93" i="1" s="1"/>
  <c r="AP26" i="1"/>
  <c r="C26" i="1" s="1"/>
  <c r="AP10" i="1"/>
  <c r="AP12" i="1" s="1"/>
  <c r="AQ190" i="1"/>
  <c r="AQ195" i="1" s="1"/>
  <c r="AQ24" i="1"/>
  <c r="AQ28" i="1" s="1"/>
  <c r="C194" i="1"/>
  <c r="C193" i="1"/>
  <c r="C192" i="1"/>
  <c r="C191" i="1"/>
  <c r="C189" i="1"/>
  <c r="C188" i="1"/>
  <c r="C187" i="1"/>
  <c r="C186" i="1"/>
  <c r="C185" i="1"/>
  <c r="C184" i="1"/>
  <c r="C183" i="1"/>
  <c r="C182" i="1"/>
  <c r="C181" i="1"/>
  <c r="C180" i="1"/>
  <c r="C179" i="1"/>
  <c r="C169" i="1"/>
  <c r="C170" i="1"/>
  <c r="C171" i="1"/>
  <c r="C172" i="1"/>
  <c r="C173" i="1"/>
  <c r="C168" i="1"/>
  <c r="C149" i="1"/>
  <c r="C150" i="1"/>
  <c r="C151" i="1"/>
  <c r="C152" i="1"/>
  <c r="C153" i="1"/>
  <c r="C148" i="1"/>
  <c r="C138" i="1"/>
  <c r="C139" i="1"/>
  <c r="C140" i="1"/>
  <c r="C141" i="1"/>
  <c r="C142" i="1"/>
  <c r="C137" i="1"/>
  <c r="C129" i="1"/>
  <c r="C130" i="1"/>
  <c r="C131" i="1"/>
  <c r="C132" i="1"/>
  <c r="C133" i="1"/>
  <c r="C128" i="1"/>
  <c r="C120" i="1"/>
  <c r="C121" i="1"/>
  <c r="C122" i="1"/>
  <c r="C123" i="1"/>
  <c r="C124" i="1"/>
  <c r="C119" i="1"/>
  <c r="C112" i="1"/>
  <c r="C113" i="1"/>
  <c r="C114" i="1"/>
  <c r="C115" i="1"/>
  <c r="C116" i="1"/>
  <c r="C111" i="1"/>
  <c r="C103" i="1"/>
  <c r="C106" i="1"/>
  <c r="C107" i="1"/>
  <c r="C102" i="1"/>
  <c r="C85" i="1"/>
  <c r="C87" i="1"/>
  <c r="C88" i="1"/>
  <c r="C89" i="1"/>
  <c r="C84" i="1"/>
  <c r="C76" i="1"/>
  <c r="C78" i="1"/>
  <c r="C79" i="1"/>
  <c r="C80" i="1"/>
  <c r="C75" i="1"/>
  <c r="C68" i="1"/>
  <c r="C70" i="1"/>
  <c r="C71" i="1"/>
  <c r="C72" i="1"/>
  <c r="C67" i="1"/>
  <c r="C59" i="1"/>
  <c r="C61" i="1"/>
  <c r="C62" i="1"/>
  <c r="C63" i="1"/>
  <c r="C58" i="1"/>
  <c r="C50" i="1"/>
  <c r="C52" i="1"/>
  <c r="C53" i="1"/>
  <c r="C54" i="1"/>
  <c r="C49" i="1"/>
  <c r="C41" i="1"/>
  <c r="C43" i="1"/>
  <c r="C44" i="1"/>
  <c r="C45" i="1"/>
  <c r="C40" i="1"/>
  <c r="C34" i="1"/>
  <c r="C35" i="1"/>
  <c r="C36" i="1"/>
  <c r="C32" i="1"/>
  <c r="C31" i="1"/>
  <c r="AP190" i="1"/>
  <c r="AP195" i="1" s="1"/>
  <c r="AP162" i="1"/>
  <c r="AP163" i="1" s="1"/>
  <c r="AP105" i="1"/>
  <c r="C105" i="1" s="1"/>
  <c r="AP104" i="1"/>
  <c r="C104" i="1" s="1"/>
  <c r="AP98" i="1"/>
  <c r="C98" i="1" s="1"/>
  <c r="AP97" i="1"/>
  <c r="C97" i="1" s="1"/>
  <c r="AP96" i="1"/>
  <c r="C96" i="1" s="1"/>
  <c r="AP95" i="1"/>
  <c r="C95" i="1" s="1"/>
  <c r="AP94" i="1"/>
  <c r="C94" i="1" s="1"/>
  <c r="AP86" i="1"/>
  <c r="AP90" i="1" s="1"/>
  <c r="AP77" i="1"/>
  <c r="C77" i="1" s="1"/>
  <c r="AP69" i="1"/>
  <c r="AP73" i="1" s="1"/>
  <c r="AP60" i="1"/>
  <c r="C60" i="1" s="1"/>
  <c r="AP51" i="1"/>
  <c r="AP55" i="1" s="1"/>
  <c r="AP42" i="1"/>
  <c r="AP46" i="1" s="1"/>
  <c r="AP33" i="1"/>
  <c r="AP37" i="1" s="1"/>
  <c r="AP27" i="1"/>
  <c r="C27" i="1" s="1"/>
  <c r="AP25" i="1"/>
  <c r="C25" i="1" s="1"/>
  <c r="AP24" i="1"/>
  <c r="C24" i="1" s="1"/>
  <c r="AP23" i="1"/>
  <c r="C23" i="1" s="1"/>
  <c r="AP22" i="1"/>
  <c r="C22" i="1" s="1"/>
  <c r="C15" i="1"/>
  <c r="C14" i="1"/>
  <c r="C86" i="1" l="1"/>
  <c r="C69" i="1"/>
  <c r="C51" i="1"/>
  <c r="C33" i="1"/>
  <c r="AP64" i="1"/>
  <c r="AQ145" i="1"/>
  <c r="AQ165" i="1" s="1"/>
  <c r="AQ176" i="1" s="1"/>
  <c r="AP81" i="1"/>
  <c r="C190" i="1"/>
  <c r="AP99" i="1"/>
  <c r="C42" i="1"/>
  <c r="C162" i="1"/>
  <c r="AP108" i="1"/>
  <c r="AP18" i="1"/>
  <c r="AP28" i="1"/>
  <c r="W6" i="1"/>
  <c r="S8" i="1"/>
  <c r="S6" i="1"/>
  <c r="AP145" i="1" l="1"/>
  <c r="AP165" i="1" s="1"/>
  <c r="AP176" i="1" s="1"/>
  <c r="G116" i="1"/>
  <c r="Q6" i="1"/>
  <c r="O6" i="1"/>
  <c r="N25" i="1"/>
  <c r="N6" i="1"/>
  <c r="K6" i="1"/>
  <c r="G115" i="1"/>
  <c r="G114" i="1"/>
  <c r="G113" i="1"/>
  <c r="E77" i="1"/>
  <c r="F24" i="1"/>
  <c r="G9" i="1"/>
  <c r="G8" i="1"/>
  <c r="G6" i="1"/>
  <c r="C7" i="1" l="1"/>
  <c r="C8" i="1"/>
  <c r="C9" i="1"/>
  <c r="C6" i="1"/>
  <c r="C3" i="1"/>
  <c r="AD187" i="1"/>
  <c r="C174" i="1"/>
  <c r="J195" i="1"/>
  <c r="J199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F145" i="1"/>
  <c r="F165" i="1" s="1"/>
  <c r="F176" i="1" s="1"/>
  <c r="F197" i="1" s="1"/>
  <c r="O145" i="1"/>
  <c r="O165" i="1" s="1"/>
  <c r="O176" i="1" s="1"/>
  <c r="O197" i="1" s="1"/>
  <c r="S145" i="1"/>
  <c r="S165" i="1" s="1"/>
  <c r="S176" i="1" s="1"/>
  <c r="S197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M197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Y197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T197" i="1"/>
  <c r="AD145" i="1" l="1"/>
  <c r="AD165" i="1" s="1"/>
  <c r="AD176" i="1" s="1"/>
  <c r="AD197" i="1" s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I199" i="1"/>
  <c r="H199" i="1"/>
  <c r="G199" i="1"/>
  <c r="F199" i="1"/>
  <c r="E199" i="1"/>
  <c r="D199" i="1"/>
  <c r="C195" i="1"/>
  <c r="C199" i="1" l="1"/>
  <c r="AB199" i="1"/>
  <c r="AD199" i="1" l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l="1"/>
</calcChain>
</file>

<file path=xl/sharedStrings.xml><?xml version="1.0" encoding="utf-8"?>
<sst xmlns="http://schemas.openxmlformats.org/spreadsheetml/2006/main" count="467" uniqueCount="145">
  <si>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</si>
  <si>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</si>
  <si>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</si>
  <si>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</si>
  <si>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</si>
  <si>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</si>
  <si>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</si>
  <si>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</si>
  <si>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</si>
  <si>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</si>
  <si>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</si>
  <si>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</si>
  <si>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</si>
  <si>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</si>
  <si>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</si>
  <si>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</si>
  <si>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</si>
  <si>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</si>
  <si>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</si>
  <si>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</si>
  <si>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</si>
  <si>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</si>
  <si>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</si>
  <si>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</si>
  <si>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</si>
  <si>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</si>
  <si>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</si>
  <si>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</si>
  <si>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</si>
  <si>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</si>
  <si>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</si>
  <si>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</si>
  <si>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</si>
  <si>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</si>
  <si>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</si>
  <si>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</si>
  <si>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</si>
  <si>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</si>
  <si>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</si>
  <si>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</si>
  <si>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</si>
  <si>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</si>
  <si>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</si>
  <si>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</si>
  <si>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</si>
  <si>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</si>
  <si>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</si>
  <si>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</si>
  <si>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</si>
  <si>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</si>
  <si>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</si>
  <si>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</si>
  <si>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</si>
  <si>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</si>
  <si>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</si>
  <si>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</si>
  <si>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</si>
  <si>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</si>
  <si>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</si>
  <si>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</si>
  <si>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</si>
  <si>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</si>
  <si>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</si>
  <si>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</si>
  <si>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</si>
  <si>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</si>
  <si>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</si>
  <si>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</si>
  <si>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</si>
  <si>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</si>
  <si>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</si>
  <si>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</si>
  <si>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</si>
  <si>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</si>
  <si>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</si>
  <si>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</si>
  <si>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</si>
  <si>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</si>
  <si>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</si>
  <si>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</si>
  <si>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</si>
  <si>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</si>
  <si>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</si>
  <si>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</si>
  <si>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</si>
  <si>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</si>
  <si>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</si>
  <si>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</si>
  <si>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</si>
  <si>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</si>
  <si>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</si>
  <si>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</si>
  <si>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</si>
  <si>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</si>
  <si>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</si>
  <si>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</si>
  <si>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</si>
  <si>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</si>
  <si>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</si>
  <si>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</si>
  <si>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</si>
  <si>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</si>
  <si>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</si>
  <si>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</si>
  <si>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</si>
  <si>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</si>
  <si>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</si>
  <si>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</si>
  <si>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</si>
  <si>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</si>
  <si>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</si>
  <si>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</si>
  <si>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</si>
  <si>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</si>
  <si>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</si>
  <si>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</si>
  <si>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</si>
  <si>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</si>
  <si>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</si>
  <si>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</si>
  <si>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</si>
  <si>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</si>
  <si>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</si>
  <si>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</si>
  <si>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</si>
  <si>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</si>
  <si>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</si>
  <si>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</si>
  <si>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</si>
  <si>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</si>
  <si>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</si>
  <si>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</si>
  <si>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</si>
  <si>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</si>
  <si>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</si>
  <si>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</si>
  <si>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</si>
  <si>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</si>
  <si>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</si>
  <si>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</si>
  <si>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FY2024-2025 UNIFORM BUDGET SUMMARY</t>
  </si>
  <si>
    <t>Fund 10 detail</t>
  </si>
  <si>
    <t>Fund 17 detail</t>
  </si>
  <si>
    <t>County of Pueblo School District No 60
District Code: 2690
Adopted Budget
Adopted: JUN 27, 2024
Budgeted Pupil Count: 14178.9</t>
  </si>
  <si>
    <t>No budget entered             11
Charter School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</si>
</sst>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47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  <xf numFmtId="41" fontId="1" fillId="0" borderId="15" xfId="0" applyNumberFormat="1" applyFont="1" applyBorder="1" applyAlignment="1">
      <alignment horizontal="center" wrapText="1"/>
    </xf>
    <xf numFmtId="41" fontId="3" fillId="0" borderId="16" xfId="0" applyNumberFormat="1" applyFont="1" applyBorder="1" applyProtection="1">
      <protection locked="0"/>
    </xf>
    <xf numFmtId="41" fontId="1" fillId="0" borderId="16" xfId="0" applyNumberFormat="1" applyFont="1" applyBorder="1" applyAlignment="1" applyProtection="1">
      <alignment horizontal="center" wrapText="1"/>
      <protection locked="0"/>
    </xf>
    <xf numFmtId="41" fontId="3" fillId="2" borderId="17" xfId="0" applyNumberFormat="1" applyFont="1" applyFill="1" applyBorder="1"/>
    <xf numFmtId="41" fontId="3" fillId="0" borderId="16" xfId="0" applyNumberFormat="1" applyFont="1" applyBorder="1"/>
    <xf numFmtId="41" fontId="4" fillId="0" borderId="16" xfId="0" applyNumberFormat="1" applyFont="1" applyBorder="1" applyProtection="1">
      <protection locked="0"/>
    </xf>
    <xf numFmtId="41" fontId="3" fillId="0" borderId="16" xfId="0" applyNumberFormat="1" applyFont="1" applyBorder="1" applyAlignment="1" applyProtection="1">
      <alignment horizontal="right"/>
      <protection locked="0"/>
    </xf>
    <xf numFmtId="37" fontId="3" fillId="3" borderId="0" xfId="0" applyFont="1" applyFill="1"/>
    <xf numFmtId="41" fontId="3" fillId="3" borderId="16" xfId="0" applyNumberFormat="1" applyFont="1" applyFill="1" applyBorder="1" applyProtection="1"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 activeCell="AE3" sqref="AE3"/>
    </sheetView>
  </sheetViews>
  <sheetFormatPr defaultColWidth="9.33203125" defaultRowHeight="12.75" x14ac:dyDescent="0.2"/>
  <cols>
    <col min="1" max="1" width="47.6640625" style="8" customWidth="1"/>
    <col min="2" max="2" width="14" style="1" bestFit="1" customWidth="1"/>
    <col min="3" max="11" width="18.6640625" style="2" customWidth="1"/>
    <col min="12" max="12" width="18.6640625" style="2" hidden="1" customWidth="1"/>
    <col min="13" max="30" width="18.6640625" style="2" customWidth="1"/>
    <col min="31" max="41" width="9.33203125" style="3"/>
    <col min="42" max="43" width="18.6640625" style="2" hidden="1" customWidth="1"/>
    <col min="44" max="16384" width="9.33203125" style="3"/>
  </cols>
  <sheetData>
    <row r="1" spans="1:43" ht="13.5" thickBot="1" x14ac:dyDescent="0.25">
      <c r="A1" s="8" t="s">
        <v>140</v>
      </c>
    </row>
    <row r="2" spans="1:43" s="4" customFormat="1" ht="102.75" thickBot="1" x14ac:dyDescent="0.25">
      <c r="A2" s="37" t="s">
        <v>143</v>
      </c>
      <c r="B2" s="28" t="s">
        <v>57</v>
      </c>
      <c r="C2" s="29" t="s">
        <v>114</v>
      </c>
      <c r="D2" s="27" t="s">
        <v>144</v>
      </c>
      <c r="E2" s="27" t="s">
        <v>115</v>
      </c>
      <c r="F2" s="27" t="s">
        <v>116</v>
      </c>
      <c r="G2" s="27" t="s">
        <v>117</v>
      </c>
      <c r="H2" s="27" t="s">
        <v>118</v>
      </c>
      <c r="I2" s="27" t="s">
        <v>119</v>
      </c>
      <c r="J2" s="27" t="s">
        <v>111</v>
      </c>
      <c r="K2" s="27" t="s">
        <v>120</v>
      </c>
      <c r="L2" s="27" t="s">
        <v>0</v>
      </c>
      <c r="M2" s="27" t="s">
        <v>121</v>
      </c>
      <c r="N2" s="27" t="s">
        <v>122</v>
      </c>
      <c r="O2" s="27" t="s">
        <v>123</v>
      </c>
      <c r="P2" s="27" t="s">
        <v>124</v>
      </c>
      <c r="Q2" s="27" t="s">
        <v>125</v>
      </c>
      <c r="R2" s="27" t="s">
        <v>126</v>
      </c>
      <c r="S2" s="27" t="s">
        <v>127</v>
      </c>
      <c r="T2" s="27" t="s">
        <v>128</v>
      </c>
      <c r="U2" s="27" t="s">
        <v>129</v>
      </c>
      <c r="V2" s="27" t="s">
        <v>130</v>
      </c>
      <c r="W2" s="27" t="s">
        <v>131</v>
      </c>
      <c r="X2" s="27" t="s">
        <v>132</v>
      </c>
      <c r="Y2" s="27" t="s">
        <v>133</v>
      </c>
      <c r="Z2" s="27" t="s">
        <v>134</v>
      </c>
      <c r="AA2" s="27" t="s">
        <v>135</v>
      </c>
      <c r="AB2" s="27" t="s">
        <v>136</v>
      </c>
      <c r="AC2" s="27" t="s">
        <v>137</v>
      </c>
      <c r="AD2" s="30" t="s">
        <v>1</v>
      </c>
      <c r="AP2" s="38" t="s">
        <v>141</v>
      </c>
      <c r="AQ2" s="38" t="s">
        <v>142</v>
      </c>
    </row>
    <row r="3" spans="1:43" s="4" customFormat="1" ht="25.5" x14ac:dyDescent="0.2">
      <c r="A3" s="10" t="s">
        <v>102</v>
      </c>
      <c r="B3" s="5"/>
      <c r="C3" s="15">
        <f>+AP3+AQ3</f>
        <v>32044627</v>
      </c>
      <c r="D3" s="16">
        <v>0</v>
      </c>
      <c r="E3" s="16">
        <v>2326779</v>
      </c>
      <c r="F3" s="16">
        <v>2111459</v>
      </c>
      <c r="G3" s="16">
        <v>9099468</v>
      </c>
      <c r="H3" s="16">
        <v>0</v>
      </c>
      <c r="I3" s="16">
        <v>0</v>
      </c>
      <c r="J3" s="16">
        <v>0</v>
      </c>
      <c r="K3" s="16">
        <v>2719074</v>
      </c>
      <c r="L3" s="16">
        <v>0</v>
      </c>
      <c r="M3" s="16">
        <v>0</v>
      </c>
      <c r="N3" s="16">
        <v>193254</v>
      </c>
      <c r="O3" s="16">
        <v>18565522</v>
      </c>
      <c r="P3" s="16">
        <v>0</v>
      </c>
      <c r="Q3" s="16">
        <v>22843378</v>
      </c>
      <c r="R3" s="16">
        <v>0</v>
      </c>
      <c r="S3" s="16">
        <v>35500689</v>
      </c>
      <c r="T3" s="16">
        <v>0</v>
      </c>
      <c r="U3" s="16">
        <v>0</v>
      </c>
      <c r="V3" s="16">
        <v>0</v>
      </c>
      <c r="W3" s="16">
        <v>2662691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128066941</v>
      </c>
      <c r="AP3" s="15">
        <v>31434838</v>
      </c>
      <c r="AQ3" s="39">
        <v>609789</v>
      </c>
    </row>
    <row r="4" spans="1:43" s="4" customFormat="1" ht="1.9" customHeight="1" x14ac:dyDescent="0.2">
      <c r="A4" s="10"/>
      <c r="B4" s="13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  <c r="AP4" s="18"/>
      <c r="AQ4" s="40"/>
    </row>
    <row r="5" spans="1:43" s="6" customFormat="1" x14ac:dyDescent="0.2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  <c r="AP5" s="15"/>
      <c r="AQ5" s="39"/>
    </row>
    <row r="6" spans="1:43" s="6" customFormat="1" x14ac:dyDescent="0.2">
      <c r="A6" s="11" t="s">
        <v>2</v>
      </c>
      <c r="B6" s="14" t="s">
        <v>3</v>
      </c>
      <c r="C6" s="15">
        <f>+AP6+AQ6</f>
        <v>48242525</v>
      </c>
      <c r="D6" s="16">
        <v>0</v>
      </c>
      <c r="E6" s="16">
        <v>850000</v>
      </c>
      <c r="F6" s="16">
        <v>0</v>
      </c>
      <c r="G6" s="16">
        <f>266924+3840+43961+7684</f>
        <v>322409</v>
      </c>
      <c r="H6" s="16">
        <v>0</v>
      </c>
      <c r="I6" s="16">
        <v>0</v>
      </c>
      <c r="J6" s="16">
        <v>0</v>
      </c>
      <c r="K6" s="16">
        <f>88000+2500000</f>
        <v>2588000</v>
      </c>
      <c r="L6" s="16">
        <v>0</v>
      </c>
      <c r="M6" s="16">
        <v>0</v>
      </c>
      <c r="N6" s="16">
        <f>9000+30000+120000</f>
        <v>159000</v>
      </c>
      <c r="O6" s="16">
        <f>700000+17727311</f>
        <v>18427311</v>
      </c>
      <c r="P6" s="16">
        <v>0</v>
      </c>
      <c r="Q6" s="16">
        <f>500000+140000</f>
        <v>640000</v>
      </c>
      <c r="R6" s="16">
        <v>0</v>
      </c>
      <c r="S6" s="16">
        <f>1900000+750000+15000</f>
        <v>2665000</v>
      </c>
      <c r="T6" s="16">
        <v>0</v>
      </c>
      <c r="U6" s="16">
        <v>0</v>
      </c>
      <c r="V6" s="16">
        <v>0</v>
      </c>
      <c r="W6" s="16">
        <f>270+600000+728000</f>
        <v>1328270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>SUM(C6:AC6)</f>
        <v>75222515</v>
      </c>
      <c r="AP6" s="15">
        <f>40203697+3226427+4099159</f>
        <v>47529283</v>
      </c>
      <c r="AQ6" s="39">
        <f>309804+130000+47000+5000+1990+40000+15602+20748+141000+2098</f>
        <v>713242</v>
      </c>
    </row>
    <row r="7" spans="1:43" s="6" customFormat="1" x14ac:dyDescent="0.2">
      <c r="A7" s="11" t="s">
        <v>4</v>
      </c>
      <c r="B7" s="14" t="s">
        <v>5</v>
      </c>
      <c r="C7" s="15">
        <f>+AP7+AQ7</f>
        <v>21000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>SUM(C7:AC7)</f>
        <v>21000</v>
      </c>
      <c r="AP7" s="15">
        <v>21000</v>
      </c>
      <c r="AQ7" s="39"/>
    </row>
    <row r="8" spans="1:43" s="6" customFormat="1" x14ac:dyDescent="0.2">
      <c r="A8" s="11" t="s">
        <v>6</v>
      </c>
      <c r="B8" s="14" t="s">
        <v>7</v>
      </c>
      <c r="C8" s="15">
        <f>+AP8+AQ8</f>
        <v>133570979</v>
      </c>
      <c r="D8" s="16">
        <v>0</v>
      </c>
      <c r="E8" s="16">
        <v>0</v>
      </c>
      <c r="F8" s="16">
        <v>3871148</v>
      </c>
      <c r="G8" s="16">
        <f>150470+362525+124967</f>
        <v>637962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f>750000+25673924+5230798</f>
        <v>31654722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>SUM(C8:AC8)</f>
        <v>169734811</v>
      </c>
      <c r="AP8" s="15">
        <f>121186196+12384783</f>
        <v>133570979</v>
      </c>
      <c r="AQ8" s="39"/>
    </row>
    <row r="9" spans="1:43" s="6" customFormat="1" x14ac:dyDescent="0.2">
      <c r="A9" s="11" t="s">
        <v>8</v>
      </c>
      <c r="B9" s="14" t="s">
        <v>9</v>
      </c>
      <c r="C9" s="15">
        <f>+AP9+AQ9</f>
        <v>315000</v>
      </c>
      <c r="D9" s="16">
        <v>0</v>
      </c>
      <c r="E9" s="16">
        <v>0</v>
      </c>
      <c r="F9" s="16">
        <v>0</v>
      </c>
      <c r="G9" s="16">
        <f>2674307+5842144+590202+38750+501317</f>
        <v>9646720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>SUM(C9:AC9)</f>
        <v>9961720</v>
      </c>
      <c r="AP9" s="15">
        <v>315000</v>
      </c>
      <c r="AQ9" s="39"/>
    </row>
    <row r="10" spans="1:43" s="6" customFormat="1" x14ac:dyDescent="0.2">
      <c r="A10" s="31" t="s">
        <v>92</v>
      </c>
      <c r="B10" s="32"/>
      <c r="C10" s="33">
        <f t="shared" ref="C10:AD10" si="0">SUM(C6:C9)</f>
        <v>182149504</v>
      </c>
      <c r="D10" s="34">
        <f t="shared" si="0"/>
        <v>0</v>
      </c>
      <c r="E10" s="34">
        <f t="shared" si="0"/>
        <v>850000</v>
      </c>
      <c r="F10" s="34">
        <f t="shared" si="0"/>
        <v>3871148</v>
      </c>
      <c r="G10" s="34">
        <f t="shared" si="0"/>
        <v>10607091</v>
      </c>
      <c r="H10" s="34">
        <f t="shared" si="0"/>
        <v>0</v>
      </c>
      <c r="I10" s="34">
        <f t="shared" si="0"/>
        <v>0</v>
      </c>
      <c r="J10" s="34">
        <f t="shared" ref="J10" si="1">SUM(J6:J9)</f>
        <v>0</v>
      </c>
      <c r="K10" s="34">
        <f t="shared" si="0"/>
        <v>2588000</v>
      </c>
      <c r="L10" s="34">
        <f t="shared" si="0"/>
        <v>0</v>
      </c>
      <c r="M10" s="34">
        <f t="shared" si="0"/>
        <v>0</v>
      </c>
      <c r="N10" s="34">
        <f t="shared" si="0"/>
        <v>159000</v>
      </c>
      <c r="O10" s="34">
        <f t="shared" si="0"/>
        <v>18427311</v>
      </c>
      <c r="P10" s="34">
        <f t="shared" si="0"/>
        <v>0</v>
      </c>
      <c r="Q10" s="34">
        <f t="shared" si="0"/>
        <v>640000</v>
      </c>
      <c r="R10" s="34">
        <f t="shared" si="0"/>
        <v>0</v>
      </c>
      <c r="S10" s="34">
        <f t="shared" si="0"/>
        <v>34319722</v>
      </c>
      <c r="T10" s="34">
        <f t="shared" si="0"/>
        <v>0</v>
      </c>
      <c r="U10" s="34">
        <f t="shared" si="0"/>
        <v>0</v>
      </c>
      <c r="V10" s="34">
        <f t="shared" si="0"/>
        <v>0</v>
      </c>
      <c r="W10" s="34">
        <f t="shared" si="0"/>
        <v>1328270</v>
      </c>
      <c r="X10" s="34">
        <f t="shared" si="0"/>
        <v>0</v>
      </c>
      <c r="Y10" s="34">
        <f t="shared" si="0"/>
        <v>0</v>
      </c>
      <c r="Z10" s="34">
        <f t="shared" si="0"/>
        <v>0</v>
      </c>
      <c r="AA10" s="34">
        <f t="shared" si="0"/>
        <v>0</v>
      </c>
      <c r="AB10" s="34">
        <f t="shared" si="0"/>
        <v>0</v>
      </c>
      <c r="AC10" s="34">
        <f t="shared" si="0"/>
        <v>0</v>
      </c>
      <c r="AD10" s="35">
        <f t="shared" si="0"/>
        <v>254940046</v>
      </c>
      <c r="AP10" s="41">
        <f>SUM(AP6:AP9)</f>
        <v>181436262</v>
      </c>
      <c r="AQ10" s="41">
        <f>SUM(AQ6:AQ9)</f>
        <v>713242</v>
      </c>
    </row>
    <row r="11" spans="1:43" s="6" customFormat="1" ht="1.9" customHeight="1" x14ac:dyDescent="0.2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  <c r="AP11" s="42"/>
      <c r="AQ11" s="42"/>
    </row>
    <row r="12" spans="1:43" s="6" customFormat="1" ht="25.5" x14ac:dyDescent="0.2">
      <c r="A12" s="31" t="s">
        <v>93</v>
      </c>
      <c r="B12" s="32"/>
      <c r="C12" s="33">
        <f t="shared" ref="C12:AD12" si="2">C3+C10</f>
        <v>214194131</v>
      </c>
      <c r="D12" s="34">
        <f t="shared" si="2"/>
        <v>0</v>
      </c>
      <c r="E12" s="34">
        <f t="shared" si="2"/>
        <v>3176779</v>
      </c>
      <c r="F12" s="34">
        <f t="shared" si="2"/>
        <v>5982607</v>
      </c>
      <c r="G12" s="34">
        <f t="shared" si="2"/>
        <v>19706559</v>
      </c>
      <c r="H12" s="34">
        <f t="shared" si="2"/>
        <v>0</v>
      </c>
      <c r="I12" s="34">
        <f t="shared" si="2"/>
        <v>0</v>
      </c>
      <c r="J12" s="34">
        <f t="shared" ref="J12" si="3">J3+J10</f>
        <v>0</v>
      </c>
      <c r="K12" s="34">
        <f t="shared" si="2"/>
        <v>5307074</v>
      </c>
      <c r="L12" s="34">
        <f t="shared" si="2"/>
        <v>0</v>
      </c>
      <c r="M12" s="34">
        <f t="shared" si="2"/>
        <v>0</v>
      </c>
      <c r="N12" s="34">
        <f t="shared" si="2"/>
        <v>352254</v>
      </c>
      <c r="O12" s="34">
        <f t="shared" si="2"/>
        <v>36992833</v>
      </c>
      <c r="P12" s="34">
        <f t="shared" si="2"/>
        <v>0</v>
      </c>
      <c r="Q12" s="34">
        <f t="shared" si="2"/>
        <v>23483378</v>
      </c>
      <c r="R12" s="34">
        <f t="shared" si="2"/>
        <v>0</v>
      </c>
      <c r="S12" s="34">
        <f t="shared" si="2"/>
        <v>69820411</v>
      </c>
      <c r="T12" s="34">
        <f t="shared" si="2"/>
        <v>0</v>
      </c>
      <c r="U12" s="34">
        <f t="shared" si="2"/>
        <v>0</v>
      </c>
      <c r="V12" s="34">
        <f t="shared" si="2"/>
        <v>0</v>
      </c>
      <c r="W12" s="34">
        <f t="shared" si="2"/>
        <v>3990961</v>
      </c>
      <c r="X12" s="34">
        <f t="shared" si="2"/>
        <v>0</v>
      </c>
      <c r="Y12" s="34">
        <f t="shared" si="2"/>
        <v>0</v>
      </c>
      <c r="Z12" s="34">
        <f t="shared" si="2"/>
        <v>0</v>
      </c>
      <c r="AA12" s="34">
        <f t="shared" si="2"/>
        <v>0</v>
      </c>
      <c r="AB12" s="34">
        <f t="shared" si="2"/>
        <v>0</v>
      </c>
      <c r="AC12" s="34">
        <f t="shared" si="2"/>
        <v>0</v>
      </c>
      <c r="AD12" s="35">
        <f t="shared" si="2"/>
        <v>383006987</v>
      </c>
      <c r="AP12" s="33">
        <f>AP3+AP10</f>
        <v>212871100</v>
      </c>
      <c r="AQ12" s="33">
        <f>AQ3+AQ10</f>
        <v>1323031</v>
      </c>
    </row>
    <row r="13" spans="1:43" s="6" customFormat="1" ht="1.9" customHeight="1" x14ac:dyDescent="0.2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  <c r="AP13" s="42"/>
      <c r="AQ13" s="42"/>
    </row>
    <row r="14" spans="1:43" s="6" customFormat="1" ht="25.5" x14ac:dyDescent="0.2">
      <c r="A14" s="12" t="s">
        <v>94</v>
      </c>
      <c r="B14" s="14" t="s">
        <v>11</v>
      </c>
      <c r="C14" s="15">
        <f>+AP14+AQ14</f>
        <v>-18924219</v>
      </c>
      <c r="D14" s="23">
        <f>7778667+11145552</f>
        <v>18924219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17">
        <f>SUM(C14:AC14)</f>
        <v>0</v>
      </c>
      <c r="AP14" s="43">
        <v>-18924219</v>
      </c>
      <c r="AQ14" s="43">
        <v>0</v>
      </c>
    </row>
    <row r="15" spans="1:43" s="6" customFormat="1" x14ac:dyDescent="0.2">
      <c r="A15" s="12" t="s">
        <v>99</v>
      </c>
      <c r="B15" s="14" t="s">
        <v>12</v>
      </c>
      <c r="C15" s="15">
        <f>+AP15+AQ15</f>
        <v>-11650000</v>
      </c>
      <c r="D15" s="16">
        <v>0</v>
      </c>
      <c r="E15" s="16">
        <v>1850000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9800000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>SUM(C15:AC15)</f>
        <v>0</v>
      </c>
      <c r="AP15" s="39">
        <f>-1850000+-9800000-2400000</f>
        <v>-14050000</v>
      </c>
      <c r="AQ15" s="39">
        <v>2400000</v>
      </c>
    </row>
    <row r="16" spans="1:43" s="6" customFormat="1" ht="38.25" x14ac:dyDescent="0.2">
      <c r="A16" s="12" t="s">
        <v>13</v>
      </c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>SUM(C16:AC16)</f>
        <v>0</v>
      </c>
      <c r="AP16" s="39"/>
      <c r="AQ16" s="39"/>
    </row>
    <row r="17" spans="1:43" s="6" customFormat="1" ht="1.9" customHeight="1" x14ac:dyDescent="0.2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  <c r="AP17" s="42"/>
      <c r="AQ17" s="42"/>
    </row>
    <row r="18" spans="1:43" s="6" customFormat="1" ht="38.25" x14ac:dyDescent="0.2">
      <c r="A18" s="31" t="s">
        <v>101</v>
      </c>
      <c r="B18" s="32"/>
      <c r="C18" s="33">
        <f t="shared" ref="C18:AD18" si="4">C12+C14+C15+C16</f>
        <v>183619912</v>
      </c>
      <c r="D18" s="34">
        <f t="shared" si="4"/>
        <v>18924219</v>
      </c>
      <c r="E18" s="34">
        <f t="shared" si="4"/>
        <v>5026779</v>
      </c>
      <c r="F18" s="34">
        <f t="shared" si="4"/>
        <v>5982607</v>
      </c>
      <c r="G18" s="34">
        <f t="shared" si="4"/>
        <v>19706559</v>
      </c>
      <c r="H18" s="34">
        <f t="shared" si="4"/>
        <v>0</v>
      </c>
      <c r="I18" s="34">
        <f t="shared" si="4"/>
        <v>0</v>
      </c>
      <c r="J18" s="34">
        <f t="shared" ref="J18" si="5">J12+J14+J15+J16</f>
        <v>0</v>
      </c>
      <c r="K18" s="34">
        <f t="shared" si="4"/>
        <v>5307074</v>
      </c>
      <c r="L18" s="34">
        <f t="shared" si="4"/>
        <v>0</v>
      </c>
      <c r="M18" s="34">
        <f t="shared" si="4"/>
        <v>0</v>
      </c>
      <c r="N18" s="34">
        <f t="shared" si="4"/>
        <v>352254</v>
      </c>
      <c r="O18" s="34">
        <f t="shared" si="4"/>
        <v>36992833</v>
      </c>
      <c r="P18" s="34">
        <f t="shared" si="4"/>
        <v>0</v>
      </c>
      <c r="Q18" s="34">
        <f t="shared" si="4"/>
        <v>23483378</v>
      </c>
      <c r="R18" s="34">
        <f t="shared" si="4"/>
        <v>0</v>
      </c>
      <c r="S18" s="34">
        <f t="shared" si="4"/>
        <v>79620411</v>
      </c>
      <c r="T18" s="34">
        <f t="shared" si="4"/>
        <v>0</v>
      </c>
      <c r="U18" s="34">
        <f t="shared" si="4"/>
        <v>0</v>
      </c>
      <c r="V18" s="34">
        <f t="shared" si="4"/>
        <v>0</v>
      </c>
      <c r="W18" s="34">
        <f t="shared" si="4"/>
        <v>3990961</v>
      </c>
      <c r="X18" s="34">
        <f t="shared" si="4"/>
        <v>0</v>
      </c>
      <c r="Y18" s="34">
        <f t="shared" si="4"/>
        <v>0</v>
      </c>
      <c r="Z18" s="34">
        <f t="shared" si="4"/>
        <v>0</v>
      </c>
      <c r="AA18" s="34">
        <f t="shared" si="4"/>
        <v>0</v>
      </c>
      <c r="AB18" s="34">
        <f t="shared" si="4"/>
        <v>0</v>
      </c>
      <c r="AC18" s="34">
        <f t="shared" si="4"/>
        <v>0</v>
      </c>
      <c r="AD18" s="35">
        <f t="shared" si="4"/>
        <v>383006987</v>
      </c>
      <c r="AP18" s="33">
        <f>AP12+AP14+AP15+AP16</f>
        <v>179896881</v>
      </c>
      <c r="AQ18" s="33">
        <f>AQ12+AQ14+AQ15+AQ16</f>
        <v>3723031</v>
      </c>
    </row>
    <row r="19" spans="1:43" s="6" customFormat="1" ht="1.9" customHeight="1" x14ac:dyDescent="0.2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  <c r="AP19" s="42"/>
      <c r="AQ19" s="42"/>
    </row>
    <row r="20" spans="1:43" s="6" customFormat="1" x14ac:dyDescent="0.2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  <c r="AP20" s="42"/>
      <c r="AQ20" s="42"/>
    </row>
    <row r="21" spans="1:43" s="6" customFormat="1" x14ac:dyDescent="0.2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  <c r="AP21" s="42"/>
      <c r="AQ21" s="42"/>
    </row>
    <row r="22" spans="1:43" s="6" customFormat="1" x14ac:dyDescent="0.2">
      <c r="A22" s="11" t="s">
        <v>58</v>
      </c>
      <c r="B22" s="14" t="s">
        <v>16</v>
      </c>
      <c r="C22" s="15">
        <f t="shared" ref="C22:C27" si="6">+AP22+AQ22</f>
        <v>61249208</v>
      </c>
      <c r="D22" s="16">
        <v>0</v>
      </c>
      <c r="E22" s="16">
        <v>0</v>
      </c>
      <c r="F22" s="16">
        <v>2789601</v>
      </c>
      <c r="G22" s="16">
        <v>0</v>
      </c>
      <c r="H22" s="16">
        <v>0</v>
      </c>
      <c r="I22" s="16">
        <v>0</v>
      </c>
      <c r="J22" s="16">
        <v>0</v>
      </c>
      <c r="K22" s="16">
        <v>15292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ref="AD22:AD27" si="7">SUM(C22:AC22)</f>
        <v>64054101</v>
      </c>
      <c r="AP22" s="39">
        <f>47728660+12115208+19887</f>
        <v>59863755</v>
      </c>
      <c r="AQ22" s="39">
        <v>1385453</v>
      </c>
    </row>
    <row r="23" spans="1:43" s="6" customFormat="1" x14ac:dyDescent="0.2">
      <c r="A23" s="11" t="s">
        <v>139</v>
      </c>
      <c r="B23" s="14" t="s">
        <v>17</v>
      </c>
      <c r="C23" s="15">
        <f t="shared" si="6"/>
        <v>20902897</v>
      </c>
      <c r="D23" s="16">
        <v>0</v>
      </c>
      <c r="E23" s="16">
        <v>0</v>
      </c>
      <c r="F23" s="16">
        <v>991585</v>
      </c>
      <c r="G23" s="16">
        <v>0</v>
      </c>
      <c r="H23" s="16">
        <v>0</v>
      </c>
      <c r="I23" s="16">
        <v>0</v>
      </c>
      <c r="J23" s="16">
        <v>0</v>
      </c>
      <c r="K23" s="16">
        <v>3495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7"/>
        <v>21897977</v>
      </c>
      <c r="AP23" s="39">
        <f>16420487+4128364+4060</f>
        <v>20552911</v>
      </c>
      <c r="AQ23" s="39">
        <v>349986</v>
      </c>
    </row>
    <row r="24" spans="1:43" s="6" customFormat="1" ht="25.5" x14ac:dyDescent="0.2">
      <c r="A24" s="11" t="s">
        <v>59</v>
      </c>
      <c r="B24" s="14" t="s">
        <v>18</v>
      </c>
      <c r="C24" s="15">
        <f t="shared" si="6"/>
        <v>5828794</v>
      </c>
      <c r="D24" s="16">
        <v>0</v>
      </c>
      <c r="E24" s="16">
        <v>0</v>
      </c>
      <c r="F24" s="16">
        <f>35178+49189</f>
        <v>84367</v>
      </c>
      <c r="G24" s="16">
        <v>0</v>
      </c>
      <c r="H24" s="16">
        <v>0</v>
      </c>
      <c r="I24" s="16">
        <v>0</v>
      </c>
      <c r="J24" s="16">
        <v>0</v>
      </c>
      <c r="K24" s="16">
        <v>572000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7"/>
        <v>6485161</v>
      </c>
      <c r="AP24" s="39">
        <f>358338+68361+4350288+157525+309+231422+10486</f>
        <v>5176729</v>
      </c>
      <c r="AQ24" s="39">
        <f>313145+79285+259635</f>
        <v>652065</v>
      </c>
    </row>
    <row r="25" spans="1:43" s="6" customFormat="1" x14ac:dyDescent="0.2">
      <c r="A25" s="11" t="s">
        <v>60</v>
      </c>
      <c r="B25" s="14" t="s">
        <v>19</v>
      </c>
      <c r="C25" s="15">
        <f t="shared" si="6"/>
        <v>4396467</v>
      </c>
      <c r="D25" s="16">
        <v>0</v>
      </c>
      <c r="E25" s="16">
        <v>0</v>
      </c>
      <c r="F25" s="16">
        <v>163512</v>
      </c>
      <c r="G25" s="16">
        <v>0</v>
      </c>
      <c r="H25" s="16">
        <v>0</v>
      </c>
      <c r="I25" s="16">
        <v>0</v>
      </c>
      <c r="J25" s="16">
        <v>0</v>
      </c>
      <c r="K25" s="16">
        <v>3691627</v>
      </c>
      <c r="L25" s="16">
        <v>0</v>
      </c>
      <c r="M25" s="16">
        <v>0</v>
      </c>
      <c r="N25" s="16">
        <f>238985+50000</f>
        <v>288985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7"/>
        <v>8540591</v>
      </c>
      <c r="AP25" s="39">
        <f>4076970+90299+4480</f>
        <v>4171749</v>
      </c>
      <c r="AQ25" s="39">
        <v>224718</v>
      </c>
    </row>
    <row r="26" spans="1:43" s="6" customFormat="1" x14ac:dyDescent="0.2">
      <c r="A26" s="11" t="s">
        <v>61</v>
      </c>
      <c r="B26" s="14" t="s">
        <v>20</v>
      </c>
      <c r="C26" s="15">
        <f t="shared" si="6"/>
        <v>221200</v>
      </c>
      <c r="D26" s="16">
        <v>0</v>
      </c>
      <c r="E26" s="16">
        <v>0</v>
      </c>
      <c r="F26" s="16">
        <v>114829</v>
      </c>
      <c r="G26" s="16">
        <v>0</v>
      </c>
      <c r="H26" s="16">
        <v>0</v>
      </c>
      <c r="I26" s="16">
        <v>0</v>
      </c>
      <c r="J26" s="16">
        <v>0</v>
      </c>
      <c r="K26" s="16">
        <v>298612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7"/>
        <v>634641</v>
      </c>
      <c r="AP26" s="39">
        <f>196800+24400</f>
        <v>221200</v>
      </c>
      <c r="AQ26" s="39"/>
    </row>
    <row r="27" spans="1:43" s="6" customFormat="1" x14ac:dyDescent="0.2">
      <c r="A27" s="11" t="s">
        <v>62</v>
      </c>
      <c r="B27" s="14" t="s">
        <v>21</v>
      </c>
      <c r="C27" s="15">
        <f t="shared" si="6"/>
        <v>523768</v>
      </c>
      <c r="D27" s="16">
        <v>0</v>
      </c>
      <c r="E27" s="16">
        <v>0</v>
      </c>
      <c r="F27" s="16">
        <v>39236</v>
      </c>
      <c r="G27" s="16">
        <v>0</v>
      </c>
      <c r="H27" s="16">
        <v>0</v>
      </c>
      <c r="I27" s="16">
        <v>0</v>
      </c>
      <c r="J27" s="16">
        <v>0</v>
      </c>
      <c r="K27" s="16">
        <v>40000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7"/>
        <v>603004</v>
      </c>
      <c r="AP27" s="39">
        <f>470281+30987</f>
        <v>501268</v>
      </c>
      <c r="AQ27" s="39">
        <v>22500</v>
      </c>
    </row>
    <row r="28" spans="1:43" s="6" customFormat="1" x14ac:dyDescent="0.2">
      <c r="A28" s="36" t="s">
        <v>77</v>
      </c>
      <c r="B28" s="32"/>
      <c r="C28" s="33">
        <f t="shared" ref="C28:AD28" si="8">SUM(C22:C27)</f>
        <v>93122334</v>
      </c>
      <c r="D28" s="34">
        <f t="shared" si="8"/>
        <v>0</v>
      </c>
      <c r="E28" s="34">
        <f t="shared" si="8"/>
        <v>0</v>
      </c>
      <c r="F28" s="34">
        <f t="shared" si="8"/>
        <v>4183130</v>
      </c>
      <c r="G28" s="34">
        <f t="shared" si="8"/>
        <v>0</v>
      </c>
      <c r="H28" s="34">
        <f t="shared" si="8"/>
        <v>0</v>
      </c>
      <c r="I28" s="34">
        <f t="shared" si="8"/>
        <v>0</v>
      </c>
      <c r="J28" s="34">
        <f t="shared" ref="J28" si="9">SUM(J22:J27)</f>
        <v>0</v>
      </c>
      <c r="K28" s="34">
        <f t="shared" si="8"/>
        <v>4621026</v>
      </c>
      <c r="L28" s="34">
        <f t="shared" si="8"/>
        <v>0</v>
      </c>
      <c r="M28" s="34">
        <f t="shared" si="8"/>
        <v>0</v>
      </c>
      <c r="N28" s="34">
        <f t="shared" si="8"/>
        <v>288985</v>
      </c>
      <c r="O28" s="34">
        <f t="shared" si="8"/>
        <v>0</v>
      </c>
      <c r="P28" s="34">
        <f t="shared" si="8"/>
        <v>0</v>
      </c>
      <c r="Q28" s="34">
        <f t="shared" si="8"/>
        <v>0</v>
      </c>
      <c r="R28" s="34">
        <f t="shared" si="8"/>
        <v>0</v>
      </c>
      <c r="S28" s="34">
        <f t="shared" si="8"/>
        <v>0</v>
      </c>
      <c r="T28" s="34">
        <f t="shared" si="8"/>
        <v>0</v>
      </c>
      <c r="U28" s="34">
        <f t="shared" si="8"/>
        <v>0</v>
      </c>
      <c r="V28" s="34">
        <f t="shared" si="8"/>
        <v>0</v>
      </c>
      <c r="W28" s="34">
        <f t="shared" si="8"/>
        <v>0</v>
      </c>
      <c r="X28" s="34">
        <f t="shared" si="8"/>
        <v>0</v>
      </c>
      <c r="Y28" s="34">
        <f t="shared" si="8"/>
        <v>0</v>
      </c>
      <c r="Z28" s="34">
        <f t="shared" si="8"/>
        <v>0</v>
      </c>
      <c r="AA28" s="34">
        <f t="shared" si="8"/>
        <v>0</v>
      </c>
      <c r="AB28" s="34">
        <f t="shared" si="8"/>
        <v>0</v>
      </c>
      <c r="AC28" s="34">
        <f t="shared" si="8"/>
        <v>0</v>
      </c>
      <c r="AD28" s="35">
        <f t="shared" si="8"/>
        <v>102215475</v>
      </c>
      <c r="AP28" s="33">
        <f>SUM(AP22:AP27)</f>
        <v>90487612</v>
      </c>
      <c r="AQ28" s="33">
        <f>SUM(AQ22:AQ27)</f>
        <v>2634722</v>
      </c>
    </row>
    <row r="29" spans="1:43" s="6" customFormat="1" x14ac:dyDescent="0.2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  <c r="AP29" s="42"/>
      <c r="AQ29" s="42"/>
    </row>
    <row r="30" spans="1:43" s="6" customFormat="1" x14ac:dyDescent="0.2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  <c r="AP30" s="42"/>
      <c r="AQ30" s="42"/>
    </row>
    <row r="31" spans="1:43" s="6" customFormat="1" x14ac:dyDescent="0.2">
      <c r="A31" s="11" t="s">
        <v>58</v>
      </c>
      <c r="B31" s="14" t="s">
        <v>16</v>
      </c>
      <c r="C31" s="15">
        <f t="shared" ref="C31:C36" si="10">+AP31+AQ31</f>
        <v>9121691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ref="AD31:AD36" si="11">SUM(C31:AC31)</f>
        <v>9121691</v>
      </c>
      <c r="AP31" s="39">
        <v>9121691</v>
      </c>
      <c r="AQ31" s="39"/>
    </row>
    <row r="32" spans="1:43" s="6" customFormat="1" x14ac:dyDescent="0.2">
      <c r="A32" s="11" t="s">
        <v>139</v>
      </c>
      <c r="B32" s="14" t="s">
        <v>17</v>
      </c>
      <c r="C32" s="15">
        <f t="shared" si="10"/>
        <v>3192943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11"/>
        <v>3192943</v>
      </c>
      <c r="AP32" s="39">
        <v>3192943</v>
      </c>
      <c r="AQ32" s="39"/>
    </row>
    <row r="33" spans="1:43" s="6" customFormat="1" ht="25.5" x14ac:dyDescent="0.2">
      <c r="A33" s="11" t="s">
        <v>59</v>
      </c>
      <c r="B33" s="14" t="s">
        <v>18</v>
      </c>
      <c r="C33" s="15">
        <f t="shared" si="10"/>
        <v>410670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11"/>
        <v>410670</v>
      </c>
      <c r="AP33" s="39">
        <f>297488+113182</f>
        <v>410670</v>
      </c>
      <c r="AQ33" s="39"/>
    </row>
    <row r="34" spans="1:43" s="6" customFormat="1" x14ac:dyDescent="0.2">
      <c r="A34" s="11" t="s">
        <v>60</v>
      </c>
      <c r="B34" s="14" t="s">
        <v>19</v>
      </c>
      <c r="C34" s="15">
        <f t="shared" si="10"/>
        <v>240663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31000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11"/>
        <v>271663</v>
      </c>
      <c r="AP34" s="39">
        <v>240663</v>
      </c>
      <c r="AQ34" s="39"/>
    </row>
    <row r="35" spans="1:43" s="6" customFormat="1" x14ac:dyDescent="0.2">
      <c r="A35" s="11" t="s">
        <v>61</v>
      </c>
      <c r="B35" s="14" t="s">
        <v>20</v>
      </c>
      <c r="C35" s="15">
        <f t="shared" si="10"/>
        <v>153898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11"/>
        <v>153898</v>
      </c>
      <c r="AP35" s="39">
        <v>153898</v>
      </c>
      <c r="AQ35" s="39"/>
    </row>
    <row r="36" spans="1:43" s="6" customFormat="1" x14ac:dyDescent="0.2">
      <c r="A36" s="11" t="s">
        <v>62</v>
      </c>
      <c r="B36" s="14" t="s">
        <v>21</v>
      </c>
      <c r="C36" s="15">
        <f t="shared" si="10"/>
        <v>11472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11"/>
        <v>11472</v>
      </c>
      <c r="AP36" s="39">
        <v>11472</v>
      </c>
      <c r="AQ36" s="39"/>
    </row>
    <row r="37" spans="1:43" s="6" customFormat="1" x14ac:dyDescent="0.2">
      <c r="A37" s="36" t="s">
        <v>78</v>
      </c>
      <c r="B37" s="32"/>
      <c r="C37" s="33">
        <f t="shared" ref="C37:AD37" si="12">SUM(C31:C36)</f>
        <v>13131337</v>
      </c>
      <c r="D37" s="34">
        <f t="shared" si="12"/>
        <v>0</v>
      </c>
      <c r="E37" s="34">
        <f t="shared" si="12"/>
        <v>0</v>
      </c>
      <c r="F37" s="34">
        <f t="shared" si="12"/>
        <v>0</v>
      </c>
      <c r="G37" s="34">
        <f t="shared" si="12"/>
        <v>0</v>
      </c>
      <c r="H37" s="34">
        <f t="shared" si="12"/>
        <v>0</v>
      </c>
      <c r="I37" s="34">
        <f t="shared" si="12"/>
        <v>0</v>
      </c>
      <c r="J37" s="34">
        <f t="shared" ref="J37" si="13">SUM(J31:J36)</f>
        <v>0</v>
      </c>
      <c r="K37" s="34">
        <f t="shared" si="12"/>
        <v>0</v>
      </c>
      <c r="L37" s="34">
        <f t="shared" si="12"/>
        <v>0</v>
      </c>
      <c r="M37" s="34">
        <f t="shared" si="12"/>
        <v>0</v>
      </c>
      <c r="N37" s="34">
        <f t="shared" si="12"/>
        <v>31000</v>
      </c>
      <c r="O37" s="34">
        <f t="shared" si="12"/>
        <v>0</v>
      </c>
      <c r="P37" s="34">
        <f t="shared" si="12"/>
        <v>0</v>
      </c>
      <c r="Q37" s="34">
        <f t="shared" si="12"/>
        <v>0</v>
      </c>
      <c r="R37" s="34">
        <f t="shared" si="12"/>
        <v>0</v>
      </c>
      <c r="S37" s="34">
        <f t="shared" si="12"/>
        <v>0</v>
      </c>
      <c r="T37" s="34">
        <f t="shared" si="12"/>
        <v>0</v>
      </c>
      <c r="U37" s="34">
        <f t="shared" si="12"/>
        <v>0</v>
      </c>
      <c r="V37" s="34">
        <f t="shared" si="12"/>
        <v>0</v>
      </c>
      <c r="W37" s="34">
        <f t="shared" si="12"/>
        <v>0</v>
      </c>
      <c r="X37" s="34">
        <f t="shared" si="12"/>
        <v>0</v>
      </c>
      <c r="Y37" s="34">
        <f t="shared" si="12"/>
        <v>0</v>
      </c>
      <c r="Z37" s="34">
        <f t="shared" si="12"/>
        <v>0</v>
      </c>
      <c r="AA37" s="34">
        <f t="shared" si="12"/>
        <v>0</v>
      </c>
      <c r="AB37" s="34">
        <f t="shared" si="12"/>
        <v>0</v>
      </c>
      <c r="AC37" s="34">
        <f t="shared" si="12"/>
        <v>0</v>
      </c>
      <c r="AD37" s="35">
        <f t="shared" si="12"/>
        <v>13162337</v>
      </c>
      <c r="AP37" s="33">
        <f>SUM(AP31:AP36)</f>
        <v>13131337</v>
      </c>
      <c r="AQ37" s="41"/>
    </row>
    <row r="38" spans="1:43" s="6" customFormat="1" ht="1.9" customHeight="1" x14ac:dyDescent="0.2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  <c r="AP38" s="42"/>
      <c r="AQ38" s="42"/>
    </row>
    <row r="39" spans="1:43" s="6" customFormat="1" x14ac:dyDescent="0.2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  <c r="AP39" s="42"/>
      <c r="AQ39" s="42"/>
    </row>
    <row r="40" spans="1:43" s="6" customFormat="1" x14ac:dyDescent="0.2">
      <c r="A40" s="11" t="s">
        <v>58</v>
      </c>
      <c r="B40" s="14" t="s">
        <v>16</v>
      </c>
      <c r="C40" s="15">
        <f t="shared" ref="C40:C45" si="14">+AP40+AQ40</f>
        <v>3920691</v>
      </c>
      <c r="D40" s="16">
        <v>0</v>
      </c>
      <c r="E40" s="16">
        <v>0</v>
      </c>
      <c r="F40" s="16">
        <v>382598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ref="AD40:AD45" si="15">SUM(C40:AC40)</f>
        <v>4303289</v>
      </c>
      <c r="AP40" s="39">
        <v>3668648</v>
      </c>
      <c r="AQ40" s="39">
        <v>252043</v>
      </c>
    </row>
    <row r="41" spans="1:43" s="6" customFormat="1" x14ac:dyDescent="0.2">
      <c r="A41" s="11" t="s">
        <v>139</v>
      </c>
      <c r="B41" s="14" t="s">
        <v>17</v>
      </c>
      <c r="C41" s="15">
        <f t="shared" si="14"/>
        <v>1440422</v>
      </c>
      <c r="D41" s="16">
        <v>0</v>
      </c>
      <c r="E41" s="16">
        <v>0</v>
      </c>
      <c r="F41" s="16">
        <v>127777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15"/>
        <v>1568199</v>
      </c>
      <c r="AP41" s="39">
        <v>1366182</v>
      </c>
      <c r="AQ41" s="39">
        <v>74240</v>
      </c>
    </row>
    <row r="42" spans="1:43" s="6" customFormat="1" ht="25.5" x14ac:dyDescent="0.2">
      <c r="A42" s="11" t="s">
        <v>59</v>
      </c>
      <c r="B42" s="14" t="s">
        <v>18</v>
      </c>
      <c r="C42" s="15">
        <f t="shared" si="14"/>
        <v>1002950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15"/>
        <v>1002950</v>
      </c>
      <c r="AP42" s="39">
        <f>466575+30500+472889</f>
        <v>969964</v>
      </c>
      <c r="AQ42" s="39">
        <v>32986</v>
      </c>
    </row>
    <row r="43" spans="1:43" s="6" customFormat="1" x14ac:dyDescent="0.2">
      <c r="A43" s="11" t="s">
        <v>60</v>
      </c>
      <c r="B43" s="14" t="s">
        <v>19</v>
      </c>
      <c r="C43" s="15">
        <f t="shared" si="14"/>
        <v>203925</v>
      </c>
      <c r="D43" s="16">
        <v>0</v>
      </c>
      <c r="E43" s="16">
        <v>0</v>
      </c>
      <c r="F43" s="16">
        <v>2616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10000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15"/>
        <v>216541</v>
      </c>
      <c r="AP43" s="39">
        <v>183724</v>
      </c>
      <c r="AQ43" s="39">
        <v>20201</v>
      </c>
    </row>
    <row r="44" spans="1:43" s="6" customFormat="1" x14ac:dyDescent="0.2">
      <c r="A44" s="11" t="s">
        <v>61</v>
      </c>
      <c r="B44" s="14" t="s">
        <v>20</v>
      </c>
      <c r="C44" s="15">
        <f t="shared" si="14"/>
        <v>34361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15"/>
        <v>34361</v>
      </c>
      <c r="AP44" s="39">
        <v>27746</v>
      </c>
      <c r="AQ44" s="39">
        <v>6615</v>
      </c>
    </row>
    <row r="45" spans="1:43" s="6" customFormat="1" x14ac:dyDescent="0.2">
      <c r="A45" s="11" t="s">
        <v>62</v>
      </c>
      <c r="B45" s="14" t="s">
        <v>21</v>
      </c>
      <c r="C45" s="15">
        <f t="shared" si="14"/>
        <v>72418</v>
      </c>
      <c r="D45" s="16">
        <v>0</v>
      </c>
      <c r="E45" s="16">
        <v>0</v>
      </c>
      <c r="F45" s="16">
        <v>2369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15"/>
        <v>74787</v>
      </c>
      <c r="AP45" s="39">
        <v>61944</v>
      </c>
      <c r="AQ45" s="39">
        <v>10474</v>
      </c>
    </row>
    <row r="46" spans="1:43" s="6" customFormat="1" x14ac:dyDescent="0.2">
      <c r="A46" s="36" t="s">
        <v>79</v>
      </c>
      <c r="B46" s="32"/>
      <c r="C46" s="33">
        <f t="shared" ref="C46:AD46" si="16">SUM(C40:C45)</f>
        <v>6674767</v>
      </c>
      <c r="D46" s="34">
        <f t="shared" si="16"/>
        <v>0</v>
      </c>
      <c r="E46" s="34">
        <f t="shared" si="16"/>
        <v>0</v>
      </c>
      <c r="F46" s="34">
        <f t="shared" si="16"/>
        <v>515360</v>
      </c>
      <c r="G46" s="34">
        <f t="shared" si="16"/>
        <v>0</v>
      </c>
      <c r="H46" s="34">
        <f t="shared" si="16"/>
        <v>0</v>
      </c>
      <c r="I46" s="34">
        <f t="shared" si="16"/>
        <v>0</v>
      </c>
      <c r="J46" s="34">
        <f t="shared" ref="J46" si="17">SUM(J40:J45)</f>
        <v>0</v>
      </c>
      <c r="K46" s="34">
        <f t="shared" si="16"/>
        <v>0</v>
      </c>
      <c r="L46" s="34">
        <f t="shared" si="16"/>
        <v>0</v>
      </c>
      <c r="M46" s="34">
        <f t="shared" si="16"/>
        <v>0</v>
      </c>
      <c r="N46" s="34">
        <f t="shared" si="16"/>
        <v>10000</v>
      </c>
      <c r="O46" s="34">
        <f t="shared" si="16"/>
        <v>0</v>
      </c>
      <c r="P46" s="34">
        <f t="shared" si="16"/>
        <v>0</v>
      </c>
      <c r="Q46" s="34">
        <f t="shared" si="16"/>
        <v>0</v>
      </c>
      <c r="R46" s="34">
        <f t="shared" si="16"/>
        <v>0</v>
      </c>
      <c r="S46" s="34">
        <f t="shared" si="16"/>
        <v>0</v>
      </c>
      <c r="T46" s="34">
        <f t="shared" si="16"/>
        <v>0</v>
      </c>
      <c r="U46" s="34">
        <f t="shared" si="16"/>
        <v>0</v>
      </c>
      <c r="V46" s="34">
        <f t="shared" si="16"/>
        <v>0</v>
      </c>
      <c r="W46" s="34">
        <f t="shared" si="16"/>
        <v>0</v>
      </c>
      <c r="X46" s="34">
        <f t="shared" si="16"/>
        <v>0</v>
      </c>
      <c r="Y46" s="34">
        <f t="shared" si="16"/>
        <v>0</v>
      </c>
      <c r="Z46" s="34">
        <f t="shared" si="16"/>
        <v>0</v>
      </c>
      <c r="AA46" s="34">
        <f t="shared" si="16"/>
        <v>0</v>
      </c>
      <c r="AB46" s="34">
        <f t="shared" si="16"/>
        <v>0</v>
      </c>
      <c r="AC46" s="34">
        <f t="shared" si="16"/>
        <v>0</v>
      </c>
      <c r="AD46" s="35">
        <f t="shared" si="16"/>
        <v>7200127</v>
      </c>
      <c r="AP46" s="33">
        <f>SUM(AP40:AP45)</f>
        <v>6278208</v>
      </c>
      <c r="AQ46" s="33">
        <f>SUM(AQ40:AQ45)</f>
        <v>396559</v>
      </c>
    </row>
    <row r="47" spans="1:43" s="6" customFormat="1" ht="1.9" customHeight="1" x14ac:dyDescent="0.2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  <c r="AP47" s="42"/>
      <c r="AQ47" s="42"/>
    </row>
    <row r="48" spans="1:43" s="6" customFormat="1" ht="25.5" x14ac:dyDescent="0.2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  <c r="AP48" s="42"/>
      <c r="AQ48" s="42"/>
    </row>
    <row r="49" spans="1:43" s="6" customFormat="1" x14ac:dyDescent="0.2">
      <c r="A49" s="11" t="s">
        <v>58</v>
      </c>
      <c r="B49" s="14" t="s">
        <v>16</v>
      </c>
      <c r="C49" s="15">
        <f t="shared" ref="C49:C54" si="18">+AP49+AQ49</f>
        <v>953513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ref="AD49:AD54" si="19">SUM(C49:AC49)</f>
        <v>953513</v>
      </c>
      <c r="AP49" s="39">
        <v>953513</v>
      </c>
      <c r="AQ49" s="39"/>
    </row>
    <row r="50" spans="1:43" s="6" customFormat="1" x14ac:dyDescent="0.2">
      <c r="A50" s="11" t="s">
        <v>139</v>
      </c>
      <c r="B50" s="14" t="s">
        <v>17</v>
      </c>
      <c r="C50" s="15">
        <f t="shared" si="18"/>
        <v>329075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19"/>
        <v>329075</v>
      </c>
      <c r="AP50" s="39">
        <v>329075</v>
      </c>
      <c r="AQ50" s="39"/>
    </row>
    <row r="51" spans="1:43" s="6" customFormat="1" ht="25.5" x14ac:dyDescent="0.2">
      <c r="A51" s="11" t="s">
        <v>59</v>
      </c>
      <c r="B51" s="14" t="s">
        <v>18</v>
      </c>
      <c r="C51" s="15">
        <f t="shared" si="18"/>
        <v>1146102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19"/>
        <v>1146102</v>
      </c>
      <c r="AP51" s="39">
        <f>1022942+123160</f>
        <v>1146102</v>
      </c>
      <c r="AQ51" s="39"/>
    </row>
    <row r="52" spans="1:43" s="6" customFormat="1" x14ac:dyDescent="0.2">
      <c r="A52" s="11" t="s">
        <v>60</v>
      </c>
      <c r="B52" s="14" t="s">
        <v>19</v>
      </c>
      <c r="C52" s="15">
        <f t="shared" si="18"/>
        <v>30447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19"/>
        <v>30447</v>
      </c>
      <c r="AP52" s="39">
        <v>30447</v>
      </c>
      <c r="AQ52" s="39"/>
    </row>
    <row r="53" spans="1:43" s="6" customFormat="1" x14ac:dyDescent="0.2">
      <c r="A53" s="11" t="s">
        <v>61</v>
      </c>
      <c r="B53" s="14" t="s">
        <v>20</v>
      </c>
      <c r="C53" s="15">
        <f t="shared" si="18"/>
        <v>13589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19"/>
        <v>13589</v>
      </c>
      <c r="AP53" s="39">
        <v>13589</v>
      </c>
      <c r="AQ53" s="39"/>
    </row>
    <row r="54" spans="1:43" s="6" customFormat="1" x14ac:dyDescent="0.2">
      <c r="A54" s="11" t="s">
        <v>62</v>
      </c>
      <c r="B54" s="14" t="s">
        <v>21</v>
      </c>
      <c r="C54" s="15">
        <f t="shared" si="18"/>
        <v>126907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19"/>
        <v>126907</v>
      </c>
      <c r="AP54" s="39">
        <v>126907</v>
      </c>
      <c r="AQ54" s="39"/>
    </row>
    <row r="55" spans="1:43" s="6" customFormat="1" x14ac:dyDescent="0.2">
      <c r="A55" s="36" t="s">
        <v>80</v>
      </c>
      <c r="B55" s="32"/>
      <c r="C55" s="33">
        <f t="shared" ref="C55:AD55" si="20">SUM(C49:C54)</f>
        <v>2599633</v>
      </c>
      <c r="D55" s="34">
        <f t="shared" si="20"/>
        <v>0</v>
      </c>
      <c r="E55" s="34">
        <f t="shared" si="20"/>
        <v>0</v>
      </c>
      <c r="F55" s="34">
        <f t="shared" si="20"/>
        <v>0</v>
      </c>
      <c r="G55" s="34">
        <f t="shared" si="20"/>
        <v>0</v>
      </c>
      <c r="H55" s="34">
        <f t="shared" si="20"/>
        <v>0</v>
      </c>
      <c r="I55" s="34">
        <f t="shared" si="20"/>
        <v>0</v>
      </c>
      <c r="J55" s="34">
        <f t="shared" ref="J55" si="21">SUM(J49:J54)</f>
        <v>0</v>
      </c>
      <c r="K55" s="34">
        <f t="shared" si="20"/>
        <v>0</v>
      </c>
      <c r="L55" s="34">
        <f t="shared" si="20"/>
        <v>0</v>
      </c>
      <c r="M55" s="34">
        <f t="shared" si="20"/>
        <v>0</v>
      </c>
      <c r="N55" s="34">
        <f t="shared" si="20"/>
        <v>0</v>
      </c>
      <c r="O55" s="34">
        <f t="shared" si="20"/>
        <v>0</v>
      </c>
      <c r="P55" s="34">
        <f t="shared" si="20"/>
        <v>0</v>
      </c>
      <c r="Q55" s="34">
        <f t="shared" si="20"/>
        <v>0</v>
      </c>
      <c r="R55" s="34">
        <f t="shared" si="20"/>
        <v>0</v>
      </c>
      <c r="S55" s="34">
        <f t="shared" si="20"/>
        <v>0</v>
      </c>
      <c r="T55" s="34">
        <f t="shared" si="20"/>
        <v>0</v>
      </c>
      <c r="U55" s="34">
        <f t="shared" si="20"/>
        <v>0</v>
      </c>
      <c r="V55" s="34">
        <f t="shared" si="20"/>
        <v>0</v>
      </c>
      <c r="W55" s="34">
        <f t="shared" si="20"/>
        <v>0</v>
      </c>
      <c r="X55" s="34">
        <f t="shared" si="20"/>
        <v>0</v>
      </c>
      <c r="Y55" s="34">
        <f t="shared" si="20"/>
        <v>0</v>
      </c>
      <c r="Z55" s="34">
        <f t="shared" si="20"/>
        <v>0</v>
      </c>
      <c r="AA55" s="34">
        <f t="shared" si="20"/>
        <v>0</v>
      </c>
      <c r="AB55" s="34">
        <f t="shared" si="20"/>
        <v>0</v>
      </c>
      <c r="AC55" s="34">
        <f t="shared" si="20"/>
        <v>0</v>
      </c>
      <c r="AD55" s="35">
        <f t="shared" si="20"/>
        <v>2599633</v>
      </c>
      <c r="AP55" s="33">
        <f>SUM(AP49:AP54)</f>
        <v>2599633</v>
      </c>
      <c r="AQ55" s="41"/>
    </row>
    <row r="56" spans="1:43" s="6" customFormat="1" ht="1.9" customHeight="1" x14ac:dyDescent="0.2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  <c r="AP56" s="42"/>
      <c r="AQ56" s="42"/>
    </row>
    <row r="57" spans="1:43" s="6" customFormat="1" x14ac:dyDescent="0.2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  <c r="AP57" s="42"/>
      <c r="AQ57" s="42"/>
    </row>
    <row r="58" spans="1:43" s="6" customFormat="1" x14ac:dyDescent="0.2">
      <c r="A58" s="11" t="s">
        <v>58</v>
      </c>
      <c r="B58" s="14" t="s">
        <v>16</v>
      </c>
      <c r="C58" s="15">
        <f t="shared" ref="C58:C63" si="22">+AP58+AQ58</f>
        <v>9876106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ref="AD58:AD63" si="23">SUM(C58:AC58)</f>
        <v>9876106</v>
      </c>
      <c r="AP58" s="39">
        <v>9534864</v>
      </c>
      <c r="AQ58" s="39">
        <v>341242</v>
      </c>
    </row>
    <row r="59" spans="1:43" s="6" customFormat="1" x14ac:dyDescent="0.2">
      <c r="A59" s="11" t="s">
        <v>139</v>
      </c>
      <c r="B59" s="14" t="s">
        <v>17</v>
      </c>
      <c r="C59" s="15">
        <f t="shared" si="22"/>
        <v>3174910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23"/>
        <v>3174910</v>
      </c>
      <c r="AP59" s="39">
        <v>3064791</v>
      </c>
      <c r="AQ59" s="39">
        <v>110119</v>
      </c>
    </row>
    <row r="60" spans="1:43" s="6" customFormat="1" ht="25.5" x14ac:dyDescent="0.2">
      <c r="A60" s="11" t="s">
        <v>59</v>
      </c>
      <c r="B60" s="14" t="s">
        <v>18</v>
      </c>
      <c r="C60" s="15">
        <f t="shared" si="22"/>
        <v>99042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23"/>
        <v>99042</v>
      </c>
      <c r="AP60" s="39">
        <f>28360+40137+30545</f>
        <v>99042</v>
      </c>
      <c r="AQ60" s="39">
        <v>0</v>
      </c>
    </row>
    <row r="61" spans="1:43" s="6" customFormat="1" x14ac:dyDescent="0.2">
      <c r="A61" s="11" t="s">
        <v>60</v>
      </c>
      <c r="B61" s="14" t="s">
        <v>19</v>
      </c>
      <c r="C61" s="15">
        <f t="shared" si="22"/>
        <v>207666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23"/>
        <v>207666</v>
      </c>
      <c r="AP61" s="39">
        <v>207666</v>
      </c>
      <c r="AQ61" s="39">
        <v>0</v>
      </c>
    </row>
    <row r="62" spans="1:43" s="6" customFormat="1" x14ac:dyDescent="0.2">
      <c r="A62" s="11" t="s">
        <v>61</v>
      </c>
      <c r="B62" s="14" t="s">
        <v>20</v>
      </c>
      <c r="C62" s="15">
        <f t="shared" si="22"/>
        <v>11064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23"/>
        <v>11064</v>
      </c>
      <c r="AP62" s="39">
        <v>11064</v>
      </c>
      <c r="AQ62" s="39"/>
    </row>
    <row r="63" spans="1:43" s="6" customFormat="1" x14ac:dyDescent="0.2">
      <c r="A63" s="11" t="s">
        <v>62</v>
      </c>
      <c r="B63" s="14" t="s">
        <v>21</v>
      </c>
      <c r="C63" s="15">
        <f t="shared" si="22"/>
        <v>30630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23"/>
        <v>30630</v>
      </c>
      <c r="AP63" s="39">
        <v>30630</v>
      </c>
      <c r="AQ63" s="39"/>
    </row>
    <row r="64" spans="1:43" s="6" customFormat="1" x14ac:dyDescent="0.2">
      <c r="A64" s="36" t="s">
        <v>80</v>
      </c>
      <c r="B64" s="32"/>
      <c r="C64" s="33">
        <f t="shared" ref="C64:AD64" si="24">SUM(C58:C63)</f>
        <v>13399418</v>
      </c>
      <c r="D64" s="34">
        <f t="shared" si="24"/>
        <v>0</v>
      </c>
      <c r="E64" s="34">
        <f t="shared" si="24"/>
        <v>0</v>
      </c>
      <c r="F64" s="34">
        <f t="shared" si="24"/>
        <v>0</v>
      </c>
      <c r="G64" s="34">
        <f t="shared" si="24"/>
        <v>0</v>
      </c>
      <c r="H64" s="34">
        <f t="shared" si="24"/>
        <v>0</v>
      </c>
      <c r="I64" s="34">
        <f t="shared" si="24"/>
        <v>0</v>
      </c>
      <c r="J64" s="34">
        <f t="shared" ref="J64" si="25">SUM(J58:J63)</f>
        <v>0</v>
      </c>
      <c r="K64" s="34">
        <f t="shared" si="24"/>
        <v>0</v>
      </c>
      <c r="L64" s="34">
        <f t="shared" si="24"/>
        <v>0</v>
      </c>
      <c r="M64" s="34">
        <f t="shared" si="24"/>
        <v>0</v>
      </c>
      <c r="N64" s="34">
        <f t="shared" si="24"/>
        <v>0</v>
      </c>
      <c r="O64" s="34">
        <f t="shared" si="24"/>
        <v>0</v>
      </c>
      <c r="P64" s="34">
        <f t="shared" si="24"/>
        <v>0</v>
      </c>
      <c r="Q64" s="34">
        <f t="shared" si="24"/>
        <v>0</v>
      </c>
      <c r="R64" s="34">
        <f t="shared" si="24"/>
        <v>0</v>
      </c>
      <c r="S64" s="34">
        <f t="shared" si="24"/>
        <v>0</v>
      </c>
      <c r="T64" s="34">
        <f t="shared" si="24"/>
        <v>0</v>
      </c>
      <c r="U64" s="34">
        <f t="shared" si="24"/>
        <v>0</v>
      </c>
      <c r="V64" s="34">
        <f t="shared" si="24"/>
        <v>0</v>
      </c>
      <c r="W64" s="34">
        <f t="shared" si="24"/>
        <v>0</v>
      </c>
      <c r="X64" s="34">
        <f t="shared" si="24"/>
        <v>0</v>
      </c>
      <c r="Y64" s="34">
        <f t="shared" si="24"/>
        <v>0</v>
      </c>
      <c r="Z64" s="34">
        <f t="shared" si="24"/>
        <v>0</v>
      </c>
      <c r="AA64" s="34">
        <f t="shared" si="24"/>
        <v>0</v>
      </c>
      <c r="AB64" s="34">
        <f t="shared" si="24"/>
        <v>0</v>
      </c>
      <c r="AC64" s="34">
        <f t="shared" si="24"/>
        <v>0</v>
      </c>
      <c r="AD64" s="35">
        <f t="shared" si="24"/>
        <v>13399418</v>
      </c>
      <c r="AP64" s="33">
        <f>SUM(AP58:AP63)</f>
        <v>12948057</v>
      </c>
      <c r="AQ64" s="33">
        <f>SUM(AQ58:AQ63)</f>
        <v>451361</v>
      </c>
    </row>
    <row r="65" spans="1:43" s="6" customFormat="1" ht="1.9" customHeight="1" x14ac:dyDescent="0.2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  <c r="AP65" s="42"/>
      <c r="AQ65" s="42"/>
    </row>
    <row r="66" spans="1:43" s="6" customFormat="1" ht="25.5" x14ac:dyDescent="0.2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  <c r="AP66" s="42"/>
      <c r="AQ66" s="42"/>
    </row>
    <row r="67" spans="1:43" s="6" customFormat="1" x14ac:dyDescent="0.2">
      <c r="A67" s="11" t="s">
        <v>58</v>
      </c>
      <c r="B67" s="14" t="s">
        <v>16</v>
      </c>
      <c r="C67" s="15">
        <f t="shared" ref="C67:C72" si="26">+AP67+AQ67</f>
        <v>2183973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ref="AD67:AD72" si="27">SUM(C67:AC67)</f>
        <v>2183973</v>
      </c>
      <c r="AP67" s="39">
        <v>2183973</v>
      </c>
      <c r="AQ67" s="39"/>
    </row>
    <row r="68" spans="1:43" s="6" customFormat="1" x14ac:dyDescent="0.2">
      <c r="A68" s="11" t="s">
        <v>139</v>
      </c>
      <c r="B68" s="14" t="s">
        <v>17</v>
      </c>
      <c r="C68" s="15">
        <f t="shared" si="26"/>
        <v>769631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t="shared" si="27"/>
        <v>769631</v>
      </c>
      <c r="AP68" s="39">
        <v>769631</v>
      </c>
      <c r="AQ68" s="39"/>
    </row>
    <row r="69" spans="1:43" s="6" customFormat="1" ht="25.5" x14ac:dyDescent="0.2">
      <c r="A69" s="11" t="s">
        <v>59</v>
      </c>
      <c r="B69" s="14" t="s">
        <v>18</v>
      </c>
      <c r="C69" s="15">
        <f t="shared" si="26"/>
        <v>512101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27"/>
        <v>512101</v>
      </c>
      <c r="AP69" s="39">
        <f>83858+397717+30526</f>
        <v>512101</v>
      </c>
      <c r="AQ69" s="39"/>
    </row>
    <row r="70" spans="1:43" s="6" customFormat="1" x14ac:dyDescent="0.2">
      <c r="A70" s="11" t="s">
        <v>60</v>
      </c>
      <c r="B70" s="14" t="s">
        <v>19</v>
      </c>
      <c r="C70" s="15">
        <f t="shared" si="26"/>
        <v>222603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5000</v>
      </c>
      <c r="O70" s="16">
        <v>0</v>
      </c>
      <c r="P70" s="16">
        <v>0</v>
      </c>
      <c r="Q70" s="16">
        <v>0</v>
      </c>
      <c r="R70" s="16">
        <v>0</v>
      </c>
      <c r="S70" s="16"/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27"/>
        <v>227603</v>
      </c>
      <c r="AP70" s="39">
        <v>222603</v>
      </c>
      <c r="AQ70" s="39"/>
    </row>
    <row r="71" spans="1:43" s="6" customFormat="1" x14ac:dyDescent="0.2">
      <c r="A71" s="11" t="s">
        <v>61</v>
      </c>
      <c r="B71" s="14" t="s">
        <v>20</v>
      </c>
      <c r="C71" s="15">
        <f t="shared" si="26"/>
        <v>41368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/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27"/>
        <v>41368</v>
      </c>
      <c r="AP71" s="39">
        <v>41368</v>
      </c>
      <c r="AQ71" s="39"/>
    </row>
    <row r="72" spans="1:43" s="6" customFormat="1" x14ac:dyDescent="0.2">
      <c r="A72" s="11" t="s">
        <v>62</v>
      </c>
      <c r="B72" s="14" t="s">
        <v>21</v>
      </c>
      <c r="C72" s="15">
        <f t="shared" si="26"/>
        <v>-580445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27"/>
        <v>-580445</v>
      </c>
      <c r="AP72" s="39">
        <v>-580445</v>
      </c>
      <c r="AQ72" s="39"/>
    </row>
    <row r="73" spans="1:43" s="6" customFormat="1" x14ac:dyDescent="0.2">
      <c r="A73" s="36" t="s">
        <v>91</v>
      </c>
      <c r="B73" s="32"/>
      <c r="C73" s="33">
        <f t="shared" ref="C73:AD73" si="28">SUM(C67:C72)</f>
        <v>3149231</v>
      </c>
      <c r="D73" s="34">
        <f t="shared" si="28"/>
        <v>0</v>
      </c>
      <c r="E73" s="34">
        <f t="shared" si="28"/>
        <v>0</v>
      </c>
      <c r="F73" s="34">
        <f t="shared" si="28"/>
        <v>0</v>
      </c>
      <c r="G73" s="34">
        <f t="shared" si="28"/>
        <v>0</v>
      </c>
      <c r="H73" s="34">
        <f t="shared" si="28"/>
        <v>0</v>
      </c>
      <c r="I73" s="34">
        <f t="shared" si="28"/>
        <v>0</v>
      </c>
      <c r="J73" s="34">
        <f t="shared" ref="J73" si="29">SUM(J67:J72)</f>
        <v>0</v>
      </c>
      <c r="K73" s="34">
        <f t="shared" si="28"/>
        <v>0</v>
      </c>
      <c r="L73" s="34">
        <f t="shared" si="28"/>
        <v>0</v>
      </c>
      <c r="M73" s="34">
        <f t="shared" si="28"/>
        <v>0</v>
      </c>
      <c r="N73" s="34">
        <f t="shared" si="28"/>
        <v>5000</v>
      </c>
      <c r="O73" s="34">
        <f t="shared" si="28"/>
        <v>0</v>
      </c>
      <c r="P73" s="34">
        <f t="shared" si="28"/>
        <v>0</v>
      </c>
      <c r="Q73" s="34">
        <f t="shared" si="28"/>
        <v>0</v>
      </c>
      <c r="R73" s="34">
        <f t="shared" si="28"/>
        <v>0</v>
      </c>
      <c r="S73" s="34">
        <f t="shared" si="28"/>
        <v>0</v>
      </c>
      <c r="T73" s="34">
        <f t="shared" si="28"/>
        <v>0</v>
      </c>
      <c r="U73" s="34">
        <f t="shared" si="28"/>
        <v>0</v>
      </c>
      <c r="V73" s="34">
        <f t="shared" si="28"/>
        <v>0</v>
      </c>
      <c r="W73" s="34">
        <f t="shared" si="28"/>
        <v>0</v>
      </c>
      <c r="X73" s="34">
        <f t="shared" si="28"/>
        <v>0</v>
      </c>
      <c r="Y73" s="34">
        <f t="shared" si="28"/>
        <v>0</v>
      </c>
      <c r="Z73" s="34">
        <f t="shared" si="28"/>
        <v>0</v>
      </c>
      <c r="AA73" s="34">
        <f t="shared" si="28"/>
        <v>0</v>
      </c>
      <c r="AB73" s="34">
        <f t="shared" si="28"/>
        <v>0</v>
      </c>
      <c r="AC73" s="34">
        <f t="shared" si="28"/>
        <v>0</v>
      </c>
      <c r="AD73" s="35">
        <f t="shared" si="28"/>
        <v>3154231</v>
      </c>
      <c r="AP73" s="33">
        <f>SUM(AP67:AP72)</f>
        <v>3149231</v>
      </c>
      <c r="AQ73" s="41"/>
    </row>
    <row r="74" spans="1:43" s="6" customFormat="1" ht="25.5" x14ac:dyDescent="0.2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  <c r="AP74" s="42"/>
      <c r="AQ74" s="42"/>
    </row>
    <row r="75" spans="1:43" s="6" customFormat="1" x14ac:dyDescent="0.2">
      <c r="A75" s="11" t="s">
        <v>58</v>
      </c>
      <c r="B75" s="14" t="s">
        <v>16</v>
      </c>
      <c r="C75" s="15">
        <f t="shared" ref="C75:C80" si="30">+AP75+AQ75</f>
        <v>9081237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ref="AD75:AD80" si="31">SUM(C75:AC75)</f>
        <v>9081237</v>
      </c>
      <c r="AP75" s="39">
        <v>9080649</v>
      </c>
      <c r="AQ75" s="39">
        <v>588</v>
      </c>
    </row>
    <row r="76" spans="1:43" s="6" customFormat="1" x14ac:dyDescent="0.2">
      <c r="A76" s="11" t="s">
        <v>139</v>
      </c>
      <c r="B76" s="14" t="s">
        <v>17</v>
      </c>
      <c r="C76" s="15">
        <f t="shared" si="30"/>
        <v>3257212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31"/>
        <v>3257212</v>
      </c>
      <c r="AP76" s="39">
        <v>3257078</v>
      </c>
      <c r="AQ76" s="39">
        <v>134</v>
      </c>
    </row>
    <row r="77" spans="1:43" s="6" customFormat="1" ht="25.5" x14ac:dyDescent="0.2">
      <c r="A77" s="11" t="s">
        <v>59</v>
      </c>
      <c r="B77" s="14" t="s">
        <v>18</v>
      </c>
      <c r="C77" s="15">
        <f t="shared" si="30"/>
        <v>2651173</v>
      </c>
      <c r="D77" s="16">
        <v>0</v>
      </c>
      <c r="E77" s="16">
        <f>3100000-90000</f>
        <v>3010000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31"/>
        <v>5661173</v>
      </c>
      <c r="AP77" s="39">
        <f>862946+1730033+27612</f>
        <v>2620591</v>
      </c>
      <c r="AQ77" s="39">
        <v>30582</v>
      </c>
    </row>
    <row r="78" spans="1:43" s="6" customFormat="1" x14ac:dyDescent="0.2">
      <c r="A78" s="11" t="s">
        <v>60</v>
      </c>
      <c r="B78" s="14" t="s">
        <v>19</v>
      </c>
      <c r="C78" s="15">
        <f t="shared" si="30"/>
        <v>6929042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31"/>
        <v>6929042</v>
      </c>
      <c r="AO78" s="45"/>
      <c r="AP78" s="46">
        <f>6929044-2</f>
        <v>6929042</v>
      </c>
      <c r="AQ78" s="39">
        <v>0</v>
      </c>
    </row>
    <row r="79" spans="1:43" s="6" customFormat="1" x14ac:dyDescent="0.2">
      <c r="A79" s="11" t="s">
        <v>61</v>
      </c>
      <c r="B79" s="14" t="s">
        <v>20</v>
      </c>
      <c r="C79" s="15">
        <f t="shared" si="30"/>
        <v>73326</v>
      </c>
      <c r="D79" s="16">
        <v>0</v>
      </c>
      <c r="E79" s="16">
        <v>90000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f>180000+253697</f>
        <v>433697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31"/>
        <v>597023</v>
      </c>
      <c r="AP79" s="39">
        <v>73326</v>
      </c>
      <c r="AQ79" s="39">
        <v>0</v>
      </c>
    </row>
    <row r="80" spans="1:43" s="6" customFormat="1" x14ac:dyDescent="0.2">
      <c r="A80" s="11" t="s">
        <v>62</v>
      </c>
      <c r="B80" s="14" t="s">
        <v>21</v>
      </c>
      <c r="C80" s="15">
        <f t="shared" si="30"/>
        <v>-9598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31"/>
        <v>-9598</v>
      </c>
      <c r="AP80" s="39">
        <v>-9598</v>
      </c>
      <c r="AQ80" s="39">
        <v>0</v>
      </c>
    </row>
    <row r="81" spans="1:43" s="6" customFormat="1" x14ac:dyDescent="0.2">
      <c r="A81" s="36" t="s">
        <v>81</v>
      </c>
      <c r="B81" s="32"/>
      <c r="C81" s="33">
        <f t="shared" ref="C81:AD81" si="32">SUM(C75:C80)</f>
        <v>21982392</v>
      </c>
      <c r="D81" s="34">
        <f t="shared" si="32"/>
        <v>0</v>
      </c>
      <c r="E81" s="34">
        <f t="shared" si="32"/>
        <v>3100000</v>
      </c>
      <c r="F81" s="34">
        <f t="shared" si="32"/>
        <v>0</v>
      </c>
      <c r="G81" s="34">
        <f t="shared" si="32"/>
        <v>0</v>
      </c>
      <c r="H81" s="34">
        <f t="shared" si="32"/>
        <v>0</v>
      </c>
      <c r="I81" s="34">
        <f t="shared" si="32"/>
        <v>0</v>
      </c>
      <c r="J81" s="34">
        <f t="shared" ref="J81" si="33">SUM(J75:J80)</f>
        <v>0</v>
      </c>
      <c r="K81" s="34">
        <f t="shared" si="32"/>
        <v>0</v>
      </c>
      <c r="L81" s="34">
        <f t="shared" si="32"/>
        <v>0</v>
      </c>
      <c r="M81" s="34">
        <f t="shared" si="32"/>
        <v>0</v>
      </c>
      <c r="N81" s="34">
        <f t="shared" si="32"/>
        <v>0</v>
      </c>
      <c r="O81" s="34">
        <f t="shared" si="32"/>
        <v>0</v>
      </c>
      <c r="P81" s="34">
        <f t="shared" si="32"/>
        <v>0</v>
      </c>
      <c r="Q81" s="34">
        <f t="shared" si="32"/>
        <v>0</v>
      </c>
      <c r="R81" s="34">
        <f t="shared" si="32"/>
        <v>0</v>
      </c>
      <c r="S81" s="34">
        <f t="shared" si="32"/>
        <v>433697</v>
      </c>
      <c r="T81" s="34">
        <f t="shared" si="32"/>
        <v>0</v>
      </c>
      <c r="U81" s="34">
        <f t="shared" si="32"/>
        <v>0</v>
      </c>
      <c r="V81" s="34">
        <f t="shared" si="32"/>
        <v>0</v>
      </c>
      <c r="W81" s="34">
        <f t="shared" si="32"/>
        <v>0</v>
      </c>
      <c r="X81" s="34">
        <f t="shared" si="32"/>
        <v>0</v>
      </c>
      <c r="Y81" s="34">
        <f t="shared" si="32"/>
        <v>0</v>
      </c>
      <c r="Z81" s="34">
        <f t="shared" si="32"/>
        <v>0</v>
      </c>
      <c r="AA81" s="34">
        <f t="shared" si="32"/>
        <v>0</v>
      </c>
      <c r="AB81" s="34">
        <f t="shared" si="32"/>
        <v>0</v>
      </c>
      <c r="AC81" s="34">
        <f t="shared" si="32"/>
        <v>0</v>
      </c>
      <c r="AD81" s="35">
        <f t="shared" si="32"/>
        <v>25516089</v>
      </c>
      <c r="AP81" s="33">
        <f>SUM(AP75:AP80)</f>
        <v>21951088</v>
      </c>
      <c r="AQ81" s="33">
        <f>SUM(AQ75:AQ80)</f>
        <v>31304</v>
      </c>
    </row>
    <row r="82" spans="1:43" s="6" customFormat="1" ht="1.9" customHeight="1" x14ac:dyDescent="0.2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  <c r="AP82" s="42"/>
      <c r="AQ82" s="42"/>
    </row>
    <row r="83" spans="1:43" s="6" customFormat="1" x14ac:dyDescent="0.2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  <c r="AP83" s="42"/>
      <c r="AQ83" s="42"/>
    </row>
    <row r="84" spans="1:43" s="6" customFormat="1" x14ac:dyDescent="0.2">
      <c r="A84" s="11" t="s">
        <v>58</v>
      </c>
      <c r="B84" s="14" t="s">
        <v>16</v>
      </c>
      <c r="C84" s="15">
        <f t="shared" ref="C84:C89" si="34">+AP84+AQ84</f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ref="AD84:AD89" si="35">SUM(C84:AC84)</f>
        <v>0</v>
      </c>
      <c r="AP84" s="39">
        <v>0</v>
      </c>
      <c r="AQ84" s="39"/>
    </row>
    <row r="85" spans="1:43" s="6" customFormat="1" x14ac:dyDescent="0.2">
      <c r="A85" s="11" t="s">
        <v>139</v>
      </c>
      <c r="B85" s="14" t="s">
        <v>17</v>
      </c>
      <c r="C85" s="15">
        <f t="shared" si="34"/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35"/>
        <v>0</v>
      </c>
      <c r="AP85" s="39">
        <v>0</v>
      </c>
      <c r="AQ85" s="39"/>
    </row>
    <row r="86" spans="1:43" s="6" customFormat="1" ht="25.5" x14ac:dyDescent="0.2">
      <c r="A86" s="11" t="s">
        <v>59</v>
      </c>
      <c r="B86" s="14" t="s">
        <v>18</v>
      </c>
      <c r="C86" s="15">
        <f t="shared" si="34"/>
        <v>3809936</v>
      </c>
      <c r="D86" s="16">
        <v>0</v>
      </c>
      <c r="E86" s="16"/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35"/>
        <v>3809936</v>
      </c>
      <c r="AP86" s="39">
        <f>115828+3694108</f>
        <v>3809936</v>
      </c>
      <c r="AQ86" s="39"/>
    </row>
    <row r="87" spans="1:43" s="6" customFormat="1" x14ac:dyDescent="0.2">
      <c r="A87" s="11" t="s">
        <v>60</v>
      </c>
      <c r="B87" s="14" t="s">
        <v>19</v>
      </c>
      <c r="C87" s="15">
        <f t="shared" si="34"/>
        <v>417190</v>
      </c>
      <c r="D87" s="16">
        <v>0</v>
      </c>
      <c r="E87" s="16"/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35"/>
        <v>417190</v>
      </c>
      <c r="AP87" s="39">
        <v>417190</v>
      </c>
      <c r="AQ87" s="39"/>
    </row>
    <row r="88" spans="1:43" s="6" customFormat="1" x14ac:dyDescent="0.2">
      <c r="A88" s="11" t="s">
        <v>61</v>
      </c>
      <c r="B88" s="14" t="s">
        <v>20</v>
      </c>
      <c r="C88" s="15">
        <f t="shared" si="34"/>
        <v>0</v>
      </c>
      <c r="D88" s="16">
        <v>0</v>
      </c>
      <c r="E88" s="16"/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35"/>
        <v>0</v>
      </c>
      <c r="AP88" s="39">
        <v>0</v>
      </c>
      <c r="AQ88" s="39"/>
    </row>
    <row r="89" spans="1:43" s="6" customFormat="1" x14ac:dyDescent="0.2">
      <c r="A89" s="11" t="s">
        <v>62</v>
      </c>
      <c r="B89" s="14" t="s">
        <v>21</v>
      </c>
      <c r="C89" s="15">
        <f t="shared" si="34"/>
        <v>0</v>
      </c>
      <c r="D89" s="16">
        <v>0</v>
      </c>
      <c r="E89" s="16"/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35"/>
        <v>0</v>
      </c>
      <c r="AP89" s="39">
        <v>0</v>
      </c>
      <c r="AQ89" s="39"/>
    </row>
    <row r="90" spans="1:43" s="6" customFormat="1" x14ac:dyDescent="0.2">
      <c r="A90" s="36" t="s">
        <v>82</v>
      </c>
      <c r="B90" s="32"/>
      <c r="C90" s="33">
        <f t="shared" ref="C90:AD90" si="36">SUM(C84:C89)</f>
        <v>4227126</v>
      </c>
      <c r="D90" s="34">
        <f t="shared" si="36"/>
        <v>0</v>
      </c>
      <c r="E90" s="34">
        <f t="shared" si="36"/>
        <v>0</v>
      </c>
      <c r="F90" s="34">
        <f t="shared" si="36"/>
        <v>0</v>
      </c>
      <c r="G90" s="34">
        <f t="shared" si="36"/>
        <v>0</v>
      </c>
      <c r="H90" s="34">
        <f t="shared" si="36"/>
        <v>0</v>
      </c>
      <c r="I90" s="34">
        <f t="shared" si="36"/>
        <v>0</v>
      </c>
      <c r="J90" s="34">
        <f t="shared" ref="J90" si="37">SUM(J84:J89)</f>
        <v>0</v>
      </c>
      <c r="K90" s="34">
        <f t="shared" si="36"/>
        <v>0</v>
      </c>
      <c r="L90" s="34">
        <f t="shared" si="36"/>
        <v>0</v>
      </c>
      <c r="M90" s="34">
        <f t="shared" si="36"/>
        <v>0</v>
      </c>
      <c r="N90" s="34">
        <f t="shared" si="36"/>
        <v>0</v>
      </c>
      <c r="O90" s="34">
        <f t="shared" si="36"/>
        <v>0</v>
      </c>
      <c r="P90" s="34">
        <f t="shared" si="36"/>
        <v>0</v>
      </c>
      <c r="Q90" s="34">
        <f t="shared" si="36"/>
        <v>0</v>
      </c>
      <c r="R90" s="34">
        <f t="shared" si="36"/>
        <v>0</v>
      </c>
      <c r="S90" s="34">
        <f t="shared" si="36"/>
        <v>0</v>
      </c>
      <c r="T90" s="34">
        <f t="shared" si="36"/>
        <v>0</v>
      </c>
      <c r="U90" s="34">
        <f t="shared" si="36"/>
        <v>0</v>
      </c>
      <c r="V90" s="34">
        <f t="shared" si="36"/>
        <v>0</v>
      </c>
      <c r="W90" s="34">
        <f t="shared" si="36"/>
        <v>0</v>
      </c>
      <c r="X90" s="34">
        <f t="shared" si="36"/>
        <v>0</v>
      </c>
      <c r="Y90" s="34">
        <f t="shared" si="36"/>
        <v>0</v>
      </c>
      <c r="Z90" s="34">
        <f t="shared" si="36"/>
        <v>0</v>
      </c>
      <c r="AA90" s="34">
        <f t="shared" si="36"/>
        <v>0</v>
      </c>
      <c r="AB90" s="34">
        <f t="shared" si="36"/>
        <v>0</v>
      </c>
      <c r="AC90" s="34">
        <f t="shared" si="36"/>
        <v>0</v>
      </c>
      <c r="AD90" s="35">
        <f t="shared" si="36"/>
        <v>4227126</v>
      </c>
      <c r="AP90" s="33">
        <f>SUM(AP84:AP89)</f>
        <v>4227126</v>
      </c>
      <c r="AQ90" s="33">
        <f>SUM(AQ84:AQ89)</f>
        <v>0</v>
      </c>
    </row>
    <row r="91" spans="1:43" s="6" customFormat="1" ht="1.9" customHeight="1" x14ac:dyDescent="0.2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  <c r="AP91" s="42"/>
      <c r="AQ91" s="42"/>
    </row>
    <row r="92" spans="1:43" s="6" customFormat="1" ht="25.5" x14ac:dyDescent="0.2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  <c r="AP92" s="42"/>
      <c r="AQ92" s="42"/>
    </row>
    <row r="93" spans="1:43" s="6" customFormat="1" x14ac:dyDescent="0.2">
      <c r="A93" s="11" t="s">
        <v>58</v>
      </c>
      <c r="B93" s="14" t="s">
        <v>16</v>
      </c>
      <c r="C93" s="15">
        <f t="shared" ref="C93:C98" si="38">+AP93+AQ93</f>
        <v>2269475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ref="AD93:AD98" si="39">SUM(C93:AC93)</f>
        <v>2269475</v>
      </c>
      <c r="AP93" s="39">
        <f>952822+1316653</f>
        <v>2269475</v>
      </c>
      <c r="AQ93" s="39"/>
    </row>
    <row r="94" spans="1:43" s="6" customFormat="1" x14ac:dyDescent="0.2">
      <c r="A94" s="11" t="s">
        <v>139</v>
      </c>
      <c r="B94" s="14" t="s">
        <v>17</v>
      </c>
      <c r="C94" s="15">
        <f t="shared" si="38"/>
        <v>778565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39"/>
        <v>778565</v>
      </c>
      <c r="AP94" s="39">
        <f>322562+456003</f>
        <v>778565</v>
      </c>
      <c r="AQ94" s="39"/>
    </row>
    <row r="95" spans="1:43" s="6" customFormat="1" ht="25.5" x14ac:dyDescent="0.2">
      <c r="A95" s="11" t="s">
        <v>59</v>
      </c>
      <c r="B95" s="14" t="s">
        <v>18</v>
      </c>
      <c r="C95" s="15">
        <f t="shared" si="38"/>
        <v>2866875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f>276750+215854</f>
        <v>492604</v>
      </c>
      <c r="T95" s="16">
        <v>0</v>
      </c>
      <c r="U95" s="16">
        <v>0</v>
      </c>
      <c r="V95" s="16">
        <v>0</v>
      </c>
      <c r="W95" s="16">
        <v>1835000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39"/>
        <v>5194479</v>
      </c>
      <c r="AP95" s="39">
        <f>145111+41250+102600+421091+1556823+600000</f>
        <v>2866875</v>
      </c>
      <c r="AQ95" s="39"/>
    </row>
    <row r="96" spans="1:43" s="6" customFormat="1" x14ac:dyDescent="0.2">
      <c r="A96" s="11" t="s">
        <v>60</v>
      </c>
      <c r="B96" s="14" t="s">
        <v>19</v>
      </c>
      <c r="C96" s="15">
        <f t="shared" si="38"/>
        <v>275141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40000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39"/>
        <v>315141</v>
      </c>
      <c r="AP96" s="39">
        <f>38560+236581</f>
        <v>275141</v>
      </c>
      <c r="AQ96" s="39"/>
    </row>
    <row r="97" spans="1:43" s="6" customFormat="1" x14ac:dyDescent="0.2">
      <c r="A97" s="11" t="s">
        <v>61</v>
      </c>
      <c r="B97" s="14" t="s">
        <v>20</v>
      </c>
      <c r="C97" s="15">
        <f t="shared" si="38"/>
        <v>358593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f>1000000+3000000</f>
        <v>4000000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39"/>
        <v>4358593</v>
      </c>
      <c r="AP97" s="39">
        <f>11300+347293</f>
        <v>358593</v>
      </c>
      <c r="AQ97" s="39"/>
    </row>
    <row r="98" spans="1:43" s="6" customFormat="1" x14ac:dyDescent="0.2">
      <c r="A98" s="11" t="s">
        <v>62</v>
      </c>
      <c r="B98" s="14" t="s">
        <v>21</v>
      </c>
      <c r="C98" s="15">
        <f t="shared" si="38"/>
        <v>22308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39"/>
        <v>22308</v>
      </c>
      <c r="AP98" s="39">
        <f>15708+6600</f>
        <v>22308</v>
      </c>
      <c r="AQ98" s="39"/>
    </row>
    <row r="99" spans="1:43" s="6" customFormat="1" x14ac:dyDescent="0.2">
      <c r="A99" s="36" t="s">
        <v>83</v>
      </c>
      <c r="B99" s="32"/>
      <c r="C99" s="33">
        <f t="shared" ref="C99:AD99" si="40">SUM(C93:C98)</f>
        <v>6570957</v>
      </c>
      <c r="D99" s="34">
        <f t="shared" si="40"/>
        <v>0</v>
      </c>
      <c r="E99" s="34">
        <f t="shared" si="40"/>
        <v>0</v>
      </c>
      <c r="F99" s="34">
        <f t="shared" si="40"/>
        <v>0</v>
      </c>
      <c r="G99" s="34">
        <f t="shared" si="40"/>
        <v>0</v>
      </c>
      <c r="H99" s="34">
        <f t="shared" si="40"/>
        <v>0</v>
      </c>
      <c r="I99" s="34">
        <f t="shared" si="40"/>
        <v>0</v>
      </c>
      <c r="J99" s="34">
        <f t="shared" ref="J99" si="41">SUM(J93:J98)</f>
        <v>0</v>
      </c>
      <c r="K99" s="34">
        <f t="shared" si="40"/>
        <v>0</v>
      </c>
      <c r="L99" s="34">
        <f t="shared" si="40"/>
        <v>0</v>
      </c>
      <c r="M99" s="34">
        <f t="shared" si="40"/>
        <v>0</v>
      </c>
      <c r="N99" s="34">
        <f t="shared" si="40"/>
        <v>0</v>
      </c>
      <c r="O99" s="34">
        <f t="shared" si="40"/>
        <v>0</v>
      </c>
      <c r="P99" s="34">
        <f t="shared" si="40"/>
        <v>0</v>
      </c>
      <c r="Q99" s="34">
        <f t="shared" si="40"/>
        <v>0</v>
      </c>
      <c r="R99" s="34">
        <f t="shared" si="40"/>
        <v>0</v>
      </c>
      <c r="S99" s="34">
        <f t="shared" si="40"/>
        <v>4532604</v>
      </c>
      <c r="T99" s="34">
        <f t="shared" si="40"/>
        <v>0</v>
      </c>
      <c r="U99" s="34">
        <f t="shared" si="40"/>
        <v>0</v>
      </c>
      <c r="V99" s="34">
        <f t="shared" si="40"/>
        <v>0</v>
      </c>
      <c r="W99" s="34">
        <f t="shared" si="40"/>
        <v>1835000</v>
      </c>
      <c r="X99" s="34">
        <f t="shared" si="40"/>
        <v>0</v>
      </c>
      <c r="Y99" s="34">
        <f t="shared" si="40"/>
        <v>0</v>
      </c>
      <c r="Z99" s="34">
        <f t="shared" si="40"/>
        <v>0</v>
      </c>
      <c r="AA99" s="34">
        <f t="shared" si="40"/>
        <v>0</v>
      </c>
      <c r="AB99" s="34">
        <f t="shared" si="40"/>
        <v>0</v>
      </c>
      <c r="AC99" s="34">
        <f t="shared" si="40"/>
        <v>0</v>
      </c>
      <c r="AD99" s="35">
        <f t="shared" si="40"/>
        <v>12938561</v>
      </c>
      <c r="AP99" s="33">
        <f>SUM(AP93:AP98)</f>
        <v>6570957</v>
      </c>
      <c r="AQ99" s="33">
        <f>SUM(AQ93:AQ98)</f>
        <v>0</v>
      </c>
    </row>
    <row r="100" spans="1:43" s="6" customFormat="1" ht="1.9" customHeight="1" x14ac:dyDescent="0.2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  <c r="AP100" s="42"/>
      <c r="AQ100" s="42"/>
    </row>
    <row r="101" spans="1:43" s="6" customFormat="1" x14ac:dyDescent="0.2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  <c r="AP101" s="42"/>
      <c r="AQ101" s="42"/>
    </row>
    <row r="102" spans="1:43" s="6" customFormat="1" x14ac:dyDescent="0.2">
      <c r="A102" s="11" t="s">
        <v>58</v>
      </c>
      <c r="B102" s="14" t="s">
        <v>16</v>
      </c>
      <c r="C102" s="15">
        <f t="shared" ref="C102:C107" si="42">+AP102+AQ102</f>
        <v>898734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ref="AD102:AD107" si="43">SUM(C102:AC102)</f>
        <v>898734</v>
      </c>
      <c r="AP102" s="39">
        <v>898734</v>
      </c>
      <c r="AQ102" s="39"/>
    </row>
    <row r="103" spans="1:43" s="6" customFormat="1" x14ac:dyDescent="0.2">
      <c r="A103" s="11" t="s">
        <v>139</v>
      </c>
      <c r="B103" s="14" t="s">
        <v>17</v>
      </c>
      <c r="C103" s="15">
        <f t="shared" si="42"/>
        <v>1213981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43"/>
        <v>1213981</v>
      </c>
      <c r="AP103" s="39">
        <v>1213981</v>
      </c>
      <c r="AQ103" s="39"/>
    </row>
    <row r="104" spans="1:43" s="6" customFormat="1" ht="25.5" x14ac:dyDescent="0.2">
      <c r="A104" s="11" t="s">
        <v>59</v>
      </c>
      <c r="B104" s="14" t="s">
        <v>18</v>
      </c>
      <c r="C104" s="15">
        <f t="shared" si="42"/>
        <v>58529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43"/>
        <v>58529</v>
      </c>
      <c r="AP104" s="39">
        <f>26800+25729+6000</f>
        <v>58529</v>
      </c>
      <c r="AQ104" s="39"/>
    </row>
    <row r="105" spans="1:43" s="6" customFormat="1" x14ac:dyDescent="0.2">
      <c r="A105" s="11" t="s">
        <v>60</v>
      </c>
      <c r="B105" s="14" t="s">
        <v>19</v>
      </c>
      <c r="C105" s="15">
        <f t="shared" si="42"/>
        <v>37137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43"/>
        <v>37137</v>
      </c>
      <c r="AP105" s="39">
        <f>24705+12432</f>
        <v>37137</v>
      </c>
      <c r="AQ105" s="39"/>
    </row>
    <row r="106" spans="1:43" s="6" customFormat="1" x14ac:dyDescent="0.2">
      <c r="A106" s="11" t="s">
        <v>61</v>
      </c>
      <c r="B106" s="14" t="s">
        <v>20</v>
      </c>
      <c r="C106" s="15">
        <f t="shared" si="42"/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43"/>
        <v>0</v>
      </c>
      <c r="AP106" s="39">
        <v>0</v>
      </c>
      <c r="AQ106" s="39"/>
    </row>
    <row r="107" spans="1:43" s="6" customFormat="1" x14ac:dyDescent="0.2">
      <c r="A107" s="11" t="s">
        <v>62</v>
      </c>
      <c r="B107" s="14" t="s">
        <v>21</v>
      </c>
      <c r="C107" s="15">
        <f t="shared" si="42"/>
        <v>67685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43"/>
        <v>67685</v>
      </c>
      <c r="AP107" s="39">
        <v>67685</v>
      </c>
      <c r="AQ107" s="39"/>
    </row>
    <row r="108" spans="1:43" s="6" customFormat="1" x14ac:dyDescent="0.2">
      <c r="A108" s="36" t="s">
        <v>84</v>
      </c>
      <c r="B108" s="32"/>
      <c r="C108" s="33">
        <f t="shared" ref="C108:AD108" si="44">SUM(C102:C107)</f>
        <v>2276066</v>
      </c>
      <c r="D108" s="34">
        <f t="shared" si="44"/>
        <v>0</v>
      </c>
      <c r="E108" s="34">
        <f t="shared" si="44"/>
        <v>0</v>
      </c>
      <c r="F108" s="34">
        <f t="shared" si="44"/>
        <v>0</v>
      </c>
      <c r="G108" s="34">
        <f t="shared" si="44"/>
        <v>0</v>
      </c>
      <c r="H108" s="34">
        <f t="shared" si="44"/>
        <v>0</v>
      </c>
      <c r="I108" s="34">
        <f t="shared" si="44"/>
        <v>0</v>
      </c>
      <c r="J108" s="34">
        <f t="shared" ref="J108" si="45">SUM(J102:J107)</f>
        <v>0</v>
      </c>
      <c r="K108" s="34">
        <f t="shared" si="44"/>
        <v>0</v>
      </c>
      <c r="L108" s="34">
        <f t="shared" si="44"/>
        <v>0</v>
      </c>
      <c r="M108" s="34">
        <f t="shared" si="44"/>
        <v>0</v>
      </c>
      <c r="N108" s="34">
        <f t="shared" si="44"/>
        <v>0</v>
      </c>
      <c r="O108" s="34">
        <f t="shared" si="44"/>
        <v>0</v>
      </c>
      <c r="P108" s="34">
        <f t="shared" si="44"/>
        <v>0</v>
      </c>
      <c r="Q108" s="34">
        <f t="shared" si="44"/>
        <v>0</v>
      </c>
      <c r="R108" s="34">
        <f t="shared" si="44"/>
        <v>0</v>
      </c>
      <c r="S108" s="34">
        <f t="shared" si="44"/>
        <v>0</v>
      </c>
      <c r="T108" s="34">
        <f t="shared" si="44"/>
        <v>0</v>
      </c>
      <c r="U108" s="34">
        <f t="shared" si="44"/>
        <v>0</v>
      </c>
      <c r="V108" s="34">
        <f t="shared" si="44"/>
        <v>0</v>
      </c>
      <c r="W108" s="34">
        <f t="shared" si="44"/>
        <v>0</v>
      </c>
      <c r="X108" s="34">
        <f t="shared" si="44"/>
        <v>0</v>
      </c>
      <c r="Y108" s="34">
        <f t="shared" si="44"/>
        <v>0</v>
      </c>
      <c r="Z108" s="34">
        <f t="shared" si="44"/>
        <v>0</v>
      </c>
      <c r="AA108" s="34">
        <f t="shared" si="44"/>
        <v>0</v>
      </c>
      <c r="AB108" s="34">
        <f t="shared" si="44"/>
        <v>0</v>
      </c>
      <c r="AC108" s="34">
        <f t="shared" si="44"/>
        <v>0</v>
      </c>
      <c r="AD108" s="35">
        <f t="shared" si="44"/>
        <v>2276066</v>
      </c>
      <c r="AP108" s="33">
        <f>SUM(AP102:AP107)</f>
        <v>2276066</v>
      </c>
      <c r="AQ108" s="33">
        <f>SUM(AQ102:AQ107)</f>
        <v>0</v>
      </c>
    </row>
    <row r="109" spans="1:43" s="6" customFormat="1" ht="1.9" customHeight="1" x14ac:dyDescent="0.2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  <c r="AP109" s="42"/>
      <c r="AQ109" s="42"/>
    </row>
    <row r="110" spans="1:43" s="6" customFormat="1" x14ac:dyDescent="0.2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  <c r="AP110" s="42"/>
      <c r="AQ110" s="42"/>
    </row>
    <row r="111" spans="1:43" s="6" customFormat="1" x14ac:dyDescent="0.2">
      <c r="A111" s="11" t="s">
        <v>58</v>
      </c>
      <c r="B111" s="14" t="s">
        <v>16</v>
      </c>
      <c r="C111" s="15">
        <f t="shared" ref="C111:C116" si="46">+AP111+AQ111</f>
        <v>0</v>
      </c>
      <c r="D111" s="16">
        <v>0</v>
      </c>
      <c r="E111" s="16">
        <v>0</v>
      </c>
      <c r="F111" s="16">
        <v>0</v>
      </c>
      <c r="G111" s="16">
        <v>286118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ref="AD111:AD116" si="47">SUM(C111:AC111)</f>
        <v>286118</v>
      </c>
      <c r="AP111" s="39"/>
      <c r="AQ111" s="39"/>
    </row>
    <row r="112" spans="1:43" s="6" customFormat="1" x14ac:dyDescent="0.2">
      <c r="A112" s="11" t="s">
        <v>139</v>
      </c>
      <c r="B112" s="14" t="s">
        <v>17</v>
      </c>
      <c r="C112" s="15">
        <f t="shared" si="46"/>
        <v>0</v>
      </c>
      <c r="D112" s="16">
        <v>0</v>
      </c>
      <c r="E112" s="16">
        <v>0</v>
      </c>
      <c r="F112" s="16">
        <v>0</v>
      </c>
      <c r="G112" s="16">
        <v>96654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47"/>
        <v>96654</v>
      </c>
      <c r="AP112" s="39"/>
      <c r="AQ112" s="39"/>
    </row>
    <row r="113" spans="1:43" s="6" customFormat="1" ht="25.5" x14ac:dyDescent="0.2">
      <c r="A113" s="11" t="s">
        <v>59</v>
      </c>
      <c r="B113" s="14" t="s">
        <v>18</v>
      </c>
      <c r="C113" s="15">
        <f t="shared" si="46"/>
        <v>0</v>
      </c>
      <c r="D113" s="16">
        <v>0</v>
      </c>
      <c r="E113" s="16">
        <v>0</v>
      </c>
      <c r="F113" s="16">
        <v>0</v>
      </c>
      <c r="G113" s="16">
        <f>10036260+218914+11448</f>
        <v>10266622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47"/>
        <v>10266622</v>
      </c>
      <c r="AP113" s="39"/>
      <c r="AQ113" s="39"/>
    </row>
    <row r="114" spans="1:43" s="6" customFormat="1" x14ac:dyDescent="0.2">
      <c r="A114" s="11" t="s">
        <v>60</v>
      </c>
      <c r="B114" s="14" t="s">
        <v>19</v>
      </c>
      <c r="C114" s="15">
        <f t="shared" si="46"/>
        <v>0</v>
      </c>
      <c r="D114" s="16">
        <v>0</v>
      </c>
      <c r="E114" s="16">
        <v>0</v>
      </c>
      <c r="F114" s="16">
        <v>0</v>
      </c>
      <c r="G114" s="16">
        <f>71405+590213+132993+83057+10260</f>
        <v>887928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47"/>
        <v>887928</v>
      </c>
      <c r="AP114" s="39"/>
      <c r="AQ114" s="39"/>
    </row>
    <row r="115" spans="1:43" s="6" customFormat="1" x14ac:dyDescent="0.2">
      <c r="A115" s="11" t="s">
        <v>61</v>
      </c>
      <c r="B115" s="14" t="s">
        <v>20</v>
      </c>
      <c r="C115" s="15">
        <f t="shared" si="46"/>
        <v>0</v>
      </c>
      <c r="D115" s="16">
        <v>0</v>
      </c>
      <c r="E115" s="16">
        <v>0</v>
      </c>
      <c r="F115" s="16">
        <v>0</v>
      </c>
      <c r="G115" s="16">
        <f>1227146+60000</f>
        <v>1287146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47"/>
        <v>1287146</v>
      </c>
      <c r="AP115" s="39"/>
      <c r="AQ115" s="39"/>
    </row>
    <row r="116" spans="1:43" s="6" customFormat="1" x14ac:dyDescent="0.2">
      <c r="A116" s="11" t="s">
        <v>62</v>
      </c>
      <c r="B116" s="14" t="s">
        <v>21</v>
      </c>
      <c r="C116" s="15">
        <f t="shared" si="46"/>
        <v>0</v>
      </c>
      <c r="D116" s="16">
        <v>0</v>
      </c>
      <c r="E116" s="16">
        <v>0</v>
      </c>
      <c r="F116" s="16">
        <v>0</v>
      </c>
      <c r="G116" s="16">
        <f>9300+65881</f>
        <v>75181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47"/>
        <v>75181</v>
      </c>
      <c r="AP116" s="39"/>
      <c r="AQ116" s="39"/>
    </row>
    <row r="117" spans="1:43" s="6" customFormat="1" x14ac:dyDescent="0.2">
      <c r="A117" s="36" t="s">
        <v>84</v>
      </c>
      <c r="B117" s="32"/>
      <c r="C117" s="33">
        <f t="shared" ref="C117:AD117" si="48">SUM(C111:C116)</f>
        <v>0</v>
      </c>
      <c r="D117" s="34">
        <f t="shared" si="48"/>
        <v>0</v>
      </c>
      <c r="E117" s="34">
        <f t="shared" si="48"/>
        <v>0</v>
      </c>
      <c r="F117" s="34">
        <f t="shared" si="48"/>
        <v>0</v>
      </c>
      <c r="G117" s="34">
        <f t="shared" si="48"/>
        <v>12899649</v>
      </c>
      <c r="H117" s="34">
        <f t="shared" si="48"/>
        <v>0</v>
      </c>
      <c r="I117" s="34">
        <f t="shared" si="48"/>
        <v>0</v>
      </c>
      <c r="J117" s="34">
        <f t="shared" ref="J117" si="49">SUM(J111:J116)</f>
        <v>0</v>
      </c>
      <c r="K117" s="34">
        <f t="shared" si="48"/>
        <v>0</v>
      </c>
      <c r="L117" s="34">
        <f t="shared" si="48"/>
        <v>0</v>
      </c>
      <c r="M117" s="34">
        <f t="shared" si="48"/>
        <v>0</v>
      </c>
      <c r="N117" s="34">
        <f t="shared" si="48"/>
        <v>0</v>
      </c>
      <c r="O117" s="34">
        <f t="shared" si="48"/>
        <v>0</v>
      </c>
      <c r="P117" s="34">
        <f t="shared" si="48"/>
        <v>0</v>
      </c>
      <c r="Q117" s="34">
        <f t="shared" si="48"/>
        <v>0</v>
      </c>
      <c r="R117" s="34">
        <f t="shared" si="48"/>
        <v>0</v>
      </c>
      <c r="S117" s="34">
        <f t="shared" si="48"/>
        <v>0</v>
      </c>
      <c r="T117" s="34">
        <f t="shared" si="48"/>
        <v>0</v>
      </c>
      <c r="U117" s="34">
        <f t="shared" si="48"/>
        <v>0</v>
      </c>
      <c r="V117" s="34">
        <f t="shared" si="48"/>
        <v>0</v>
      </c>
      <c r="W117" s="34">
        <f t="shared" si="48"/>
        <v>0</v>
      </c>
      <c r="X117" s="34">
        <f t="shared" si="48"/>
        <v>0</v>
      </c>
      <c r="Y117" s="34">
        <f t="shared" si="48"/>
        <v>0</v>
      </c>
      <c r="Z117" s="34">
        <f t="shared" si="48"/>
        <v>0</v>
      </c>
      <c r="AA117" s="34">
        <f t="shared" si="48"/>
        <v>0</v>
      </c>
      <c r="AB117" s="34">
        <f t="shared" si="48"/>
        <v>0</v>
      </c>
      <c r="AC117" s="34">
        <f t="shared" si="48"/>
        <v>0</v>
      </c>
      <c r="AD117" s="35">
        <f t="shared" si="48"/>
        <v>12899649</v>
      </c>
      <c r="AP117" s="41"/>
      <c r="AQ117" s="41"/>
    </row>
    <row r="118" spans="1:43" s="6" customFormat="1" x14ac:dyDescent="0.2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  <c r="AP118" s="42"/>
      <c r="AQ118" s="42"/>
    </row>
    <row r="119" spans="1:43" s="6" customFormat="1" x14ac:dyDescent="0.2">
      <c r="A119" s="11" t="s">
        <v>58</v>
      </c>
      <c r="B119" s="14" t="s">
        <v>16</v>
      </c>
      <c r="C119" s="15">
        <f t="shared" ref="C119:C124" si="50">+AP119+AQ119</f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ref="AD119:AD124" si="51">SUM(C119:AC119)</f>
        <v>0</v>
      </c>
      <c r="AP119" s="39"/>
      <c r="AQ119" s="39"/>
    </row>
    <row r="120" spans="1:43" s="6" customFormat="1" x14ac:dyDescent="0.2">
      <c r="A120" s="11" t="s">
        <v>139</v>
      </c>
      <c r="B120" s="14" t="s">
        <v>17</v>
      </c>
      <c r="C120" s="15">
        <f t="shared" si="50"/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51"/>
        <v>0</v>
      </c>
      <c r="AP120" s="39"/>
      <c r="AQ120" s="39"/>
    </row>
    <row r="121" spans="1:43" s="6" customFormat="1" ht="25.5" x14ac:dyDescent="0.2">
      <c r="A121" s="11" t="s">
        <v>59</v>
      </c>
      <c r="B121" s="14" t="s">
        <v>18</v>
      </c>
      <c r="C121" s="15">
        <f t="shared" si="50"/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51"/>
        <v>0</v>
      </c>
      <c r="AP121" s="39"/>
      <c r="AQ121" s="39"/>
    </row>
    <row r="122" spans="1:43" s="6" customFormat="1" x14ac:dyDescent="0.2">
      <c r="A122" s="11" t="s">
        <v>60</v>
      </c>
      <c r="B122" s="14" t="s">
        <v>19</v>
      </c>
      <c r="C122" s="15">
        <f t="shared" si="50"/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51"/>
        <v>0</v>
      </c>
      <c r="AP122" s="39"/>
      <c r="AQ122" s="39"/>
    </row>
    <row r="123" spans="1:43" s="6" customFormat="1" x14ac:dyDescent="0.2">
      <c r="A123" s="11" t="s">
        <v>61</v>
      </c>
      <c r="B123" s="14" t="s">
        <v>20</v>
      </c>
      <c r="C123" s="15">
        <f t="shared" si="50"/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51"/>
        <v>0</v>
      </c>
      <c r="AP123" s="39"/>
      <c r="AQ123" s="39"/>
    </row>
    <row r="124" spans="1:43" s="6" customFormat="1" x14ac:dyDescent="0.2">
      <c r="A124" s="11" t="s">
        <v>62</v>
      </c>
      <c r="B124" s="14" t="s">
        <v>21</v>
      </c>
      <c r="C124" s="15">
        <f t="shared" si="50"/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51"/>
        <v>0</v>
      </c>
      <c r="AP124" s="39"/>
      <c r="AQ124" s="39"/>
    </row>
    <row r="125" spans="1:43" s="6" customFormat="1" x14ac:dyDescent="0.2">
      <c r="A125" s="36" t="s">
        <v>85</v>
      </c>
      <c r="B125" s="32"/>
      <c r="C125" s="33">
        <f t="shared" ref="C125:AD125" si="52">SUM(C119:C124)</f>
        <v>0</v>
      </c>
      <c r="D125" s="34">
        <f t="shared" si="52"/>
        <v>0</v>
      </c>
      <c r="E125" s="34">
        <f t="shared" si="52"/>
        <v>0</v>
      </c>
      <c r="F125" s="34">
        <f t="shared" si="52"/>
        <v>0</v>
      </c>
      <c r="G125" s="34">
        <f t="shared" si="52"/>
        <v>0</v>
      </c>
      <c r="H125" s="34">
        <f t="shared" si="52"/>
        <v>0</v>
      </c>
      <c r="I125" s="34">
        <f t="shared" si="52"/>
        <v>0</v>
      </c>
      <c r="J125" s="34">
        <f t="shared" ref="J125" si="53">SUM(J119:J124)</f>
        <v>0</v>
      </c>
      <c r="K125" s="34">
        <f t="shared" si="52"/>
        <v>0</v>
      </c>
      <c r="L125" s="34">
        <f t="shared" si="52"/>
        <v>0</v>
      </c>
      <c r="M125" s="34">
        <f t="shared" si="52"/>
        <v>0</v>
      </c>
      <c r="N125" s="34">
        <f t="shared" si="52"/>
        <v>0</v>
      </c>
      <c r="O125" s="34">
        <f t="shared" si="52"/>
        <v>0</v>
      </c>
      <c r="P125" s="34">
        <f t="shared" si="52"/>
        <v>0</v>
      </c>
      <c r="Q125" s="34">
        <f t="shared" si="52"/>
        <v>0</v>
      </c>
      <c r="R125" s="34">
        <f t="shared" si="52"/>
        <v>0</v>
      </c>
      <c r="S125" s="34">
        <f t="shared" si="52"/>
        <v>0</v>
      </c>
      <c r="T125" s="34">
        <f t="shared" si="52"/>
        <v>0</v>
      </c>
      <c r="U125" s="34">
        <f t="shared" si="52"/>
        <v>0</v>
      </c>
      <c r="V125" s="34">
        <f t="shared" si="52"/>
        <v>0</v>
      </c>
      <c r="W125" s="34">
        <f t="shared" si="52"/>
        <v>0</v>
      </c>
      <c r="X125" s="34">
        <f t="shared" si="52"/>
        <v>0</v>
      </c>
      <c r="Y125" s="34">
        <f t="shared" si="52"/>
        <v>0</v>
      </c>
      <c r="Z125" s="34">
        <f t="shared" si="52"/>
        <v>0</v>
      </c>
      <c r="AA125" s="34">
        <f t="shared" si="52"/>
        <v>0</v>
      </c>
      <c r="AB125" s="34">
        <f t="shared" si="52"/>
        <v>0</v>
      </c>
      <c r="AC125" s="34">
        <f t="shared" si="52"/>
        <v>0</v>
      </c>
      <c r="AD125" s="35">
        <f t="shared" si="52"/>
        <v>0</v>
      </c>
      <c r="AP125" s="41"/>
      <c r="AQ125" s="41"/>
    </row>
    <row r="126" spans="1:43" s="6" customFormat="1" ht="1.9" customHeight="1" x14ac:dyDescent="0.2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  <c r="AP126" s="42"/>
      <c r="AQ126" s="42"/>
    </row>
    <row r="127" spans="1:43" s="6" customFormat="1" x14ac:dyDescent="0.2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  <c r="AP127" s="42"/>
      <c r="AQ127" s="42"/>
    </row>
    <row r="128" spans="1:43" s="6" customFormat="1" x14ac:dyDescent="0.2">
      <c r="A128" s="11" t="s">
        <v>58</v>
      </c>
      <c r="B128" s="14" t="s">
        <v>16</v>
      </c>
      <c r="C128" s="15">
        <f t="shared" ref="C128:C133" si="54">+AP128+AQ128</f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ref="AD128:AD133" si="55">SUM(C128:AC128)</f>
        <v>0</v>
      </c>
      <c r="AP128" s="39"/>
      <c r="AQ128" s="39"/>
    </row>
    <row r="129" spans="1:43" s="6" customFormat="1" x14ac:dyDescent="0.2">
      <c r="A129" s="11" t="s">
        <v>139</v>
      </c>
      <c r="B129" s="14" t="s">
        <v>17</v>
      </c>
      <c r="C129" s="15">
        <f t="shared" si="54"/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55"/>
        <v>0</v>
      </c>
      <c r="AP129" s="39"/>
      <c r="AQ129" s="39"/>
    </row>
    <row r="130" spans="1:43" s="6" customFormat="1" ht="25.5" x14ac:dyDescent="0.2">
      <c r="A130" s="11" t="s">
        <v>59</v>
      </c>
      <c r="B130" s="14" t="s">
        <v>18</v>
      </c>
      <c r="C130" s="15">
        <f t="shared" si="54"/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55"/>
        <v>0</v>
      </c>
      <c r="AP130" s="39"/>
      <c r="AQ130" s="39"/>
    </row>
    <row r="131" spans="1:43" s="6" customFormat="1" x14ac:dyDescent="0.2">
      <c r="A131" s="11" t="s">
        <v>60</v>
      </c>
      <c r="B131" s="14" t="s">
        <v>19</v>
      </c>
      <c r="C131" s="15">
        <f t="shared" si="54"/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55"/>
        <v>0</v>
      </c>
      <c r="AP131" s="39"/>
      <c r="AQ131" s="39"/>
    </row>
    <row r="132" spans="1:43" s="6" customFormat="1" x14ac:dyDescent="0.2">
      <c r="A132" s="11" t="s">
        <v>61</v>
      </c>
      <c r="B132" s="14" t="s">
        <v>20</v>
      </c>
      <c r="C132" s="15">
        <f t="shared" si="54"/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si="55"/>
        <v>0</v>
      </c>
      <c r="AP132" s="39"/>
      <c r="AQ132" s="39"/>
    </row>
    <row r="133" spans="1:43" s="6" customFormat="1" x14ac:dyDescent="0.2">
      <c r="A133" s="11" t="s">
        <v>62</v>
      </c>
      <c r="B133" s="14" t="s">
        <v>21</v>
      </c>
      <c r="C133" s="15">
        <f t="shared" si="54"/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55"/>
        <v>0</v>
      </c>
      <c r="AP133" s="39"/>
      <c r="AQ133" s="39"/>
    </row>
    <row r="134" spans="1:43" s="6" customFormat="1" x14ac:dyDescent="0.2">
      <c r="A134" s="36" t="s">
        <v>86</v>
      </c>
      <c r="B134" s="32"/>
      <c r="C134" s="33">
        <f t="shared" ref="C134:AD134" si="56">SUM(C128:C133)</f>
        <v>0</v>
      </c>
      <c r="D134" s="34">
        <f t="shared" si="56"/>
        <v>0</v>
      </c>
      <c r="E134" s="34">
        <f t="shared" si="56"/>
        <v>0</v>
      </c>
      <c r="F134" s="34">
        <f t="shared" si="56"/>
        <v>0</v>
      </c>
      <c r="G134" s="34">
        <f t="shared" si="56"/>
        <v>0</v>
      </c>
      <c r="H134" s="34">
        <f t="shared" si="56"/>
        <v>0</v>
      </c>
      <c r="I134" s="34">
        <f t="shared" si="56"/>
        <v>0</v>
      </c>
      <c r="J134" s="34">
        <f t="shared" ref="J134" si="57">SUM(J128:J133)</f>
        <v>0</v>
      </c>
      <c r="K134" s="34">
        <f t="shared" si="56"/>
        <v>0</v>
      </c>
      <c r="L134" s="34">
        <f t="shared" si="56"/>
        <v>0</v>
      </c>
      <c r="M134" s="34">
        <f t="shared" si="56"/>
        <v>0</v>
      </c>
      <c r="N134" s="34">
        <f t="shared" si="56"/>
        <v>0</v>
      </c>
      <c r="O134" s="34">
        <f t="shared" si="56"/>
        <v>0</v>
      </c>
      <c r="P134" s="34">
        <f t="shared" si="56"/>
        <v>0</v>
      </c>
      <c r="Q134" s="34">
        <f t="shared" si="56"/>
        <v>0</v>
      </c>
      <c r="R134" s="34">
        <f t="shared" si="56"/>
        <v>0</v>
      </c>
      <c r="S134" s="34">
        <f t="shared" si="56"/>
        <v>0</v>
      </c>
      <c r="T134" s="34">
        <f t="shared" si="56"/>
        <v>0</v>
      </c>
      <c r="U134" s="34">
        <f t="shared" si="56"/>
        <v>0</v>
      </c>
      <c r="V134" s="34">
        <f t="shared" si="56"/>
        <v>0</v>
      </c>
      <c r="W134" s="34">
        <f t="shared" si="56"/>
        <v>0</v>
      </c>
      <c r="X134" s="34">
        <f t="shared" si="56"/>
        <v>0</v>
      </c>
      <c r="Y134" s="34">
        <f t="shared" si="56"/>
        <v>0</v>
      </c>
      <c r="Z134" s="34">
        <f t="shared" si="56"/>
        <v>0</v>
      </c>
      <c r="AA134" s="34">
        <f t="shared" si="56"/>
        <v>0</v>
      </c>
      <c r="AB134" s="34">
        <f t="shared" si="56"/>
        <v>0</v>
      </c>
      <c r="AC134" s="34">
        <f t="shared" si="56"/>
        <v>0</v>
      </c>
      <c r="AD134" s="35">
        <f t="shared" si="56"/>
        <v>0</v>
      </c>
      <c r="AP134" s="41"/>
      <c r="AQ134" s="41"/>
    </row>
    <row r="135" spans="1:43" s="6" customFormat="1" ht="1.9" customHeight="1" x14ac:dyDescent="0.2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  <c r="AP135" s="42"/>
      <c r="AQ135" s="42"/>
    </row>
    <row r="136" spans="1:43" s="6" customFormat="1" x14ac:dyDescent="0.2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  <c r="AP136" s="42"/>
      <c r="AQ136" s="42"/>
    </row>
    <row r="137" spans="1:43" s="6" customFormat="1" x14ac:dyDescent="0.2">
      <c r="A137" s="11" t="s">
        <v>58</v>
      </c>
      <c r="B137" s="14" t="s">
        <v>16</v>
      </c>
      <c r="C137" s="15">
        <f t="shared" ref="C137:C142" si="58">+AP137+AQ137</f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ref="AD137:AD142" si="59">SUM(C137:AC137)</f>
        <v>0</v>
      </c>
      <c r="AP137" s="39"/>
      <c r="AQ137" s="39"/>
    </row>
    <row r="138" spans="1:43" s="6" customFormat="1" x14ac:dyDescent="0.2">
      <c r="A138" s="11" t="s">
        <v>139</v>
      </c>
      <c r="B138" s="14" t="s">
        <v>17</v>
      </c>
      <c r="C138" s="15">
        <f t="shared" si="58"/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59"/>
        <v>0</v>
      </c>
      <c r="AP138" s="39"/>
      <c r="AQ138" s="39"/>
    </row>
    <row r="139" spans="1:43" s="6" customFormat="1" ht="25.5" x14ac:dyDescent="0.2">
      <c r="A139" s="11" t="s">
        <v>59</v>
      </c>
      <c r="B139" s="14" t="s">
        <v>18</v>
      </c>
      <c r="C139" s="15">
        <f t="shared" si="58"/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59"/>
        <v>0</v>
      </c>
      <c r="AP139" s="39"/>
      <c r="AQ139" s="39"/>
    </row>
    <row r="140" spans="1:43" s="6" customFormat="1" x14ac:dyDescent="0.2">
      <c r="A140" s="11" t="s">
        <v>60</v>
      </c>
      <c r="B140" s="14" t="s">
        <v>19</v>
      </c>
      <c r="C140" s="15">
        <f t="shared" si="58"/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59"/>
        <v>0</v>
      </c>
      <c r="AP140" s="39"/>
      <c r="AQ140" s="39"/>
    </row>
    <row r="141" spans="1:43" s="6" customFormat="1" x14ac:dyDescent="0.2">
      <c r="A141" s="11" t="s">
        <v>61</v>
      </c>
      <c r="B141" s="14" t="s">
        <v>20</v>
      </c>
      <c r="C141" s="15">
        <f t="shared" si="58"/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59"/>
        <v>0</v>
      </c>
      <c r="AP141" s="39"/>
      <c r="AQ141" s="39"/>
    </row>
    <row r="142" spans="1:43" s="6" customFormat="1" x14ac:dyDescent="0.2">
      <c r="A142" s="11" t="s">
        <v>62</v>
      </c>
      <c r="B142" s="14" t="s">
        <v>21</v>
      </c>
      <c r="C142" s="15">
        <f t="shared" si="58"/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59"/>
        <v>0</v>
      </c>
      <c r="AP142" s="39"/>
      <c r="AQ142" s="39"/>
    </row>
    <row r="143" spans="1:43" s="6" customFormat="1" x14ac:dyDescent="0.2">
      <c r="A143" s="36" t="s">
        <v>87</v>
      </c>
      <c r="B143" s="32"/>
      <c r="C143" s="33">
        <f t="shared" ref="C143:AD143" si="60">SUM(C137:C142)</f>
        <v>0</v>
      </c>
      <c r="D143" s="34">
        <f t="shared" si="60"/>
        <v>0</v>
      </c>
      <c r="E143" s="34">
        <f t="shared" si="60"/>
        <v>0</v>
      </c>
      <c r="F143" s="34">
        <f t="shared" si="60"/>
        <v>0</v>
      </c>
      <c r="G143" s="34">
        <f t="shared" si="60"/>
        <v>0</v>
      </c>
      <c r="H143" s="34">
        <f t="shared" si="60"/>
        <v>0</v>
      </c>
      <c r="I143" s="34">
        <f t="shared" si="60"/>
        <v>0</v>
      </c>
      <c r="J143" s="34">
        <f t="shared" ref="J143" si="61">SUM(J137:J142)</f>
        <v>0</v>
      </c>
      <c r="K143" s="34">
        <f t="shared" si="60"/>
        <v>0</v>
      </c>
      <c r="L143" s="34">
        <f t="shared" si="60"/>
        <v>0</v>
      </c>
      <c r="M143" s="34">
        <f t="shared" si="60"/>
        <v>0</v>
      </c>
      <c r="N143" s="34">
        <f t="shared" si="60"/>
        <v>0</v>
      </c>
      <c r="O143" s="34">
        <f t="shared" si="60"/>
        <v>0</v>
      </c>
      <c r="P143" s="34">
        <f t="shared" si="60"/>
        <v>0</v>
      </c>
      <c r="Q143" s="34">
        <f t="shared" si="60"/>
        <v>0</v>
      </c>
      <c r="R143" s="34">
        <f t="shared" si="60"/>
        <v>0</v>
      </c>
      <c r="S143" s="34">
        <f t="shared" si="60"/>
        <v>0</v>
      </c>
      <c r="T143" s="34">
        <f t="shared" si="60"/>
        <v>0</v>
      </c>
      <c r="U143" s="34">
        <f t="shared" si="60"/>
        <v>0</v>
      </c>
      <c r="V143" s="34">
        <f t="shared" si="60"/>
        <v>0</v>
      </c>
      <c r="W143" s="34">
        <f t="shared" si="60"/>
        <v>0</v>
      </c>
      <c r="X143" s="34">
        <f t="shared" si="60"/>
        <v>0</v>
      </c>
      <c r="Y143" s="34">
        <f t="shared" si="60"/>
        <v>0</v>
      </c>
      <c r="Z143" s="34">
        <f t="shared" si="60"/>
        <v>0</v>
      </c>
      <c r="AA143" s="34">
        <f t="shared" si="60"/>
        <v>0</v>
      </c>
      <c r="AB143" s="34">
        <f t="shared" si="60"/>
        <v>0</v>
      </c>
      <c r="AC143" s="34">
        <f t="shared" si="60"/>
        <v>0</v>
      </c>
      <c r="AD143" s="35">
        <f t="shared" si="60"/>
        <v>0</v>
      </c>
      <c r="AP143" s="41"/>
      <c r="AQ143" s="41"/>
    </row>
    <row r="144" spans="1:43" s="6" customFormat="1" ht="1.9" customHeight="1" x14ac:dyDescent="0.2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  <c r="AP144" s="42"/>
      <c r="AQ144" s="42"/>
    </row>
    <row r="145" spans="1:43" s="6" customFormat="1" x14ac:dyDescent="0.2">
      <c r="A145" s="36" t="s">
        <v>88</v>
      </c>
      <c r="B145" s="32"/>
      <c r="C145" s="33">
        <f t="shared" ref="C145:AD145" si="62">SUM(C134+C125+C117+C108+C99+C90+C81+C73+C64+C55+C46+C37+C143)</f>
        <v>74010927</v>
      </c>
      <c r="D145" s="34">
        <f t="shared" si="62"/>
        <v>0</v>
      </c>
      <c r="E145" s="34">
        <f t="shared" si="62"/>
        <v>3100000</v>
      </c>
      <c r="F145" s="34">
        <f t="shared" si="62"/>
        <v>515360</v>
      </c>
      <c r="G145" s="34">
        <f t="shared" si="62"/>
        <v>12899649</v>
      </c>
      <c r="H145" s="34">
        <f t="shared" si="62"/>
        <v>0</v>
      </c>
      <c r="I145" s="34">
        <f t="shared" si="62"/>
        <v>0</v>
      </c>
      <c r="J145" s="34">
        <f t="shared" ref="J145" si="63">SUM(J134+J125+J117+J108+J99+J90+J81+J73+J64+J55+J46+J37+J143)</f>
        <v>0</v>
      </c>
      <c r="K145" s="34">
        <f t="shared" si="62"/>
        <v>0</v>
      </c>
      <c r="L145" s="34">
        <f t="shared" si="62"/>
        <v>0</v>
      </c>
      <c r="M145" s="34">
        <f t="shared" si="62"/>
        <v>0</v>
      </c>
      <c r="N145" s="34">
        <f t="shared" si="62"/>
        <v>46000</v>
      </c>
      <c r="O145" s="34">
        <f t="shared" si="62"/>
        <v>0</v>
      </c>
      <c r="P145" s="34">
        <f t="shared" si="62"/>
        <v>0</v>
      </c>
      <c r="Q145" s="34">
        <f t="shared" si="62"/>
        <v>0</v>
      </c>
      <c r="R145" s="34">
        <f t="shared" si="62"/>
        <v>0</v>
      </c>
      <c r="S145" s="34">
        <f t="shared" si="62"/>
        <v>4966301</v>
      </c>
      <c r="T145" s="34">
        <f t="shared" si="62"/>
        <v>0</v>
      </c>
      <c r="U145" s="34">
        <f t="shared" si="62"/>
        <v>0</v>
      </c>
      <c r="V145" s="34">
        <f t="shared" si="62"/>
        <v>0</v>
      </c>
      <c r="W145" s="34">
        <f t="shared" si="62"/>
        <v>1835000</v>
      </c>
      <c r="X145" s="34">
        <f t="shared" si="62"/>
        <v>0</v>
      </c>
      <c r="Y145" s="34">
        <f t="shared" si="62"/>
        <v>0</v>
      </c>
      <c r="Z145" s="34">
        <f t="shared" si="62"/>
        <v>0</v>
      </c>
      <c r="AA145" s="34">
        <f t="shared" si="62"/>
        <v>0</v>
      </c>
      <c r="AB145" s="34">
        <f t="shared" si="62"/>
        <v>0</v>
      </c>
      <c r="AC145" s="34">
        <f t="shared" si="62"/>
        <v>0</v>
      </c>
      <c r="AD145" s="35">
        <f t="shared" si="62"/>
        <v>97373237</v>
      </c>
      <c r="AP145" s="33">
        <f>SUM(AP134+AP125+AP117+AP108+AP99+AP90+AP81+AP73+AP64+AP55+AP46+AP37+AP143)</f>
        <v>73131703</v>
      </c>
      <c r="AQ145" s="33">
        <f>SUM(AQ134+AQ125+AQ117+AQ108+AQ99+AQ90+AQ81+AQ73+AQ64+AQ55+AQ46+AQ37+AQ143)</f>
        <v>879224</v>
      </c>
    </row>
    <row r="146" spans="1:43" s="6" customFormat="1" ht="1.9" customHeight="1" x14ac:dyDescent="0.2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  <c r="AP146" s="42"/>
      <c r="AQ146" s="42"/>
    </row>
    <row r="147" spans="1:43" s="6" customFormat="1" x14ac:dyDescent="0.2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  <c r="AP147" s="42"/>
      <c r="AQ147" s="42"/>
    </row>
    <row r="148" spans="1:43" s="6" customFormat="1" x14ac:dyDescent="0.2">
      <c r="A148" s="11" t="s">
        <v>58</v>
      </c>
      <c r="B148" s="14" t="s">
        <v>16</v>
      </c>
      <c r="C148" s="15">
        <f t="shared" ref="C148:C153" si="64">+AP148+AQ148</f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ref="AD148:AD153" si="65">SUM(C148:AC148)</f>
        <v>0</v>
      </c>
      <c r="AP148" s="39">
        <v>0</v>
      </c>
      <c r="AQ148" s="39"/>
    </row>
    <row r="149" spans="1:43" s="6" customFormat="1" x14ac:dyDescent="0.2">
      <c r="A149" s="11" t="s">
        <v>139</v>
      </c>
      <c r="B149" s="14" t="s">
        <v>17</v>
      </c>
      <c r="C149" s="15">
        <f t="shared" si="64"/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65"/>
        <v>0</v>
      </c>
      <c r="AP149" s="39">
        <v>0</v>
      </c>
      <c r="AQ149" s="39"/>
    </row>
    <row r="150" spans="1:43" s="6" customFormat="1" ht="25.5" x14ac:dyDescent="0.2">
      <c r="A150" s="11" t="s">
        <v>59</v>
      </c>
      <c r="B150" s="14" t="s">
        <v>18</v>
      </c>
      <c r="C150" s="15">
        <f t="shared" si="64"/>
        <v>597510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f>62680+62680+92628+83085+58616+212157</f>
        <v>571846</v>
      </c>
      <c r="R150" s="6">
        <v>0</v>
      </c>
      <c r="S150" s="16">
        <f>121446+202800+1530000</f>
        <v>1854246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65"/>
        <v>3023602</v>
      </c>
      <c r="AP150" s="39">
        <v>597510</v>
      </c>
      <c r="AQ150" s="39"/>
    </row>
    <row r="151" spans="1:43" s="6" customFormat="1" x14ac:dyDescent="0.2">
      <c r="A151" s="11" t="s">
        <v>60</v>
      </c>
      <c r="B151" s="14" t="s">
        <v>19</v>
      </c>
      <c r="C151" s="15">
        <f t="shared" si="64"/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/>
      <c r="R151" s="16">
        <v>0</v>
      </c>
      <c r="S151" s="16">
        <f>300000+100000</f>
        <v>400000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65"/>
        <v>400000</v>
      </c>
      <c r="AP151" s="39">
        <v>0</v>
      </c>
      <c r="AQ151" s="39"/>
    </row>
    <row r="152" spans="1:43" s="6" customFormat="1" x14ac:dyDescent="0.2">
      <c r="A152" s="11" t="s">
        <v>61</v>
      </c>
      <c r="B152" s="14" t="s">
        <v>20</v>
      </c>
      <c r="C152" s="15">
        <f t="shared" si="64"/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f>19713+279921+78823+323000+1317610+137277+675000+760000+2148000+1020628+1250844+1886974+4026375+844833+1350000+4892000</f>
        <v>21010998</v>
      </c>
      <c r="R152" s="16">
        <v>0</v>
      </c>
      <c r="S152" s="16">
        <f>18000+5509+12374+465156+311875+22770+200000+145000+633474+480000+312846+823304+593370+250+37572+960109+2023000+194574+260000+550000+40000+28600000+938625+5230798</f>
        <v>42858606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65"/>
        <v>63869604</v>
      </c>
      <c r="AP152" s="39">
        <v>0</v>
      </c>
      <c r="AQ152" s="39"/>
    </row>
    <row r="153" spans="1:43" s="6" customFormat="1" x14ac:dyDescent="0.2">
      <c r="A153" s="11" t="s">
        <v>62</v>
      </c>
      <c r="B153" s="14" t="s">
        <v>21</v>
      </c>
      <c r="C153" s="15">
        <f t="shared" si="64"/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65"/>
        <v>0</v>
      </c>
      <c r="AP153" s="39">
        <v>0</v>
      </c>
      <c r="AQ153" s="39"/>
    </row>
    <row r="154" spans="1:43" s="6" customFormat="1" x14ac:dyDescent="0.2">
      <c r="A154" s="36" t="s">
        <v>89</v>
      </c>
      <c r="B154" s="32"/>
      <c r="C154" s="33">
        <f t="shared" ref="C154:AD154" si="66">SUM(C148:C153)</f>
        <v>597510</v>
      </c>
      <c r="D154" s="34">
        <f t="shared" si="66"/>
        <v>0</v>
      </c>
      <c r="E154" s="34">
        <f t="shared" si="66"/>
        <v>0</v>
      </c>
      <c r="F154" s="34">
        <f t="shared" si="66"/>
        <v>0</v>
      </c>
      <c r="G154" s="34">
        <f t="shared" si="66"/>
        <v>0</v>
      </c>
      <c r="H154" s="34">
        <f t="shared" si="66"/>
        <v>0</v>
      </c>
      <c r="I154" s="34">
        <f t="shared" si="66"/>
        <v>0</v>
      </c>
      <c r="J154" s="34">
        <f t="shared" ref="J154" si="67">SUM(J148:J153)</f>
        <v>0</v>
      </c>
      <c r="K154" s="34">
        <f t="shared" si="66"/>
        <v>0</v>
      </c>
      <c r="L154" s="34">
        <f t="shared" si="66"/>
        <v>0</v>
      </c>
      <c r="M154" s="34">
        <f t="shared" si="66"/>
        <v>0</v>
      </c>
      <c r="N154" s="34">
        <f t="shared" si="66"/>
        <v>0</v>
      </c>
      <c r="O154" s="34">
        <f t="shared" si="66"/>
        <v>0</v>
      </c>
      <c r="P154" s="34">
        <f t="shared" si="66"/>
        <v>0</v>
      </c>
      <c r="Q154" s="34">
        <f t="shared" si="66"/>
        <v>21582844</v>
      </c>
      <c r="R154" s="34">
        <f t="shared" si="66"/>
        <v>0</v>
      </c>
      <c r="S154" s="34">
        <f t="shared" si="66"/>
        <v>45112852</v>
      </c>
      <c r="T154" s="34">
        <f t="shared" si="66"/>
        <v>0</v>
      </c>
      <c r="U154" s="34">
        <f t="shared" si="66"/>
        <v>0</v>
      </c>
      <c r="V154" s="34">
        <f t="shared" si="66"/>
        <v>0</v>
      </c>
      <c r="W154" s="34">
        <f t="shared" si="66"/>
        <v>0</v>
      </c>
      <c r="X154" s="34">
        <f t="shared" si="66"/>
        <v>0</v>
      </c>
      <c r="Y154" s="34">
        <f t="shared" si="66"/>
        <v>0</v>
      </c>
      <c r="Z154" s="34">
        <f t="shared" si="66"/>
        <v>0</v>
      </c>
      <c r="AA154" s="34">
        <f t="shared" si="66"/>
        <v>0</v>
      </c>
      <c r="AB154" s="34">
        <f t="shared" si="66"/>
        <v>0</v>
      </c>
      <c r="AC154" s="34">
        <f t="shared" si="66"/>
        <v>0</v>
      </c>
      <c r="AD154" s="35">
        <f t="shared" si="66"/>
        <v>67293206</v>
      </c>
      <c r="AP154" s="33">
        <f>SUM(AP148:AP153)</f>
        <v>597510</v>
      </c>
      <c r="AQ154" s="33">
        <f>SUM(AQ148:AQ153)</f>
        <v>0</v>
      </c>
    </row>
    <row r="155" spans="1:43" s="6" customFormat="1" ht="1.9" customHeight="1" x14ac:dyDescent="0.2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  <c r="AP155" s="42"/>
      <c r="AQ155" s="42"/>
    </row>
    <row r="156" spans="1:43" s="6" customFormat="1" ht="38.25" x14ac:dyDescent="0.2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  <c r="AP156" s="42"/>
      <c r="AQ156" s="42"/>
    </row>
    <row r="157" spans="1:43" s="6" customFormat="1" x14ac:dyDescent="0.2">
      <c r="A157" s="11" t="s">
        <v>58</v>
      </c>
      <c r="B157" s="14" t="s">
        <v>16</v>
      </c>
      <c r="C157" s="24" t="s">
        <v>35</v>
      </c>
      <c r="D157" s="25" t="s">
        <v>35</v>
      </c>
      <c r="E157" s="25" t="s">
        <v>35</v>
      </c>
      <c r="F157" s="25" t="s">
        <v>35</v>
      </c>
      <c r="G157" s="25" t="s">
        <v>35</v>
      </c>
      <c r="H157" s="25" t="s">
        <v>35</v>
      </c>
      <c r="I157" s="25" t="s">
        <v>35</v>
      </c>
      <c r="J157" s="25" t="s">
        <v>35</v>
      </c>
      <c r="K157" s="25" t="s">
        <v>35</v>
      </c>
      <c r="L157" s="25" t="s">
        <v>35</v>
      </c>
      <c r="M157" s="25" t="s">
        <v>35</v>
      </c>
      <c r="N157" s="25" t="s">
        <v>35</v>
      </c>
      <c r="O157" s="25" t="s">
        <v>35</v>
      </c>
      <c r="P157" s="25" t="s">
        <v>35</v>
      </c>
      <c r="Q157" s="25" t="s">
        <v>35</v>
      </c>
      <c r="R157" s="25" t="s">
        <v>35</v>
      </c>
      <c r="S157" s="25" t="s">
        <v>35</v>
      </c>
      <c r="T157" s="25" t="s">
        <v>35</v>
      </c>
      <c r="U157" s="25" t="s">
        <v>35</v>
      </c>
      <c r="V157" s="25" t="s">
        <v>35</v>
      </c>
      <c r="W157" s="25" t="s">
        <v>35</v>
      </c>
      <c r="X157" s="25" t="s">
        <v>35</v>
      </c>
      <c r="Y157" s="25" t="s">
        <v>35</v>
      </c>
      <c r="Z157" s="25" t="s">
        <v>35</v>
      </c>
      <c r="AA157" s="25" t="s">
        <v>35</v>
      </c>
      <c r="AB157" s="25" t="s">
        <v>35</v>
      </c>
      <c r="AC157" s="25" t="s">
        <v>35</v>
      </c>
      <c r="AD157" s="26">
        <f t="shared" ref="AD157:AD162" si="68">SUM(C157:AC157)</f>
        <v>0</v>
      </c>
      <c r="AP157" s="44"/>
      <c r="AQ157" s="44"/>
    </row>
    <row r="158" spans="1:43" s="6" customFormat="1" x14ac:dyDescent="0.2">
      <c r="A158" s="11" t="s">
        <v>139</v>
      </c>
      <c r="B158" s="14" t="s">
        <v>17</v>
      </c>
      <c r="C158" s="24" t="s">
        <v>35</v>
      </c>
      <c r="D158" s="25" t="s">
        <v>35</v>
      </c>
      <c r="E158" s="25" t="s">
        <v>35</v>
      </c>
      <c r="F158" s="25" t="s">
        <v>35</v>
      </c>
      <c r="G158" s="25" t="s">
        <v>35</v>
      </c>
      <c r="H158" s="25" t="s">
        <v>35</v>
      </c>
      <c r="I158" s="25" t="s">
        <v>35</v>
      </c>
      <c r="J158" s="25" t="s">
        <v>35</v>
      </c>
      <c r="K158" s="25" t="s">
        <v>35</v>
      </c>
      <c r="L158" s="25" t="s">
        <v>35</v>
      </c>
      <c r="M158" s="25" t="s">
        <v>35</v>
      </c>
      <c r="N158" s="25" t="s">
        <v>35</v>
      </c>
      <c r="O158" s="25" t="s">
        <v>35</v>
      </c>
      <c r="P158" s="25" t="s">
        <v>35</v>
      </c>
      <c r="Q158" s="25" t="s">
        <v>35</v>
      </c>
      <c r="R158" s="25" t="s">
        <v>35</v>
      </c>
      <c r="S158" s="25" t="s">
        <v>35</v>
      </c>
      <c r="T158" s="25" t="s">
        <v>35</v>
      </c>
      <c r="U158" s="25" t="s">
        <v>35</v>
      </c>
      <c r="V158" s="25" t="s">
        <v>35</v>
      </c>
      <c r="W158" s="25" t="s">
        <v>35</v>
      </c>
      <c r="X158" s="25" t="s">
        <v>35</v>
      </c>
      <c r="Y158" s="25" t="s">
        <v>35</v>
      </c>
      <c r="Z158" s="25" t="s">
        <v>35</v>
      </c>
      <c r="AA158" s="25" t="s">
        <v>35</v>
      </c>
      <c r="AB158" s="25" t="s">
        <v>35</v>
      </c>
      <c r="AC158" s="25" t="s">
        <v>35</v>
      </c>
      <c r="AD158" s="26">
        <f t="shared" si="68"/>
        <v>0</v>
      </c>
      <c r="AP158" s="44"/>
      <c r="AQ158" s="44"/>
    </row>
    <row r="159" spans="1:43" s="6" customFormat="1" ht="25.5" x14ac:dyDescent="0.2">
      <c r="A159" s="11" t="s">
        <v>59</v>
      </c>
      <c r="B159" s="14" t="s">
        <v>18</v>
      </c>
      <c r="C159" s="24" t="s">
        <v>35</v>
      </c>
      <c r="D159" s="25" t="s">
        <v>35</v>
      </c>
      <c r="E159" s="25" t="s">
        <v>35</v>
      </c>
      <c r="F159" s="25" t="s">
        <v>35</v>
      </c>
      <c r="G159" s="25" t="s">
        <v>35</v>
      </c>
      <c r="H159" s="25" t="s">
        <v>35</v>
      </c>
      <c r="I159" s="25" t="s">
        <v>35</v>
      </c>
      <c r="J159" s="25" t="s">
        <v>35</v>
      </c>
      <c r="K159" s="25" t="s">
        <v>35</v>
      </c>
      <c r="L159" s="25" t="s">
        <v>35</v>
      </c>
      <c r="M159" s="25" t="s">
        <v>35</v>
      </c>
      <c r="N159" s="25" t="s">
        <v>35</v>
      </c>
      <c r="O159" s="25" t="s">
        <v>35</v>
      </c>
      <c r="P159" s="25" t="s">
        <v>35</v>
      </c>
      <c r="Q159" s="25" t="s">
        <v>35</v>
      </c>
      <c r="R159" s="25" t="s">
        <v>35</v>
      </c>
      <c r="S159" s="25" t="s">
        <v>35</v>
      </c>
      <c r="T159" s="25" t="s">
        <v>35</v>
      </c>
      <c r="U159" s="25" t="s">
        <v>35</v>
      </c>
      <c r="V159" s="25" t="s">
        <v>35</v>
      </c>
      <c r="W159" s="25" t="s">
        <v>35</v>
      </c>
      <c r="X159" s="25" t="s">
        <v>35</v>
      </c>
      <c r="Y159" s="25" t="s">
        <v>35</v>
      </c>
      <c r="Z159" s="25" t="s">
        <v>35</v>
      </c>
      <c r="AA159" s="25" t="s">
        <v>35</v>
      </c>
      <c r="AB159" s="25" t="s">
        <v>35</v>
      </c>
      <c r="AC159" s="25" t="s">
        <v>35</v>
      </c>
      <c r="AD159" s="26">
        <f t="shared" si="68"/>
        <v>0</v>
      </c>
      <c r="AP159" s="44"/>
      <c r="AQ159" s="44"/>
    </row>
    <row r="160" spans="1:43" s="6" customFormat="1" x14ac:dyDescent="0.2">
      <c r="A160" s="11" t="s">
        <v>60</v>
      </c>
      <c r="B160" s="14" t="s">
        <v>19</v>
      </c>
      <c r="C160" s="24" t="s">
        <v>35</v>
      </c>
      <c r="D160" s="25" t="s">
        <v>35</v>
      </c>
      <c r="E160" s="25" t="s">
        <v>35</v>
      </c>
      <c r="F160" s="25" t="s">
        <v>35</v>
      </c>
      <c r="G160" s="25" t="s">
        <v>35</v>
      </c>
      <c r="H160" s="25" t="s">
        <v>35</v>
      </c>
      <c r="I160" s="25" t="s">
        <v>35</v>
      </c>
      <c r="J160" s="25" t="s">
        <v>35</v>
      </c>
      <c r="K160" s="25" t="s">
        <v>35</v>
      </c>
      <c r="L160" s="25" t="s">
        <v>35</v>
      </c>
      <c r="M160" s="25" t="s">
        <v>35</v>
      </c>
      <c r="N160" s="25" t="s">
        <v>35</v>
      </c>
      <c r="O160" s="25" t="s">
        <v>35</v>
      </c>
      <c r="P160" s="25" t="s">
        <v>35</v>
      </c>
      <c r="Q160" s="25" t="s">
        <v>35</v>
      </c>
      <c r="R160" s="25" t="s">
        <v>35</v>
      </c>
      <c r="S160" s="25" t="s">
        <v>35</v>
      </c>
      <c r="T160" s="25" t="s">
        <v>35</v>
      </c>
      <c r="U160" s="25" t="s">
        <v>35</v>
      </c>
      <c r="V160" s="25" t="s">
        <v>35</v>
      </c>
      <c r="W160" s="25" t="s">
        <v>35</v>
      </c>
      <c r="X160" s="25" t="s">
        <v>35</v>
      </c>
      <c r="Y160" s="25" t="s">
        <v>35</v>
      </c>
      <c r="Z160" s="25" t="s">
        <v>35</v>
      </c>
      <c r="AA160" s="25" t="s">
        <v>35</v>
      </c>
      <c r="AB160" s="25" t="s">
        <v>35</v>
      </c>
      <c r="AC160" s="25" t="s">
        <v>35</v>
      </c>
      <c r="AD160" s="26">
        <f t="shared" si="68"/>
        <v>0</v>
      </c>
      <c r="AP160" s="44"/>
      <c r="AQ160" s="44"/>
    </row>
    <row r="161" spans="1:43" s="6" customFormat="1" x14ac:dyDescent="0.2">
      <c r="A161" s="11" t="s">
        <v>61</v>
      </c>
      <c r="B161" s="14" t="s">
        <v>20</v>
      </c>
      <c r="C161" s="24" t="s">
        <v>35</v>
      </c>
      <c r="D161" s="25" t="s">
        <v>35</v>
      </c>
      <c r="E161" s="25" t="s">
        <v>35</v>
      </c>
      <c r="F161" s="25" t="s">
        <v>35</v>
      </c>
      <c r="G161" s="25" t="s">
        <v>35</v>
      </c>
      <c r="H161" s="25" t="s">
        <v>35</v>
      </c>
      <c r="I161" s="25" t="s">
        <v>35</v>
      </c>
      <c r="J161" s="25" t="s">
        <v>35</v>
      </c>
      <c r="K161" s="25" t="s">
        <v>35</v>
      </c>
      <c r="L161" s="25" t="s">
        <v>35</v>
      </c>
      <c r="M161" s="25" t="s">
        <v>35</v>
      </c>
      <c r="N161" s="25" t="s">
        <v>35</v>
      </c>
      <c r="O161" s="25" t="s">
        <v>35</v>
      </c>
      <c r="P161" s="25" t="s">
        <v>35</v>
      </c>
      <c r="Q161" s="25" t="s">
        <v>35</v>
      </c>
      <c r="R161" s="25" t="s">
        <v>35</v>
      </c>
      <c r="S161" s="25" t="s">
        <v>35</v>
      </c>
      <c r="T161" s="25" t="s">
        <v>35</v>
      </c>
      <c r="U161" s="25" t="s">
        <v>35</v>
      </c>
      <c r="V161" s="25" t="s">
        <v>35</v>
      </c>
      <c r="W161" s="25" t="s">
        <v>35</v>
      </c>
      <c r="X161" s="25" t="s">
        <v>35</v>
      </c>
      <c r="Y161" s="25" t="s">
        <v>35</v>
      </c>
      <c r="Z161" s="25" t="s">
        <v>35</v>
      </c>
      <c r="AA161" s="25" t="s">
        <v>35</v>
      </c>
      <c r="AB161" s="25" t="s">
        <v>35</v>
      </c>
      <c r="AC161" s="25" t="s">
        <v>35</v>
      </c>
      <c r="AD161" s="26">
        <f t="shared" si="68"/>
        <v>0</v>
      </c>
      <c r="AP161" s="44"/>
      <c r="AQ161" s="44"/>
    </row>
    <row r="162" spans="1:43" s="6" customFormat="1" x14ac:dyDescent="0.2">
      <c r="A162" s="11" t="s">
        <v>62</v>
      </c>
      <c r="B162" s="14" t="s">
        <v>21</v>
      </c>
      <c r="C162" s="15">
        <f>+AP162+AQ162</f>
        <v>848668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f>6000+9279025+8475000+214181+453105</f>
        <v>18427311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68"/>
        <v>19275979</v>
      </c>
      <c r="AP162" s="39">
        <f>533448+111188</f>
        <v>644636</v>
      </c>
      <c r="AQ162" s="39">
        <f>22164+181868</f>
        <v>204032</v>
      </c>
    </row>
    <row r="163" spans="1:43" s="6" customFormat="1" x14ac:dyDescent="0.2">
      <c r="A163" s="36" t="s">
        <v>90</v>
      </c>
      <c r="B163" s="32"/>
      <c r="C163" s="33">
        <f t="shared" ref="C163:AD163" si="69">SUM(C157:C162)</f>
        <v>848668</v>
      </c>
      <c r="D163" s="34">
        <f t="shared" si="69"/>
        <v>0</v>
      </c>
      <c r="E163" s="34">
        <f t="shared" si="69"/>
        <v>0</v>
      </c>
      <c r="F163" s="34">
        <f t="shared" si="69"/>
        <v>0</v>
      </c>
      <c r="G163" s="34">
        <f>SUM(G157:G162)</f>
        <v>0</v>
      </c>
      <c r="H163" s="34">
        <f t="shared" si="69"/>
        <v>0</v>
      </c>
      <c r="I163" s="34">
        <f t="shared" si="69"/>
        <v>0</v>
      </c>
      <c r="J163" s="34">
        <f t="shared" ref="J163" si="70">SUM(J157:J162)</f>
        <v>0</v>
      </c>
      <c r="K163" s="34">
        <f t="shared" si="69"/>
        <v>0</v>
      </c>
      <c r="L163" s="34">
        <f t="shared" si="69"/>
        <v>0</v>
      </c>
      <c r="M163" s="34">
        <f t="shared" si="69"/>
        <v>0</v>
      </c>
      <c r="N163" s="34">
        <f t="shared" si="69"/>
        <v>0</v>
      </c>
      <c r="O163" s="34">
        <f t="shared" si="69"/>
        <v>18427311</v>
      </c>
      <c r="P163" s="34">
        <f t="shared" si="69"/>
        <v>0</v>
      </c>
      <c r="Q163" s="34">
        <f t="shared" si="69"/>
        <v>0</v>
      </c>
      <c r="R163" s="34">
        <f t="shared" si="69"/>
        <v>0</v>
      </c>
      <c r="S163" s="34">
        <f t="shared" si="69"/>
        <v>0</v>
      </c>
      <c r="T163" s="34">
        <f t="shared" si="69"/>
        <v>0</v>
      </c>
      <c r="U163" s="34">
        <f t="shared" si="69"/>
        <v>0</v>
      </c>
      <c r="V163" s="34">
        <f t="shared" si="69"/>
        <v>0</v>
      </c>
      <c r="W163" s="34">
        <f t="shared" si="69"/>
        <v>0</v>
      </c>
      <c r="X163" s="34">
        <f t="shared" si="69"/>
        <v>0</v>
      </c>
      <c r="Y163" s="34">
        <f t="shared" si="69"/>
        <v>0</v>
      </c>
      <c r="Z163" s="34">
        <f t="shared" si="69"/>
        <v>0</v>
      </c>
      <c r="AA163" s="34">
        <f t="shared" si="69"/>
        <v>0</v>
      </c>
      <c r="AB163" s="34">
        <f t="shared" si="69"/>
        <v>0</v>
      </c>
      <c r="AC163" s="34">
        <f t="shared" si="69"/>
        <v>0</v>
      </c>
      <c r="AD163" s="35">
        <f t="shared" si="69"/>
        <v>19275979</v>
      </c>
      <c r="AP163" s="33">
        <f>SUM(AP157:AP162)</f>
        <v>644636</v>
      </c>
      <c r="AQ163" s="33">
        <f>SUM(AQ157:AQ162)</f>
        <v>204032</v>
      </c>
    </row>
    <row r="164" spans="1:43" s="6" customFormat="1" ht="1.9" customHeight="1" x14ac:dyDescent="0.2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  <c r="AP164" s="42"/>
      <c r="AQ164" s="42"/>
    </row>
    <row r="165" spans="1:43" s="6" customFormat="1" x14ac:dyDescent="0.2">
      <c r="A165" s="31" t="s">
        <v>95</v>
      </c>
      <c r="B165" s="32"/>
      <c r="C165" s="33">
        <f t="shared" ref="C165:AD165" si="71">SUM(C145+C28+C163+C154)</f>
        <v>168579439</v>
      </c>
      <c r="D165" s="34">
        <f t="shared" si="71"/>
        <v>0</v>
      </c>
      <c r="E165" s="34">
        <f t="shared" si="71"/>
        <v>3100000</v>
      </c>
      <c r="F165" s="34">
        <f t="shared" si="71"/>
        <v>4698490</v>
      </c>
      <c r="G165" s="34">
        <f t="shared" si="71"/>
        <v>12899649</v>
      </c>
      <c r="H165" s="34">
        <f t="shared" si="71"/>
        <v>0</v>
      </c>
      <c r="I165" s="34">
        <f t="shared" si="71"/>
        <v>0</v>
      </c>
      <c r="J165" s="34">
        <f t="shared" ref="J165" si="72">SUM(J145+J28+J163+J154)</f>
        <v>0</v>
      </c>
      <c r="K165" s="34">
        <f t="shared" si="71"/>
        <v>4621026</v>
      </c>
      <c r="L165" s="34">
        <f t="shared" si="71"/>
        <v>0</v>
      </c>
      <c r="M165" s="34">
        <f t="shared" si="71"/>
        <v>0</v>
      </c>
      <c r="N165" s="34">
        <f t="shared" si="71"/>
        <v>334985</v>
      </c>
      <c r="O165" s="34">
        <f t="shared" si="71"/>
        <v>18427311</v>
      </c>
      <c r="P165" s="34">
        <f t="shared" si="71"/>
        <v>0</v>
      </c>
      <c r="Q165" s="34">
        <f t="shared" si="71"/>
        <v>21582844</v>
      </c>
      <c r="R165" s="34">
        <f t="shared" si="71"/>
        <v>0</v>
      </c>
      <c r="S165" s="34">
        <f t="shared" si="71"/>
        <v>50079153</v>
      </c>
      <c r="T165" s="34">
        <f t="shared" si="71"/>
        <v>0</v>
      </c>
      <c r="U165" s="34">
        <f t="shared" si="71"/>
        <v>0</v>
      </c>
      <c r="V165" s="34">
        <f t="shared" si="71"/>
        <v>0</v>
      </c>
      <c r="W165" s="34">
        <f t="shared" si="71"/>
        <v>1835000</v>
      </c>
      <c r="X165" s="34">
        <f t="shared" si="71"/>
        <v>0</v>
      </c>
      <c r="Y165" s="34">
        <f t="shared" si="71"/>
        <v>0</v>
      </c>
      <c r="Z165" s="34">
        <f t="shared" si="71"/>
        <v>0</v>
      </c>
      <c r="AA165" s="34">
        <f t="shared" si="71"/>
        <v>0</v>
      </c>
      <c r="AB165" s="34">
        <f t="shared" si="71"/>
        <v>0</v>
      </c>
      <c r="AC165" s="34">
        <f t="shared" si="71"/>
        <v>0</v>
      </c>
      <c r="AD165" s="35">
        <f t="shared" si="71"/>
        <v>286157897</v>
      </c>
      <c r="AP165" s="33">
        <f>SUM(AP145+AP28+AP163+AP154)</f>
        <v>164861461</v>
      </c>
      <c r="AQ165" s="33">
        <f>SUM(AQ145+AQ28+AQ163+AQ154)</f>
        <v>3717978</v>
      </c>
    </row>
    <row r="166" spans="1:43" s="6" customFormat="1" ht="1.9" customHeight="1" x14ac:dyDescent="0.2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  <c r="AP166" s="42"/>
      <c r="AQ166" s="42"/>
    </row>
    <row r="167" spans="1:43" s="6" customFormat="1" x14ac:dyDescent="0.2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  <c r="AP167" s="42"/>
      <c r="AQ167" s="42"/>
    </row>
    <row r="168" spans="1:43" s="6" customFormat="1" x14ac:dyDescent="0.2">
      <c r="A168" s="12" t="s">
        <v>104</v>
      </c>
      <c r="B168" s="1" t="s">
        <v>34</v>
      </c>
      <c r="C168" s="15">
        <f t="shared" ref="C168:C173" si="73">+AP168+AQ168</f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ref="AD168:AD173" si="74">SUM(C168:AC168)</f>
        <v>0</v>
      </c>
      <c r="AP168" s="39"/>
      <c r="AQ168" s="39"/>
    </row>
    <row r="169" spans="1:43" s="6" customFormat="1" x14ac:dyDescent="0.2">
      <c r="A169" s="12" t="s">
        <v>105</v>
      </c>
      <c r="B169" s="1" t="s">
        <v>34</v>
      </c>
      <c r="C169" s="15">
        <f t="shared" si="73"/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74"/>
        <v>0</v>
      </c>
      <c r="AP169" s="39"/>
      <c r="AQ169" s="39"/>
    </row>
    <row r="170" spans="1:43" s="6" customFormat="1" x14ac:dyDescent="0.2">
      <c r="A170" s="12" t="s">
        <v>106</v>
      </c>
      <c r="B170" s="1" t="s">
        <v>34</v>
      </c>
      <c r="C170" s="15">
        <f t="shared" si="73"/>
        <v>0</v>
      </c>
      <c r="D170" s="16">
        <v>0</v>
      </c>
      <c r="E170" s="16">
        <v>0</v>
      </c>
      <c r="F170" s="16">
        <v>1284117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74"/>
        <v>1284117</v>
      </c>
      <c r="AP170" s="39"/>
      <c r="AQ170" s="39"/>
    </row>
    <row r="171" spans="1:43" s="6" customFormat="1" x14ac:dyDescent="0.2">
      <c r="A171" s="12" t="s">
        <v>107</v>
      </c>
      <c r="B171" s="1" t="s">
        <v>34</v>
      </c>
      <c r="C171" s="15">
        <f t="shared" si="73"/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74"/>
        <v>0</v>
      </c>
      <c r="AP171" s="39"/>
      <c r="AQ171" s="39"/>
    </row>
    <row r="172" spans="1:43" s="6" customFormat="1" x14ac:dyDescent="0.2">
      <c r="A172" s="12" t="s">
        <v>108</v>
      </c>
      <c r="B172" s="1" t="s">
        <v>34</v>
      </c>
      <c r="C172" s="15">
        <f t="shared" si="73"/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74"/>
        <v>0</v>
      </c>
      <c r="AP172" s="39"/>
      <c r="AQ172" s="39"/>
    </row>
    <row r="173" spans="1:43" s="6" customFormat="1" ht="25.5" x14ac:dyDescent="0.2">
      <c r="A173" s="12" t="s">
        <v>109</v>
      </c>
      <c r="B173" s="1" t="s">
        <v>34</v>
      </c>
      <c r="C173" s="15">
        <f t="shared" si="73"/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74"/>
        <v>0</v>
      </c>
      <c r="AP173" s="39"/>
      <c r="AQ173" s="39"/>
    </row>
    <row r="174" spans="1:43" s="6" customFormat="1" x14ac:dyDescent="0.2">
      <c r="A174" s="31" t="s">
        <v>110</v>
      </c>
      <c r="B174" s="32"/>
      <c r="C174" s="33">
        <f>SUM(C168:C173)</f>
        <v>0</v>
      </c>
      <c r="D174" s="34">
        <f t="shared" ref="D174:AD174" si="75">SUM(D168:D173)</f>
        <v>0</v>
      </c>
      <c r="E174" s="34">
        <f t="shared" si="75"/>
        <v>0</v>
      </c>
      <c r="F174" s="34">
        <f t="shared" si="75"/>
        <v>1284117</v>
      </c>
      <c r="G174" s="34">
        <f t="shared" si="75"/>
        <v>0</v>
      </c>
      <c r="H174" s="34">
        <f t="shared" si="75"/>
        <v>0</v>
      </c>
      <c r="I174" s="34">
        <f t="shared" si="75"/>
        <v>0</v>
      </c>
      <c r="J174" s="34">
        <f t="shared" ref="J174" si="76">SUM(J168:J173)</f>
        <v>0</v>
      </c>
      <c r="K174" s="34">
        <f t="shared" si="75"/>
        <v>0</v>
      </c>
      <c r="L174" s="34">
        <f t="shared" si="75"/>
        <v>0</v>
      </c>
      <c r="M174" s="34">
        <f t="shared" si="75"/>
        <v>0</v>
      </c>
      <c r="N174" s="34">
        <f t="shared" si="75"/>
        <v>0</v>
      </c>
      <c r="O174" s="34">
        <f t="shared" si="75"/>
        <v>0</v>
      </c>
      <c r="P174" s="34">
        <f t="shared" si="75"/>
        <v>0</v>
      </c>
      <c r="Q174" s="34">
        <f t="shared" si="75"/>
        <v>0</v>
      </c>
      <c r="R174" s="34">
        <f t="shared" si="75"/>
        <v>0</v>
      </c>
      <c r="S174" s="34">
        <f t="shared" si="75"/>
        <v>0</v>
      </c>
      <c r="T174" s="34">
        <f t="shared" si="75"/>
        <v>0</v>
      </c>
      <c r="U174" s="34">
        <f t="shared" si="75"/>
        <v>0</v>
      </c>
      <c r="V174" s="34">
        <f t="shared" si="75"/>
        <v>0</v>
      </c>
      <c r="W174" s="34">
        <f t="shared" si="75"/>
        <v>0</v>
      </c>
      <c r="X174" s="34">
        <f t="shared" si="75"/>
        <v>0</v>
      </c>
      <c r="Y174" s="34">
        <f t="shared" si="75"/>
        <v>0</v>
      </c>
      <c r="Z174" s="34">
        <f t="shared" si="75"/>
        <v>0</v>
      </c>
      <c r="AA174" s="34">
        <f t="shared" si="75"/>
        <v>0</v>
      </c>
      <c r="AB174" s="34">
        <f t="shared" si="75"/>
        <v>0</v>
      </c>
      <c r="AC174" s="34">
        <f t="shared" si="75"/>
        <v>0</v>
      </c>
      <c r="AD174" s="35">
        <f t="shared" si="75"/>
        <v>1284117</v>
      </c>
      <c r="AP174" s="41"/>
      <c r="AQ174" s="41"/>
    </row>
    <row r="175" spans="1:43" s="6" customFormat="1" ht="1.9" customHeight="1" x14ac:dyDescent="0.2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  <c r="AP175" s="42"/>
      <c r="AQ175" s="42"/>
    </row>
    <row r="176" spans="1:43" s="6" customFormat="1" x14ac:dyDescent="0.2">
      <c r="A176" s="31" t="s">
        <v>96</v>
      </c>
      <c r="B176" s="32"/>
      <c r="C176" s="33">
        <f t="shared" ref="C176:AD176" si="77">C165+C174</f>
        <v>168579439</v>
      </c>
      <c r="D176" s="34">
        <f t="shared" si="77"/>
        <v>0</v>
      </c>
      <c r="E176" s="34">
        <f t="shared" si="77"/>
        <v>3100000</v>
      </c>
      <c r="F176" s="34">
        <f t="shared" si="77"/>
        <v>5982607</v>
      </c>
      <c r="G176" s="34">
        <f t="shared" si="77"/>
        <v>12899649</v>
      </c>
      <c r="H176" s="34">
        <f t="shared" si="77"/>
        <v>0</v>
      </c>
      <c r="I176" s="34">
        <f t="shared" si="77"/>
        <v>0</v>
      </c>
      <c r="J176" s="34">
        <f t="shared" ref="J176" si="78">J165+J174</f>
        <v>0</v>
      </c>
      <c r="K176" s="34">
        <f t="shared" si="77"/>
        <v>4621026</v>
      </c>
      <c r="L176" s="34">
        <f t="shared" si="77"/>
        <v>0</v>
      </c>
      <c r="M176" s="34">
        <f t="shared" si="77"/>
        <v>0</v>
      </c>
      <c r="N176" s="34">
        <f t="shared" si="77"/>
        <v>334985</v>
      </c>
      <c r="O176" s="34">
        <f t="shared" si="77"/>
        <v>18427311</v>
      </c>
      <c r="P176" s="34">
        <f t="shared" si="77"/>
        <v>0</v>
      </c>
      <c r="Q176" s="34">
        <f t="shared" si="77"/>
        <v>21582844</v>
      </c>
      <c r="R176" s="34">
        <f t="shared" si="77"/>
        <v>0</v>
      </c>
      <c r="S176" s="34">
        <f t="shared" si="77"/>
        <v>50079153</v>
      </c>
      <c r="T176" s="34">
        <f t="shared" si="77"/>
        <v>0</v>
      </c>
      <c r="U176" s="34">
        <f t="shared" si="77"/>
        <v>0</v>
      </c>
      <c r="V176" s="34">
        <f t="shared" si="77"/>
        <v>0</v>
      </c>
      <c r="W176" s="34">
        <f t="shared" si="77"/>
        <v>1835000</v>
      </c>
      <c r="X176" s="34">
        <f t="shared" si="77"/>
        <v>0</v>
      </c>
      <c r="Y176" s="34">
        <f t="shared" si="77"/>
        <v>0</v>
      </c>
      <c r="Z176" s="34">
        <f t="shared" si="77"/>
        <v>0</v>
      </c>
      <c r="AA176" s="34">
        <f t="shared" si="77"/>
        <v>0</v>
      </c>
      <c r="AB176" s="34">
        <f t="shared" si="77"/>
        <v>0</v>
      </c>
      <c r="AC176" s="34">
        <f t="shared" si="77"/>
        <v>0</v>
      </c>
      <c r="AD176" s="35">
        <f t="shared" si="77"/>
        <v>287442014</v>
      </c>
      <c r="AP176" s="33">
        <f>AP165+AP174</f>
        <v>164861461</v>
      </c>
      <c r="AQ176" s="33">
        <f>AQ165+AQ174</f>
        <v>3717978</v>
      </c>
    </row>
    <row r="177" spans="1:43" s="6" customFormat="1" ht="1.9" customHeight="1" x14ac:dyDescent="0.2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  <c r="AP177" s="42"/>
      <c r="AQ177" s="42"/>
    </row>
    <row r="178" spans="1:43" s="6" customFormat="1" x14ac:dyDescent="0.2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  <c r="AP178" s="42"/>
      <c r="AQ178" s="42"/>
    </row>
    <row r="179" spans="1:43" s="6" customFormat="1" x14ac:dyDescent="0.2">
      <c r="A179" s="12" t="s">
        <v>63</v>
      </c>
      <c r="B179" s="1" t="s">
        <v>41</v>
      </c>
      <c r="C179" s="15">
        <f t="shared" ref="C179:C194" si="79">+AP179+AQ179</f>
        <v>2339896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ref="AD179:AD194" si="80">SUM(C179:AC179)</f>
        <v>2339896</v>
      </c>
      <c r="AP179" s="39">
        <v>2339896</v>
      </c>
      <c r="AQ179" s="39"/>
    </row>
    <row r="180" spans="1:43" s="6" customFormat="1" x14ac:dyDescent="0.2">
      <c r="A180" s="12" t="s">
        <v>138</v>
      </c>
      <c r="B180" s="1" t="s">
        <v>42</v>
      </c>
      <c r="C180" s="15">
        <f t="shared" si="79"/>
        <v>1151215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18565522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80"/>
        <v>19716737</v>
      </c>
      <c r="AP180" s="39">
        <v>1151215</v>
      </c>
      <c r="AQ180" s="39"/>
    </row>
    <row r="181" spans="1:43" s="6" customFormat="1" x14ac:dyDescent="0.2">
      <c r="A181" s="12" t="s">
        <v>64</v>
      </c>
      <c r="B181" s="1" t="s">
        <v>43</v>
      </c>
      <c r="C181" s="15">
        <f t="shared" si="79"/>
        <v>5450000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80"/>
        <v>5450000</v>
      </c>
      <c r="AP181" s="39">
        <v>5450000</v>
      </c>
      <c r="AQ181" s="39"/>
    </row>
    <row r="182" spans="1:43" s="6" customFormat="1" x14ac:dyDescent="0.2">
      <c r="A182" s="12" t="s">
        <v>65</v>
      </c>
      <c r="B182" s="1" t="s">
        <v>44</v>
      </c>
      <c r="C182" s="15">
        <f t="shared" si="79"/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80"/>
        <v>0</v>
      </c>
      <c r="AP182" s="39"/>
      <c r="AQ182" s="39"/>
    </row>
    <row r="183" spans="1:43" s="6" customFormat="1" ht="25.5" x14ac:dyDescent="0.2">
      <c r="A183" s="12" t="s">
        <v>66</v>
      </c>
      <c r="B183" s="1" t="s">
        <v>45</v>
      </c>
      <c r="C183" s="15">
        <f t="shared" si="79"/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80"/>
        <v>0</v>
      </c>
      <c r="AP183" s="39"/>
      <c r="AQ183" s="39"/>
    </row>
    <row r="184" spans="1:43" s="6" customFormat="1" x14ac:dyDescent="0.2">
      <c r="A184" s="12" t="s">
        <v>67</v>
      </c>
      <c r="B184" s="1" t="s">
        <v>46</v>
      </c>
      <c r="C184" s="15">
        <f t="shared" si="79"/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80"/>
        <v>0</v>
      </c>
      <c r="AP184" s="39"/>
      <c r="AQ184" s="39"/>
    </row>
    <row r="185" spans="1:43" s="6" customFormat="1" ht="25.5" x14ac:dyDescent="0.2">
      <c r="A185" s="12" t="s">
        <v>68</v>
      </c>
      <c r="B185" s="1" t="s">
        <v>47</v>
      </c>
      <c r="C185" s="15">
        <f t="shared" si="79"/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80"/>
        <v>0</v>
      </c>
      <c r="AP185" s="39"/>
      <c r="AQ185" s="39"/>
    </row>
    <row r="186" spans="1:43" s="6" customFormat="1" x14ac:dyDescent="0.2">
      <c r="A186" s="12" t="s">
        <v>69</v>
      </c>
      <c r="B186" s="1" t="s">
        <v>48</v>
      </c>
      <c r="C186" s="15">
        <f t="shared" si="79"/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80"/>
        <v>0</v>
      </c>
      <c r="AP186" s="39"/>
      <c r="AQ186" s="39"/>
    </row>
    <row r="187" spans="1:43" s="6" customFormat="1" x14ac:dyDescent="0.2">
      <c r="A187" s="12" t="s">
        <v>113</v>
      </c>
      <c r="B187" s="1" t="s">
        <v>112</v>
      </c>
      <c r="C187" s="15">
        <f t="shared" si="79"/>
        <v>0</v>
      </c>
      <c r="D187" s="16">
        <v>0</v>
      </c>
      <c r="E187" s="16">
        <v>0</v>
      </c>
      <c r="F187" s="16">
        <v>0</v>
      </c>
      <c r="G187" s="16">
        <v>6806910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si="80"/>
        <v>6806910</v>
      </c>
      <c r="AP187" s="39"/>
      <c r="AQ187" s="39"/>
    </row>
    <row r="188" spans="1:43" s="6" customFormat="1" x14ac:dyDescent="0.2">
      <c r="A188" s="12" t="s">
        <v>70</v>
      </c>
      <c r="B188" s="1" t="s">
        <v>49</v>
      </c>
      <c r="C188" s="15">
        <f t="shared" si="79"/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686048</v>
      </c>
      <c r="L188" s="16">
        <v>0</v>
      </c>
      <c r="M188" s="16">
        <v>0</v>
      </c>
      <c r="N188" s="16">
        <v>17269</v>
      </c>
      <c r="O188" s="16">
        <v>0</v>
      </c>
      <c r="P188" s="16">
        <v>0</v>
      </c>
      <c r="Q188" s="16">
        <v>1900534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80"/>
        <v>2603851</v>
      </c>
      <c r="AP188" s="39"/>
      <c r="AQ188" s="39"/>
    </row>
    <row r="189" spans="1:43" s="6" customFormat="1" x14ac:dyDescent="0.2">
      <c r="A189" s="12" t="s">
        <v>71</v>
      </c>
      <c r="B189" s="1" t="s">
        <v>49</v>
      </c>
      <c r="C189" s="15">
        <f t="shared" si="79"/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80"/>
        <v>0</v>
      </c>
      <c r="AP189" s="39"/>
      <c r="AQ189" s="39"/>
    </row>
    <row r="190" spans="1:43" s="6" customFormat="1" x14ac:dyDescent="0.2">
      <c r="A190" s="12" t="s">
        <v>72</v>
      </c>
      <c r="B190" s="1" t="s">
        <v>50</v>
      </c>
      <c r="C190" s="15">
        <f t="shared" si="79"/>
        <v>9351439</v>
      </c>
      <c r="D190" s="16">
        <v>0</v>
      </c>
      <c r="E190" s="16">
        <v>1926779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29541258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80"/>
        <v>40819476</v>
      </c>
      <c r="AP190" s="39">
        <f>8907723+438663</f>
        <v>9346386</v>
      </c>
      <c r="AQ190" s="39">
        <f>2275+2778</f>
        <v>5053</v>
      </c>
    </row>
    <row r="191" spans="1:43" s="6" customFormat="1" x14ac:dyDescent="0.2">
      <c r="A191" s="12" t="s">
        <v>73</v>
      </c>
      <c r="B191" s="1" t="s">
        <v>51</v>
      </c>
      <c r="C191" s="15">
        <f t="shared" si="79"/>
        <v>-3252077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80"/>
        <v>-3252077</v>
      </c>
      <c r="AP191" s="39">
        <v>-3252077</v>
      </c>
      <c r="AQ191" s="39"/>
    </row>
    <row r="192" spans="1:43" s="6" customFormat="1" x14ac:dyDescent="0.2">
      <c r="A192" s="12" t="s">
        <v>74</v>
      </c>
      <c r="B192" s="1" t="s">
        <v>53</v>
      </c>
      <c r="C192" s="15">
        <f t="shared" si="79"/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80"/>
        <v>0</v>
      </c>
      <c r="AP192" s="39"/>
      <c r="AQ192" s="39"/>
    </row>
    <row r="193" spans="1:43" s="6" customFormat="1" x14ac:dyDescent="0.2">
      <c r="A193" s="12" t="s">
        <v>75</v>
      </c>
      <c r="B193" s="1" t="s">
        <v>54</v>
      </c>
      <c r="C193" s="15">
        <f t="shared" si="79"/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80"/>
        <v>0</v>
      </c>
      <c r="AP193" s="39"/>
      <c r="AQ193" s="39"/>
    </row>
    <row r="194" spans="1:43" s="6" customFormat="1" x14ac:dyDescent="0.2">
      <c r="A194" s="12" t="s">
        <v>76</v>
      </c>
      <c r="B194" s="1" t="s">
        <v>55</v>
      </c>
      <c r="C194" s="15">
        <f t="shared" si="79"/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2155961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80"/>
        <v>2155961</v>
      </c>
      <c r="AP194" s="39"/>
      <c r="AQ194" s="39"/>
    </row>
    <row r="195" spans="1:43" s="6" customFormat="1" x14ac:dyDescent="0.2">
      <c r="A195" s="31" t="s">
        <v>97</v>
      </c>
      <c r="B195" s="32"/>
      <c r="C195" s="33">
        <f t="shared" ref="C195:AD195" si="81">SUM(C179:C194)</f>
        <v>15040473</v>
      </c>
      <c r="D195" s="34">
        <f t="shared" si="81"/>
        <v>0</v>
      </c>
      <c r="E195" s="34">
        <f t="shared" si="81"/>
        <v>1926779</v>
      </c>
      <c r="F195" s="34">
        <f t="shared" si="81"/>
        <v>0</v>
      </c>
      <c r="G195" s="34">
        <f t="shared" si="81"/>
        <v>6806910</v>
      </c>
      <c r="H195" s="34">
        <f t="shared" si="81"/>
        <v>0</v>
      </c>
      <c r="I195" s="34">
        <f t="shared" si="81"/>
        <v>0</v>
      </c>
      <c r="J195" s="34">
        <f t="shared" si="81"/>
        <v>0</v>
      </c>
      <c r="K195" s="34">
        <f t="shared" si="81"/>
        <v>686048</v>
      </c>
      <c r="L195" s="34">
        <f t="shared" si="81"/>
        <v>0</v>
      </c>
      <c r="M195" s="34">
        <f t="shared" si="81"/>
        <v>0</v>
      </c>
      <c r="N195" s="34">
        <f t="shared" si="81"/>
        <v>17269</v>
      </c>
      <c r="O195" s="34">
        <f t="shared" si="81"/>
        <v>18565522</v>
      </c>
      <c r="P195" s="34">
        <f t="shared" si="81"/>
        <v>0</v>
      </c>
      <c r="Q195" s="34">
        <f t="shared" si="81"/>
        <v>1900534</v>
      </c>
      <c r="R195" s="34">
        <f t="shared" si="81"/>
        <v>0</v>
      </c>
      <c r="S195" s="34">
        <f t="shared" si="81"/>
        <v>29541258</v>
      </c>
      <c r="T195" s="34">
        <f t="shared" si="81"/>
        <v>0</v>
      </c>
      <c r="U195" s="34">
        <f t="shared" si="81"/>
        <v>0</v>
      </c>
      <c r="V195" s="34">
        <f t="shared" si="81"/>
        <v>0</v>
      </c>
      <c r="W195" s="34">
        <f t="shared" si="81"/>
        <v>2155961</v>
      </c>
      <c r="X195" s="34">
        <f t="shared" si="81"/>
        <v>0</v>
      </c>
      <c r="Y195" s="34">
        <f t="shared" si="81"/>
        <v>0</v>
      </c>
      <c r="Z195" s="34">
        <f t="shared" si="81"/>
        <v>0</v>
      </c>
      <c r="AA195" s="34">
        <f t="shared" si="81"/>
        <v>0</v>
      </c>
      <c r="AB195" s="34">
        <f t="shared" si="81"/>
        <v>0</v>
      </c>
      <c r="AC195" s="34">
        <f t="shared" si="81"/>
        <v>0</v>
      </c>
      <c r="AD195" s="35">
        <f t="shared" si="81"/>
        <v>76640754</v>
      </c>
      <c r="AP195" s="33">
        <f>SUM(AP179:AP194)</f>
        <v>15035420</v>
      </c>
      <c r="AQ195" s="33">
        <f>SUM(AQ179:AQ194)</f>
        <v>5053</v>
      </c>
    </row>
    <row r="196" spans="1:43" s="6" customFormat="1" ht="1.9" customHeight="1" x14ac:dyDescent="0.2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  <c r="AP196" s="42"/>
      <c r="AQ196" s="42"/>
    </row>
    <row r="197" spans="1:43" s="6" customFormat="1" ht="51" x14ac:dyDescent="0.2">
      <c r="A197" s="31" t="s">
        <v>98</v>
      </c>
      <c r="B197" s="32"/>
      <c r="C197" s="33">
        <f t="shared" ref="C197:AD197" si="82">C18-C176-C195</f>
        <v>0</v>
      </c>
      <c r="D197" s="34">
        <f t="shared" si="82"/>
        <v>18924219</v>
      </c>
      <c r="E197" s="34">
        <f t="shared" si="82"/>
        <v>0</v>
      </c>
      <c r="F197" s="34">
        <f t="shared" si="82"/>
        <v>0</v>
      </c>
      <c r="G197" s="34">
        <f t="shared" si="82"/>
        <v>0</v>
      </c>
      <c r="H197" s="34">
        <f t="shared" si="82"/>
        <v>0</v>
      </c>
      <c r="I197" s="34">
        <f t="shared" si="82"/>
        <v>0</v>
      </c>
      <c r="J197" s="34">
        <f t="shared" si="82"/>
        <v>0</v>
      </c>
      <c r="K197" s="34">
        <f t="shared" si="82"/>
        <v>0</v>
      </c>
      <c r="L197" s="34">
        <f t="shared" si="82"/>
        <v>0</v>
      </c>
      <c r="M197" s="34">
        <f t="shared" si="82"/>
        <v>0</v>
      </c>
      <c r="N197" s="34">
        <f t="shared" si="82"/>
        <v>0</v>
      </c>
      <c r="O197" s="34">
        <f t="shared" si="82"/>
        <v>0</v>
      </c>
      <c r="P197" s="34">
        <f t="shared" si="82"/>
        <v>0</v>
      </c>
      <c r="Q197" s="34">
        <f t="shared" si="82"/>
        <v>0</v>
      </c>
      <c r="R197" s="34">
        <f t="shared" si="82"/>
        <v>0</v>
      </c>
      <c r="S197" s="34">
        <f t="shared" si="82"/>
        <v>0</v>
      </c>
      <c r="T197" s="34">
        <f t="shared" si="82"/>
        <v>0</v>
      </c>
      <c r="U197" s="34">
        <f t="shared" si="82"/>
        <v>0</v>
      </c>
      <c r="V197" s="34">
        <f t="shared" si="82"/>
        <v>0</v>
      </c>
      <c r="W197" s="34">
        <f t="shared" si="82"/>
        <v>0</v>
      </c>
      <c r="X197" s="34">
        <f t="shared" si="82"/>
        <v>0</v>
      </c>
      <c r="Y197" s="34">
        <f t="shared" si="82"/>
        <v>0</v>
      </c>
      <c r="Z197" s="34">
        <f t="shared" si="82"/>
        <v>0</v>
      </c>
      <c r="AA197" s="34">
        <f t="shared" si="82"/>
        <v>0</v>
      </c>
      <c r="AB197" s="34">
        <f t="shared" si="82"/>
        <v>0</v>
      </c>
      <c r="AC197" s="34">
        <f t="shared" si="82"/>
        <v>0</v>
      </c>
      <c r="AD197" s="35">
        <f t="shared" si="82"/>
        <v>18924219</v>
      </c>
      <c r="AP197" s="41"/>
      <c r="AQ197" s="41"/>
    </row>
    <row r="198" spans="1:43" ht="1.9" customHeight="1" x14ac:dyDescent="0.2"/>
    <row r="199" spans="1:43" ht="25.5" x14ac:dyDescent="0.2">
      <c r="A199" s="9" t="s">
        <v>56</v>
      </c>
      <c r="C199" s="7" t="str">
        <f t="shared" ref="C199:AD199" si="83">IF(C3&gt;C195,"Yes","No")</f>
        <v>Yes</v>
      </c>
      <c r="D199" s="7" t="str">
        <f t="shared" si="83"/>
        <v>No</v>
      </c>
      <c r="E199" s="7" t="str">
        <f t="shared" si="83"/>
        <v>Yes</v>
      </c>
      <c r="F199" s="7" t="str">
        <f t="shared" si="83"/>
        <v>Yes</v>
      </c>
      <c r="G199" s="7" t="str">
        <f t="shared" si="83"/>
        <v>Yes</v>
      </c>
      <c r="H199" s="7" t="str">
        <f t="shared" si="83"/>
        <v>No</v>
      </c>
      <c r="I199" s="7" t="str">
        <f t="shared" si="83"/>
        <v>No</v>
      </c>
      <c r="J199" s="7" t="str">
        <f t="shared" si="83"/>
        <v>No</v>
      </c>
      <c r="K199" s="7" t="str">
        <f t="shared" si="83"/>
        <v>Yes</v>
      </c>
      <c r="L199" s="7" t="str">
        <f t="shared" si="83"/>
        <v>No</v>
      </c>
      <c r="M199" s="7" t="str">
        <f t="shared" si="83"/>
        <v>No</v>
      </c>
      <c r="N199" s="7" t="str">
        <f t="shared" si="83"/>
        <v>Yes</v>
      </c>
      <c r="O199" s="7" t="str">
        <f t="shared" si="83"/>
        <v>No</v>
      </c>
      <c r="P199" s="7" t="str">
        <f t="shared" si="83"/>
        <v>No</v>
      </c>
      <c r="Q199" s="7" t="str">
        <f t="shared" si="83"/>
        <v>Yes</v>
      </c>
      <c r="R199" s="7" t="str">
        <f t="shared" si="83"/>
        <v>No</v>
      </c>
      <c r="S199" s="7" t="str">
        <f t="shared" si="83"/>
        <v>Yes</v>
      </c>
      <c r="T199" s="7" t="str">
        <f t="shared" si="83"/>
        <v>No</v>
      </c>
      <c r="U199" s="7" t="str">
        <f t="shared" si="83"/>
        <v>No</v>
      </c>
      <c r="V199" s="7" t="str">
        <f t="shared" si="83"/>
        <v>No</v>
      </c>
      <c r="W199" s="7" t="str">
        <f t="shared" si="83"/>
        <v>Yes</v>
      </c>
      <c r="X199" s="7" t="str">
        <f t="shared" si="83"/>
        <v>No</v>
      </c>
      <c r="Y199" s="7" t="str">
        <f t="shared" si="83"/>
        <v>No</v>
      </c>
      <c r="Z199" s="7" t="str">
        <f t="shared" si="83"/>
        <v>No</v>
      </c>
      <c r="AA199" s="7" t="str">
        <f t="shared" si="83"/>
        <v>No</v>
      </c>
      <c r="AB199" s="7" t="str">
        <f t="shared" si="83"/>
        <v>No</v>
      </c>
      <c r="AC199" s="7" t="str">
        <f t="shared" si="83"/>
        <v>No</v>
      </c>
      <c r="AD199" s="7" t="str">
        <f t="shared" si="83"/>
        <v>Yes</v>
      </c>
      <c r="AP199" s="7"/>
      <c r="AQ199" s="7"/>
    </row>
  </sheetData>
  <sheetProtection formatCells="0" formatColumns="0" formatRows="0"/>
  <conditionalFormatting sqref="C199:AD199 AP199:AQ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Kassandra Naylon</cp:lastModifiedBy>
  <cp:lastPrinted>2017-03-28T16:11:06Z</cp:lastPrinted>
  <dcterms:created xsi:type="dcterms:W3CDTF">2013-05-02T21:12:35Z</dcterms:created>
  <dcterms:modified xsi:type="dcterms:W3CDTF">2024-07-22T21:31:31Z</dcterms:modified>
</cp:coreProperties>
</file>