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b5b37de49f65ef7e/Desktop/"/>
    </mc:Choice>
  </mc:AlternateContent>
  <xr:revisionPtr revIDLastSave="0" documentId="8_{4275F535-97A4-464F-AD86-D6C7ABD7891C}" xr6:coauthVersionLast="46" xr6:coauthVersionMax="46" xr10:uidLastSave="{00000000-0000-0000-0000-000000000000}"/>
  <bookViews>
    <workbookView xWindow="-110" yWindow="490" windowWidth="19420" windowHeight="10420" xr2:uid="{00000000-000D-0000-FFFF-FFFF00000000}"/>
  </bookViews>
  <sheets>
    <sheet name=" 21-22 BUDGET with ED" sheetId="1" r:id="rId1"/>
    <sheet name="Graph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1" i="1" l="1"/>
  <c r="J201" i="1"/>
  <c r="I201" i="1"/>
  <c r="H201" i="1"/>
  <c r="G201" i="1"/>
  <c r="F201" i="1"/>
  <c r="E201" i="1"/>
  <c r="D201" i="1"/>
  <c r="F193" i="1"/>
  <c r="E193" i="1"/>
  <c r="E188" i="1"/>
  <c r="G186" i="1"/>
  <c r="F186" i="1"/>
  <c r="F187" i="1" s="1"/>
  <c r="F185" i="1"/>
  <c r="K184" i="1"/>
  <c r="J184" i="1"/>
  <c r="I184" i="1"/>
  <c r="H184" i="1"/>
  <c r="G184" i="1"/>
  <c r="F184" i="1"/>
  <c r="F172" i="1"/>
  <c r="F171" i="1"/>
  <c r="F170" i="1"/>
  <c r="F169" i="1"/>
  <c r="F150" i="1"/>
  <c r="E150" i="1"/>
  <c r="D150" i="1"/>
  <c r="G149" i="1"/>
  <c r="H149" i="1" s="1"/>
  <c r="I149" i="1" s="1"/>
  <c r="J149" i="1" s="1"/>
  <c r="K149" i="1" s="1"/>
  <c r="F148" i="1"/>
  <c r="H147" i="1"/>
  <c r="I147" i="1" s="1"/>
  <c r="J147" i="1" s="1"/>
  <c r="K147" i="1" s="1"/>
  <c r="G147" i="1"/>
  <c r="I146" i="1"/>
  <c r="J146" i="1" s="1"/>
  <c r="K146" i="1" s="1"/>
  <c r="H146" i="1"/>
  <c r="G146" i="1"/>
  <c r="G145" i="1"/>
  <c r="H145" i="1" s="1"/>
  <c r="I145" i="1" s="1"/>
  <c r="J145" i="1" s="1"/>
  <c r="K145" i="1" s="1"/>
  <c r="G144" i="1"/>
  <c r="H144" i="1" s="1"/>
  <c r="G142" i="1"/>
  <c r="F142" i="1"/>
  <c r="E142" i="1"/>
  <c r="D142" i="1"/>
  <c r="H141" i="1"/>
  <c r="I141" i="1" s="1"/>
  <c r="J141" i="1" s="1"/>
  <c r="K141" i="1" s="1"/>
  <c r="I140" i="1"/>
  <c r="J140" i="1" s="1"/>
  <c r="K140" i="1" s="1"/>
  <c r="H140" i="1"/>
  <c r="H139" i="1"/>
  <c r="I139" i="1" s="1"/>
  <c r="J139" i="1" s="1"/>
  <c r="K139" i="1" s="1"/>
  <c r="H138" i="1"/>
  <c r="I138" i="1" s="1"/>
  <c r="J138" i="1" s="1"/>
  <c r="K138" i="1" s="1"/>
  <c r="H137" i="1"/>
  <c r="I137" i="1" s="1"/>
  <c r="J137" i="1" s="1"/>
  <c r="K137" i="1" s="1"/>
  <c r="H136" i="1"/>
  <c r="I136" i="1" s="1"/>
  <c r="J136" i="1" s="1"/>
  <c r="K136" i="1" s="1"/>
  <c r="H135" i="1"/>
  <c r="I135" i="1" s="1"/>
  <c r="J135" i="1" s="1"/>
  <c r="K135" i="1" s="1"/>
  <c r="I134" i="1"/>
  <c r="J134" i="1" s="1"/>
  <c r="K134" i="1" s="1"/>
  <c r="K133" i="1"/>
  <c r="H133" i="1"/>
  <c r="I133" i="1" s="1"/>
  <c r="J133" i="1" s="1"/>
  <c r="H132" i="1"/>
  <c r="I132" i="1" s="1"/>
  <c r="J132" i="1" s="1"/>
  <c r="K132" i="1" s="1"/>
  <c r="K131" i="1"/>
  <c r="H131" i="1"/>
  <c r="I131" i="1" s="1"/>
  <c r="J131" i="1" s="1"/>
  <c r="H130" i="1"/>
  <c r="I130" i="1" s="1"/>
  <c r="J130" i="1" s="1"/>
  <c r="K130" i="1" s="1"/>
  <c r="K129" i="1"/>
  <c r="H129" i="1"/>
  <c r="I129" i="1" s="1"/>
  <c r="J129" i="1" s="1"/>
  <c r="H128" i="1"/>
  <c r="I128" i="1" s="1"/>
  <c r="J128" i="1" s="1"/>
  <c r="K128" i="1" s="1"/>
  <c r="K127" i="1"/>
  <c r="H127" i="1"/>
  <c r="I127" i="1" s="1"/>
  <c r="J127" i="1" s="1"/>
  <c r="H126" i="1"/>
  <c r="I126" i="1" s="1"/>
  <c r="J126" i="1" s="1"/>
  <c r="K126" i="1" s="1"/>
  <c r="K125" i="1"/>
  <c r="H125" i="1"/>
  <c r="I125" i="1" s="1"/>
  <c r="J125" i="1" s="1"/>
  <c r="G123" i="1"/>
  <c r="F123" i="1"/>
  <c r="E123" i="1"/>
  <c r="E186" i="1" s="1"/>
  <c r="D123" i="1"/>
  <c r="K122" i="1"/>
  <c r="H122" i="1"/>
  <c r="I122" i="1" s="1"/>
  <c r="J122" i="1" s="1"/>
  <c r="H119" i="1"/>
  <c r="I119" i="1" s="1"/>
  <c r="J119" i="1" s="1"/>
  <c r="K119" i="1" s="1"/>
  <c r="K118" i="1"/>
  <c r="H118" i="1"/>
  <c r="I118" i="1" s="1"/>
  <c r="J118" i="1" s="1"/>
  <c r="H117" i="1"/>
  <c r="I117" i="1" s="1"/>
  <c r="J117" i="1" s="1"/>
  <c r="K117" i="1" s="1"/>
  <c r="K116" i="1"/>
  <c r="H116" i="1"/>
  <c r="I116" i="1" s="1"/>
  <c r="J116" i="1" s="1"/>
  <c r="H115" i="1"/>
  <c r="I115" i="1" s="1"/>
  <c r="J115" i="1" s="1"/>
  <c r="K115" i="1" s="1"/>
  <c r="K114" i="1"/>
  <c r="H114" i="1"/>
  <c r="I114" i="1" s="1"/>
  <c r="J114" i="1" s="1"/>
  <c r="H113" i="1"/>
  <c r="I113" i="1" s="1"/>
  <c r="J113" i="1" s="1"/>
  <c r="K113" i="1" s="1"/>
  <c r="K112" i="1"/>
  <c r="H112" i="1"/>
  <c r="I112" i="1" s="1"/>
  <c r="J112" i="1" s="1"/>
  <c r="H111" i="1"/>
  <c r="I111" i="1" s="1"/>
  <c r="J111" i="1" s="1"/>
  <c r="K111" i="1" s="1"/>
  <c r="K110" i="1"/>
  <c r="H110" i="1"/>
  <c r="I110" i="1" s="1"/>
  <c r="J110" i="1" s="1"/>
  <c r="I109" i="1"/>
  <c r="J109" i="1" s="1"/>
  <c r="K109" i="1" s="1"/>
  <c r="H109" i="1"/>
  <c r="I108" i="1"/>
  <c r="H108" i="1"/>
  <c r="J107" i="1"/>
  <c r="K107" i="1" s="1"/>
  <c r="I107" i="1"/>
  <c r="H107" i="1"/>
  <c r="I106" i="1"/>
  <c r="J106" i="1" s="1"/>
  <c r="K106" i="1" s="1"/>
  <c r="H106" i="1"/>
  <c r="I105" i="1"/>
  <c r="J105" i="1" s="1"/>
  <c r="K105" i="1" s="1"/>
  <c r="H105" i="1"/>
  <c r="I104" i="1"/>
  <c r="J104" i="1" s="1"/>
  <c r="K104" i="1" s="1"/>
  <c r="H104" i="1"/>
  <c r="J103" i="1"/>
  <c r="K103" i="1" s="1"/>
  <c r="I103" i="1"/>
  <c r="H103" i="1"/>
  <c r="I102" i="1"/>
  <c r="J102" i="1" s="1"/>
  <c r="K102" i="1" s="1"/>
  <c r="H102" i="1"/>
  <c r="I101" i="1"/>
  <c r="J101" i="1" s="1"/>
  <c r="K101" i="1" s="1"/>
  <c r="H101" i="1"/>
  <c r="I100" i="1"/>
  <c r="J100" i="1" s="1"/>
  <c r="K100" i="1" s="1"/>
  <c r="H100" i="1"/>
  <c r="J99" i="1"/>
  <c r="K99" i="1" s="1"/>
  <c r="I99" i="1"/>
  <c r="H99" i="1"/>
  <c r="I98" i="1"/>
  <c r="H98" i="1"/>
  <c r="F94" i="1"/>
  <c r="F96" i="1" s="1"/>
  <c r="F152" i="1" s="1"/>
  <c r="E94" i="1"/>
  <c r="E96" i="1" s="1"/>
  <c r="E152" i="1" s="1"/>
  <c r="D94" i="1"/>
  <c r="F93" i="1"/>
  <c r="G90" i="1"/>
  <c r="F90" i="1"/>
  <c r="E90" i="1"/>
  <c r="D90" i="1"/>
  <c r="D96" i="1" s="1"/>
  <c r="D152" i="1" s="1"/>
  <c r="H88" i="1"/>
  <c r="I88" i="1" s="1"/>
  <c r="J88" i="1" s="1"/>
  <c r="K88" i="1" s="1"/>
  <c r="K87" i="1"/>
  <c r="H87" i="1"/>
  <c r="I87" i="1" s="1"/>
  <c r="J87" i="1" s="1"/>
  <c r="H86" i="1"/>
  <c r="I86" i="1" s="1"/>
  <c r="J86" i="1" s="1"/>
  <c r="K86" i="1" s="1"/>
  <c r="K85" i="1"/>
  <c r="H85" i="1"/>
  <c r="I85" i="1" s="1"/>
  <c r="J85" i="1" s="1"/>
  <c r="H84" i="1"/>
  <c r="I84" i="1" s="1"/>
  <c r="J84" i="1" s="1"/>
  <c r="K84" i="1" s="1"/>
  <c r="K83" i="1"/>
  <c r="H83" i="1"/>
  <c r="I83" i="1" s="1"/>
  <c r="J83" i="1" s="1"/>
  <c r="H82" i="1"/>
  <c r="I82" i="1" s="1"/>
  <c r="J82" i="1" s="1"/>
  <c r="K82" i="1" s="1"/>
  <c r="K81" i="1"/>
  <c r="H81" i="1"/>
  <c r="I81" i="1" s="1"/>
  <c r="J81" i="1" s="1"/>
  <c r="H80" i="1"/>
  <c r="I80" i="1" s="1"/>
  <c r="J80" i="1" s="1"/>
  <c r="K80" i="1" s="1"/>
  <c r="K79" i="1"/>
  <c r="H79" i="1"/>
  <c r="I79" i="1" s="1"/>
  <c r="J79" i="1" s="1"/>
  <c r="H78" i="1"/>
  <c r="I78" i="1" s="1"/>
  <c r="J78" i="1" s="1"/>
  <c r="K78" i="1" s="1"/>
  <c r="K77" i="1"/>
  <c r="H77" i="1"/>
  <c r="I77" i="1" s="1"/>
  <c r="J77" i="1" s="1"/>
  <c r="H76" i="1"/>
  <c r="I76" i="1" s="1"/>
  <c r="J76" i="1" s="1"/>
  <c r="K76" i="1" s="1"/>
  <c r="K75" i="1"/>
  <c r="H75" i="1"/>
  <c r="I75" i="1" s="1"/>
  <c r="J75" i="1" s="1"/>
  <c r="H74" i="1"/>
  <c r="I74" i="1" s="1"/>
  <c r="J74" i="1" s="1"/>
  <c r="K74" i="1" s="1"/>
  <c r="K73" i="1"/>
  <c r="H73" i="1"/>
  <c r="I73" i="1" s="1"/>
  <c r="J73" i="1" s="1"/>
  <c r="H72" i="1"/>
  <c r="I72" i="1" s="1"/>
  <c r="J72" i="1" s="1"/>
  <c r="K72" i="1" s="1"/>
  <c r="K71" i="1"/>
  <c r="H71" i="1"/>
  <c r="I71" i="1" s="1"/>
  <c r="J71" i="1" s="1"/>
  <c r="H70" i="1"/>
  <c r="I70" i="1" s="1"/>
  <c r="J70" i="1" s="1"/>
  <c r="K70" i="1" s="1"/>
  <c r="K69" i="1"/>
  <c r="H69" i="1"/>
  <c r="I69" i="1" s="1"/>
  <c r="J69" i="1" s="1"/>
  <c r="H68" i="1"/>
  <c r="I68" i="1" s="1"/>
  <c r="D65" i="1"/>
  <c r="F63" i="1"/>
  <c r="E63" i="1"/>
  <c r="D63" i="1"/>
  <c r="H61" i="1"/>
  <c r="I61" i="1" s="1"/>
  <c r="J61" i="1" s="1"/>
  <c r="K61" i="1" s="1"/>
  <c r="K60" i="1"/>
  <c r="H60" i="1"/>
  <c r="I60" i="1" s="1"/>
  <c r="J60" i="1" s="1"/>
  <c r="H59" i="1"/>
  <c r="I59" i="1" s="1"/>
  <c r="J59" i="1" s="1"/>
  <c r="K59" i="1" s="1"/>
  <c r="K58" i="1"/>
  <c r="H58" i="1"/>
  <c r="I58" i="1" s="1"/>
  <c r="J58" i="1" s="1"/>
  <c r="H57" i="1"/>
  <c r="I57" i="1" s="1"/>
  <c r="J57" i="1" s="1"/>
  <c r="K57" i="1" s="1"/>
  <c r="K56" i="1"/>
  <c r="H56" i="1"/>
  <c r="I56" i="1" s="1"/>
  <c r="J56" i="1" s="1"/>
  <c r="H55" i="1"/>
  <c r="I55" i="1" s="1"/>
  <c r="J55" i="1" s="1"/>
  <c r="K55" i="1" s="1"/>
  <c r="K54" i="1"/>
  <c r="H54" i="1"/>
  <c r="I54" i="1" s="1"/>
  <c r="J54" i="1" s="1"/>
  <c r="H53" i="1"/>
  <c r="I53" i="1" s="1"/>
  <c r="J53" i="1" s="1"/>
  <c r="K53" i="1" s="1"/>
  <c r="H51" i="1"/>
  <c r="I51" i="1" s="1"/>
  <c r="J51" i="1" s="1"/>
  <c r="K51" i="1" s="1"/>
  <c r="I50" i="1"/>
  <c r="J50" i="1" s="1"/>
  <c r="K50" i="1" s="1"/>
  <c r="H50" i="1"/>
  <c r="I49" i="1"/>
  <c r="J49" i="1" s="1"/>
  <c r="K49" i="1" s="1"/>
  <c r="H48" i="1"/>
  <c r="I48" i="1" s="1"/>
  <c r="J48" i="1" s="1"/>
  <c r="K48" i="1" s="1"/>
  <c r="H47" i="1"/>
  <c r="I47" i="1" s="1"/>
  <c r="J47" i="1" s="1"/>
  <c r="K47" i="1" s="1"/>
  <c r="H46" i="1"/>
  <c r="I46" i="1" s="1"/>
  <c r="J46" i="1" s="1"/>
  <c r="K46" i="1" s="1"/>
  <c r="I45" i="1"/>
  <c r="J45" i="1" s="1"/>
  <c r="K45" i="1" s="1"/>
  <c r="H44" i="1"/>
  <c r="I44" i="1" s="1"/>
  <c r="J44" i="1" s="1"/>
  <c r="K44" i="1" s="1"/>
  <c r="H43" i="1"/>
  <c r="I43" i="1" s="1"/>
  <c r="J43" i="1" s="1"/>
  <c r="K43" i="1" s="1"/>
  <c r="H42" i="1"/>
  <c r="I42" i="1" s="1"/>
  <c r="J42" i="1" s="1"/>
  <c r="K42" i="1" s="1"/>
  <c r="H41" i="1"/>
  <c r="C33" i="1"/>
  <c r="K32" i="1"/>
  <c r="J32" i="1"/>
  <c r="I32" i="1"/>
  <c r="H32" i="1"/>
  <c r="G32" i="1"/>
  <c r="F32" i="1"/>
  <c r="F173" i="1" s="1"/>
  <c r="C32" i="1"/>
  <c r="E31" i="1"/>
  <c r="C31" i="1"/>
  <c r="N30" i="1"/>
  <c r="E30" i="1"/>
  <c r="E172" i="1" s="1"/>
  <c r="D30" i="1"/>
  <c r="C30" i="1"/>
  <c r="N29" i="1"/>
  <c r="G29" i="1"/>
  <c r="E29" i="1"/>
  <c r="D29" i="1"/>
  <c r="C29" i="1"/>
  <c r="N28" i="1"/>
  <c r="G28" i="1"/>
  <c r="E28" i="1"/>
  <c r="D28" i="1"/>
  <c r="C28" i="1"/>
  <c r="E27" i="1"/>
  <c r="E169" i="1" s="1"/>
  <c r="D27" i="1"/>
  <c r="C27" i="1"/>
  <c r="G26" i="1"/>
  <c r="F26" i="1"/>
  <c r="F31" i="1" s="1"/>
  <c r="E26" i="1"/>
  <c r="E168" i="1" s="1"/>
  <c r="D26" i="1"/>
  <c r="C26" i="1"/>
  <c r="E25" i="1"/>
  <c r="D25" i="1"/>
  <c r="C25" i="1"/>
  <c r="W22" i="1"/>
  <c r="X22" i="1" s="1"/>
  <c r="Y22" i="1" s="1"/>
  <c r="Z22" i="1" s="1"/>
  <c r="V22" i="1"/>
  <c r="U22" i="1"/>
  <c r="F15" i="1"/>
  <c r="E15" i="1"/>
  <c r="I13" i="1"/>
  <c r="J13" i="1" s="1"/>
  <c r="K13" i="1" s="1"/>
  <c r="H13" i="1"/>
  <c r="G13" i="1"/>
  <c r="J12" i="1"/>
  <c r="K12" i="1" s="1"/>
  <c r="G12" i="1"/>
  <c r="H12" i="1" s="1"/>
  <c r="I12" i="1" s="1"/>
  <c r="G10" i="1"/>
  <c r="F167" i="1" l="1"/>
  <c r="F33" i="1"/>
  <c r="F17" i="1"/>
  <c r="F21" i="1"/>
  <c r="F162" i="1"/>
  <c r="F189" i="1" s="1"/>
  <c r="F22" i="1" s="1"/>
  <c r="F178" i="1"/>
  <c r="F179" i="1" s="1"/>
  <c r="G193" i="1"/>
  <c r="G52" i="1"/>
  <c r="G63" i="1" s="1"/>
  <c r="E21" i="1"/>
  <c r="E17" i="1"/>
  <c r="N26" i="1"/>
  <c r="H123" i="1"/>
  <c r="H28" i="1" s="1"/>
  <c r="I41" i="1"/>
  <c r="H10" i="1"/>
  <c r="F168" i="1"/>
  <c r="F174" i="1" s="1"/>
  <c r="F183" i="1"/>
  <c r="D15" i="1"/>
  <c r="D18" i="1"/>
  <c r="D162" i="1"/>
  <c r="D31" i="1"/>
  <c r="E178" i="1"/>
  <c r="E162" i="1"/>
  <c r="I123" i="1"/>
  <c r="I28" i="1" s="1"/>
  <c r="J98" i="1"/>
  <c r="E167" i="1"/>
  <c r="E173" i="1"/>
  <c r="E170" i="1"/>
  <c r="G96" i="1"/>
  <c r="G152" i="1" s="1"/>
  <c r="G93" i="1"/>
  <c r="G94" i="1" s="1"/>
  <c r="G27" i="1" s="1"/>
  <c r="I186" i="1"/>
  <c r="K142" i="1"/>
  <c r="K29" i="1" s="1"/>
  <c r="H142" i="1"/>
  <c r="H29" i="1" s="1"/>
  <c r="D154" i="1"/>
  <c r="E171" i="1"/>
  <c r="E174" i="1" s="1"/>
  <c r="D161" i="1"/>
  <c r="D160" i="1"/>
  <c r="H90" i="1"/>
  <c r="J108" i="1"/>
  <c r="I142" i="1"/>
  <c r="I29" i="1" s="1"/>
  <c r="I144" i="1"/>
  <c r="H150" i="1"/>
  <c r="H30" i="1" s="1"/>
  <c r="J68" i="1"/>
  <c r="I90" i="1"/>
  <c r="E161" i="1"/>
  <c r="E160" i="1"/>
  <c r="E65" i="1"/>
  <c r="E154" i="1" s="1"/>
  <c r="E187" i="1"/>
  <c r="F176" i="1"/>
  <c r="F161" i="1"/>
  <c r="F191" i="1" s="1"/>
  <c r="F160" i="1"/>
  <c r="F65" i="1"/>
  <c r="F154" i="1" s="1"/>
  <c r="F164" i="1" s="1"/>
  <c r="F19" i="1" s="1"/>
  <c r="H186" i="1"/>
  <c r="J142" i="1"/>
  <c r="J29" i="1" s="1"/>
  <c r="E189" i="1"/>
  <c r="E22" i="1" s="1"/>
  <c r="H26" i="1" l="1"/>
  <c r="H92" i="1"/>
  <c r="O29" i="1"/>
  <c r="P28" i="1"/>
  <c r="F34" i="1"/>
  <c r="F20" i="1"/>
  <c r="I150" i="1"/>
  <c r="I30" i="1" s="1"/>
  <c r="J144" i="1"/>
  <c r="R29" i="1"/>
  <c r="Q29" i="1"/>
  <c r="E180" i="1"/>
  <c r="E181" i="1" s="1"/>
  <c r="E164" i="1"/>
  <c r="E33" i="1"/>
  <c r="P29" i="1"/>
  <c r="D164" i="1"/>
  <c r="D19" i="1" s="1"/>
  <c r="D33" i="1"/>
  <c r="E182" i="1"/>
  <c r="E183" i="1" s="1"/>
  <c r="E179" i="1"/>
  <c r="G176" i="1"/>
  <c r="G160" i="1"/>
  <c r="G25" i="1"/>
  <c r="G161" i="1"/>
  <c r="G65" i="1"/>
  <c r="G154" i="1" s="1"/>
  <c r="G164" i="1" s="1"/>
  <c r="G19" i="1" s="1"/>
  <c r="O30" i="1"/>
  <c r="G178" i="1"/>
  <c r="G179" i="1" s="1"/>
  <c r="G162" i="1"/>
  <c r="G31" i="1"/>
  <c r="J41" i="1"/>
  <c r="I92" i="1"/>
  <c r="I26" i="1"/>
  <c r="D23" i="1"/>
  <c r="J90" i="1"/>
  <c r="K68" i="1"/>
  <c r="K90" i="1" s="1"/>
  <c r="F177" i="1"/>
  <c r="F180" i="1"/>
  <c r="F181" i="1" s="1"/>
  <c r="J186" i="1"/>
  <c r="K108" i="1"/>
  <c r="K186" i="1" s="1"/>
  <c r="N27" i="1"/>
  <c r="J123" i="1"/>
  <c r="J28" i="1" s="1"/>
  <c r="K98" i="1"/>
  <c r="K123" i="1" s="1"/>
  <c r="K28" i="1" s="1"/>
  <c r="D22" i="1"/>
  <c r="D17" i="1"/>
  <c r="D21" i="1"/>
  <c r="H193" i="1"/>
  <c r="H52" i="1"/>
  <c r="H63" i="1" s="1"/>
  <c r="I10" i="1"/>
  <c r="O28" i="1"/>
  <c r="D20" i="1" l="1"/>
  <c r="D34" i="1"/>
  <c r="P30" i="1"/>
  <c r="O26" i="1"/>
  <c r="G185" i="1"/>
  <c r="G167" i="1"/>
  <c r="G172" i="1"/>
  <c r="G33" i="1"/>
  <c r="G15" i="1"/>
  <c r="G170" i="1"/>
  <c r="N25" i="1"/>
  <c r="G21" i="1"/>
  <c r="G168" i="1"/>
  <c r="G187" i="1"/>
  <c r="G173" i="1"/>
  <c r="G171" i="1"/>
  <c r="I193" i="1"/>
  <c r="I52" i="1"/>
  <c r="I63" i="1" s="1"/>
  <c r="J10" i="1"/>
  <c r="K26" i="1"/>
  <c r="P26" i="1"/>
  <c r="N31" i="1"/>
  <c r="G17" i="1"/>
  <c r="G183" i="1"/>
  <c r="R28" i="1"/>
  <c r="K41" i="1"/>
  <c r="E20" i="1"/>
  <c r="E36" i="1"/>
  <c r="E34" i="1"/>
  <c r="E185" i="1"/>
  <c r="Q28" i="1"/>
  <c r="E19" i="1"/>
  <c r="E191" i="1"/>
  <c r="H161" i="1"/>
  <c r="H160" i="1"/>
  <c r="H176" i="1"/>
  <c r="H65" i="1"/>
  <c r="H25" i="1"/>
  <c r="G169" i="1"/>
  <c r="J92" i="1"/>
  <c r="K92" i="1" s="1"/>
  <c r="J26" i="1"/>
  <c r="I93" i="1"/>
  <c r="I94" i="1" s="1"/>
  <c r="G180" i="1"/>
  <c r="G181" i="1" s="1"/>
  <c r="G177" i="1"/>
  <c r="J150" i="1"/>
  <c r="J30" i="1" s="1"/>
  <c r="K144" i="1"/>
  <c r="K150" i="1" s="1"/>
  <c r="K30" i="1" s="1"/>
  <c r="H94" i="1"/>
  <c r="H93" i="1"/>
  <c r="K94" i="1" l="1"/>
  <c r="K93" i="1"/>
  <c r="I27" i="1"/>
  <c r="I96" i="1"/>
  <c r="I152" i="1" s="1"/>
  <c r="R30" i="1"/>
  <c r="H177" i="1"/>
  <c r="F36" i="1"/>
  <c r="E18" i="1"/>
  <c r="E16" i="1"/>
  <c r="E23" i="1"/>
  <c r="I161" i="1"/>
  <c r="I160" i="1"/>
  <c r="I176" i="1"/>
  <c r="I65" i="1"/>
  <c r="I154" i="1" s="1"/>
  <c r="I25" i="1"/>
  <c r="Q26" i="1"/>
  <c r="H15" i="1"/>
  <c r="O25" i="1"/>
  <c r="H173" i="1"/>
  <c r="H185" i="1"/>
  <c r="H187" i="1"/>
  <c r="H171" i="1"/>
  <c r="H172" i="1"/>
  <c r="H170" i="1"/>
  <c r="G174" i="1"/>
  <c r="H168" i="1"/>
  <c r="J93" i="1"/>
  <c r="J94" i="1" s="1"/>
  <c r="J52" i="1"/>
  <c r="J63" i="1" s="1"/>
  <c r="J193" i="1"/>
  <c r="K10" i="1"/>
  <c r="Q30" i="1"/>
  <c r="R26" i="1"/>
  <c r="H27" i="1"/>
  <c r="H96" i="1"/>
  <c r="H152" i="1" s="1"/>
  <c r="H154" i="1"/>
  <c r="G34" i="1"/>
  <c r="N34" i="1" s="1"/>
  <c r="N33" i="1"/>
  <c r="G20" i="1"/>
  <c r="J27" i="1" l="1"/>
  <c r="J96" i="1"/>
  <c r="J152" i="1" s="1"/>
  <c r="P25" i="1"/>
  <c r="I15" i="1"/>
  <c r="I173" i="1"/>
  <c r="I185" i="1"/>
  <c r="I171" i="1"/>
  <c r="I187" i="1"/>
  <c r="I170" i="1"/>
  <c r="I168" i="1"/>
  <c r="I172" i="1"/>
  <c r="G156" i="1"/>
  <c r="F23" i="1"/>
  <c r="G36" i="1"/>
  <c r="F18" i="1"/>
  <c r="F16" i="1"/>
  <c r="H162" i="1"/>
  <c r="H178" i="1"/>
  <c r="H31" i="1"/>
  <c r="I164" i="1"/>
  <c r="I19" i="1" s="1"/>
  <c r="I33" i="1"/>
  <c r="H169" i="1"/>
  <c r="H174" i="1" s="1"/>
  <c r="O27" i="1"/>
  <c r="J176" i="1"/>
  <c r="J161" i="1"/>
  <c r="J160" i="1"/>
  <c r="J65" i="1"/>
  <c r="J154" i="1" s="1"/>
  <c r="J25" i="1"/>
  <c r="I180" i="1"/>
  <c r="I181" i="1" s="1"/>
  <c r="I177" i="1"/>
  <c r="I169" i="1"/>
  <c r="P27" i="1"/>
  <c r="H164" i="1"/>
  <c r="H19" i="1" s="1"/>
  <c r="H33" i="1"/>
  <c r="K193" i="1"/>
  <c r="K52" i="1"/>
  <c r="K63" i="1" s="1"/>
  <c r="K27" i="1"/>
  <c r="K96" i="1"/>
  <c r="K152" i="1" s="1"/>
  <c r="I178" i="1"/>
  <c r="I162" i="1"/>
  <c r="I31" i="1"/>
  <c r="P31" i="1" l="1"/>
  <c r="I17" i="1"/>
  <c r="I183" i="1"/>
  <c r="K169" i="1"/>
  <c r="R27" i="1"/>
  <c r="H179" i="1"/>
  <c r="H180" i="1"/>
  <c r="H181" i="1" s="1"/>
  <c r="H156" i="1"/>
  <c r="G23" i="1"/>
  <c r="G18" i="1"/>
  <c r="G16" i="1"/>
  <c r="H36" i="1"/>
  <c r="I174" i="1"/>
  <c r="I21" i="1"/>
  <c r="K176" i="1"/>
  <c r="K160" i="1"/>
  <c r="K161" i="1"/>
  <c r="K25" i="1"/>
  <c r="K65" i="1"/>
  <c r="K154" i="1" s="1"/>
  <c r="J167" i="1"/>
  <c r="J185" i="1"/>
  <c r="Q25" i="1"/>
  <c r="J15" i="1"/>
  <c r="J21" i="1"/>
  <c r="J173" i="1"/>
  <c r="J171" i="1"/>
  <c r="J187" i="1"/>
  <c r="J170" i="1"/>
  <c r="J168" i="1"/>
  <c r="J172" i="1"/>
  <c r="J177" i="1"/>
  <c r="J180" i="1"/>
  <c r="J181" i="1" s="1"/>
  <c r="I167" i="1"/>
  <c r="K178" i="1"/>
  <c r="K162" i="1"/>
  <c r="K31" i="1"/>
  <c r="I20" i="1"/>
  <c r="I34" i="1"/>
  <c r="P33" i="1"/>
  <c r="I179" i="1"/>
  <c r="J164" i="1"/>
  <c r="J19" i="1" s="1"/>
  <c r="J33" i="1"/>
  <c r="G189" i="1"/>
  <c r="G22" i="1" s="1"/>
  <c r="G191" i="1"/>
  <c r="J162" i="1"/>
  <c r="J178" i="1"/>
  <c r="J179" i="1" s="1"/>
  <c r="J31" i="1"/>
  <c r="H20" i="1"/>
  <c r="O33" i="1"/>
  <c r="H34" i="1"/>
  <c r="O34" i="1" s="1"/>
  <c r="O31" i="1"/>
  <c r="H17" i="1"/>
  <c r="H183" i="1"/>
  <c r="H167" i="1"/>
  <c r="H21" i="1"/>
  <c r="J169" i="1"/>
  <c r="Q27" i="1"/>
  <c r="I156" i="1" l="1"/>
  <c r="I36" i="1"/>
  <c r="H18" i="1"/>
  <c r="H16" i="1"/>
  <c r="H23" i="1"/>
  <c r="Q31" i="1"/>
  <c r="J17" i="1"/>
  <c r="J183" i="1"/>
  <c r="K33" i="1"/>
  <c r="K164" i="1"/>
  <c r="K19" i="1" s="1"/>
  <c r="K180" i="1"/>
  <c r="K181" i="1" s="1"/>
  <c r="K177" i="1"/>
  <c r="R31" i="1"/>
  <c r="K17" i="1"/>
  <c r="K183" i="1"/>
  <c r="H191" i="1"/>
  <c r="H189" i="1"/>
  <c r="H22" i="1" s="1"/>
  <c r="J34" i="1"/>
  <c r="Q34" i="1" s="1"/>
  <c r="Q33" i="1"/>
  <c r="J20" i="1"/>
  <c r="P34" i="1"/>
  <c r="K179" i="1"/>
  <c r="K185" i="1"/>
  <c r="K167" i="1"/>
  <c r="K15" i="1"/>
  <c r="K21" i="1"/>
  <c r="R25" i="1"/>
  <c r="K173" i="1"/>
  <c r="K171" i="1"/>
  <c r="K170" i="1"/>
  <c r="K187" i="1"/>
  <c r="K168" i="1"/>
  <c r="K172" i="1"/>
  <c r="J174" i="1"/>
  <c r="K174" i="1" l="1"/>
  <c r="J156" i="1"/>
  <c r="J36" i="1"/>
  <c r="I18" i="1"/>
  <c r="I16" i="1"/>
  <c r="I23" i="1"/>
  <c r="K34" i="1"/>
  <c r="R34" i="1" s="1"/>
  <c r="R33" i="1"/>
  <c r="K20" i="1"/>
  <c r="I189" i="1"/>
  <c r="I22" i="1" s="1"/>
  <c r="I191" i="1"/>
  <c r="K156" i="1" l="1"/>
  <c r="J23" i="1"/>
  <c r="K36" i="1"/>
  <c r="J18" i="1"/>
  <c r="J16" i="1"/>
  <c r="J191" i="1"/>
  <c r="J189" i="1"/>
  <c r="J22" i="1" s="1"/>
  <c r="K189" i="1" l="1"/>
  <c r="K22" i="1" s="1"/>
  <c r="K191" i="1"/>
  <c r="K23" i="1"/>
  <c r="K18" i="1"/>
  <c r="K16" i="1"/>
</calcChain>
</file>

<file path=xl/sharedStrings.xml><?xml version="1.0" encoding="utf-8"?>
<sst xmlns="http://schemas.openxmlformats.org/spreadsheetml/2006/main" count="283" uniqueCount="270">
  <si>
    <t>LINCOLN ACADEMY CHARTER SCHOOL</t>
  </si>
  <si>
    <t>5 Year Plan</t>
  </si>
  <si>
    <t>School Year</t>
  </si>
  <si>
    <t>%,ATF,FPROGRAM_CODE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</si>
  <si>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</si>
  <si>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</si>
  <si>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</si>
  <si>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</si>
  <si>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</si>
  <si>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</si>
  <si>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</si>
  <si>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</si>
  <si>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%,ATF,FDESCR</t>
  </si>
  <si>
    <t>ACTUALS</t>
  </si>
  <si>
    <t>Projected         04/05/2021</t>
  </si>
  <si>
    <t>NOTES</t>
  </si>
  <si>
    <t>Growth Factor</t>
  </si>
  <si>
    <t>Goals</t>
  </si>
  <si>
    <t>STUDENT ONE DAY COUNT</t>
  </si>
  <si>
    <t>702.46 PPR NUMBER</t>
  </si>
  <si>
    <t xml:space="preserve">PPR </t>
  </si>
  <si>
    <t>7934.82</t>
  </si>
  <si>
    <t>1% increase to PPR year 1 and then 3.5% the following years</t>
  </si>
  <si>
    <t>Capital Reserves</t>
  </si>
  <si>
    <t>School Obligation</t>
  </si>
  <si>
    <t>Operating Debt Ratio (&lt;18% of Rev)</t>
  </si>
  <si>
    <t>Working Cap Balance (&gt;8% of PY Exp)</t>
  </si>
  <si>
    <t>Occupancy as % of Expense (&lt;15%)</t>
  </si>
  <si>
    <t>TABOR RESERVE (&gt;3% of Rev)</t>
  </si>
  <si>
    <t>Lease Adj MADS (&gt;1.5)</t>
  </si>
  <si>
    <t>Margin to Debt Expenses (&gt;10%)</t>
  </si>
  <si>
    <t>Debt Service Coverage (&gt;1.0; 1.1 better)</t>
  </si>
  <si>
    <t>Unrestricted Cash as % of Exp (8%&lt;&gt;17%)</t>
  </si>
  <si>
    <t>Days Unrestricted Cash on Hand (&gt;40)</t>
  </si>
  <si>
    <t>**Land Sale and Refinance Proceeds Not Included</t>
  </si>
  <si>
    <t>Operating Margin</t>
  </si>
  <si>
    <t xml:space="preserve"> CARRYFORWARD</t>
  </si>
  <si>
    <t>401000</t>
  </si>
  <si>
    <t xml:space="preserve"> Commissisons/Profits</t>
  </si>
  <si>
    <t>401400</t>
  </si>
  <si>
    <t>Ticket Sales</t>
  </si>
  <si>
    <t>408000</t>
  </si>
  <si>
    <t>Resale</t>
  </si>
  <si>
    <t>409000</t>
  </si>
  <si>
    <t xml:space="preserve"> Sales/Fund Raising</t>
  </si>
  <si>
    <t>411000</t>
  </si>
  <si>
    <t>Prop Tax-Mill Levy Override</t>
  </si>
  <si>
    <t>415000</t>
  </si>
  <si>
    <t>Earnings On Investments</t>
  </si>
  <si>
    <t>416000</t>
  </si>
  <si>
    <t>Capital Lease Proceeds</t>
  </si>
  <si>
    <t>%,V419000</t>
  </si>
  <si>
    <t>419000</t>
  </si>
  <si>
    <t>Other Revenue</t>
  </si>
  <si>
    <t>%,V482000</t>
  </si>
  <si>
    <t>433000</t>
  </si>
  <si>
    <t>State Revenue-Other</t>
  </si>
  <si>
    <t>434000</t>
  </si>
  <si>
    <t>Exceptional Children Revenue</t>
  </si>
  <si>
    <t>438000</t>
  </si>
  <si>
    <t>State ELPA Revenue</t>
  </si>
  <si>
    <t>%,V492000</t>
  </si>
  <si>
    <t>450000</t>
  </si>
  <si>
    <t>Transfers PPR</t>
  </si>
  <si>
    <t>451000</t>
  </si>
  <si>
    <t>Fees and dues</t>
  </si>
  <si>
    <t>455000</t>
  </si>
  <si>
    <t>Tuition from Individuals (pre-k and leopard care)</t>
  </si>
  <si>
    <t>456000</t>
  </si>
  <si>
    <t>Tuition-Extended Day Kdgn</t>
  </si>
  <si>
    <t>461000</t>
  </si>
  <si>
    <t>Building Rental</t>
  </si>
  <si>
    <t>474000</t>
  </si>
  <si>
    <t>Trans - Field Trips</t>
  </si>
  <si>
    <t>482000</t>
  </si>
  <si>
    <t>Resale/Activity Revenue</t>
  </si>
  <si>
    <t>498000</t>
  </si>
  <si>
    <t>Donations</t>
  </si>
  <si>
    <t>499000</t>
  </si>
  <si>
    <t>Miscellaneous Revenue</t>
  </si>
  <si>
    <t>Bond R&amp;R payment</t>
  </si>
  <si>
    <t>Mandatory Bond Intercept ADJUSTMENT</t>
  </si>
  <si>
    <t>%,R,FACCOUNT,TACCOUNT_ROLLUP,X,NREVENUE</t>
  </si>
  <si>
    <t>REVENUE</t>
  </si>
  <si>
    <t>%,C</t>
  </si>
  <si>
    <t>AVAILABLE</t>
  </si>
  <si>
    <t>512100-513100</t>
  </si>
  <si>
    <t>Administration</t>
  </si>
  <si>
    <t>Adjusted all salaries to go up by 5% to account for COLA and Steps</t>
  </si>
  <si>
    <t>%,V521100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</si>
  <si>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</si>
  <si>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</si>
  <si>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</si>
  <si>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</si>
  <si>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</si>
  <si>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</si>
  <si>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</si>
  <si>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</si>
  <si>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%,V552100</t>
  </si>
  <si>
    <t>524200</t>
  </si>
  <si>
    <t>Coordinator - Classified</t>
  </si>
  <si>
    <t>%,V557100</t>
  </si>
  <si>
    <t>Instructional Coach</t>
  </si>
  <si>
    <t>%,V591100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</si>
  <si>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</si>
  <si>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</si>
  <si>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</si>
  <si>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</si>
  <si>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</si>
  <si>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</si>
  <si>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</si>
  <si>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</si>
  <si>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</si>
  <si>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</si>
  <si>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</si>
  <si>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</si>
  <si>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</si>
  <si>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Clinic Aides</t>
  </si>
  <si>
    <t>591100</t>
  </si>
  <si>
    <t>Custodian</t>
  </si>
  <si>
    <t>Campus Supervisor</t>
  </si>
  <si>
    <t>599400</t>
  </si>
  <si>
    <t>Unused Sick Leave</t>
  </si>
  <si>
    <t xml:space="preserve">Have leave payout going up by 3% to account for minimum wage change 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</si>
  <si>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</si>
  <si>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</si>
  <si>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</si>
  <si>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</si>
  <si>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</si>
  <si>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</si>
  <si>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%,FACCOUNT,TACCOUNT_ROLLUP,X,NSALARIES</t>
  </si>
  <si>
    <t>Salaries</t>
  </si>
  <si>
    <t>699000</t>
  </si>
  <si>
    <t>Employee Benefits</t>
  </si>
  <si>
    <t>%,V699000</t>
  </si>
  <si>
    <t>%,FACCOUNT,TACCOUNT_ROLLUP,X,NBENEFITS</t>
  </si>
  <si>
    <t>Benefits</t>
  </si>
  <si>
    <t>TOTAL BENEFITS AND SALARY</t>
  </si>
  <si>
    <t>%,V701000</t>
  </si>
  <si>
    <t>701000</t>
  </si>
  <si>
    <t>Mileage And Travel</t>
  </si>
  <si>
    <t>%,V702000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</si>
  <si>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</si>
  <si>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</si>
  <si>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</si>
  <si>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</si>
  <si>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</si>
  <si>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</si>
  <si>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</si>
  <si>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</si>
  <si>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</si>
  <si>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</si>
  <si>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%,V723000</t>
  </si>
  <si>
    <t>721000</t>
  </si>
  <si>
    <t>Legal Fees</t>
  </si>
  <si>
    <t>%,V745000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</si>
  <si>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</si>
  <si>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</si>
  <si>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</si>
  <si>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</si>
  <si>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</si>
  <si>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</si>
  <si>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</si>
  <si>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</si>
  <si>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</si>
  <si>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</si>
  <si>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</si>
  <si>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</si>
  <si>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</si>
  <si>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</si>
  <si>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</si>
  <si>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</si>
  <si>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</si>
  <si>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</si>
  <si>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</si>
  <si>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</si>
  <si>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</si>
  <si>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</si>
  <si>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</si>
  <si>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</si>
  <si>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</si>
  <si>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</si>
  <si>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</si>
  <si>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</si>
  <si>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</si>
  <si>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</si>
  <si>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</si>
  <si>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 Bond/Loan</t>
  </si>
  <si>
    <t>781500</t>
  </si>
  <si>
    <t>Lease Purch-Other-Interest Bond/Loan</t>
  </si>
  <si>
    <t>950000</t>
  </si>
  <si>
    <t>Transfers District Fees</t>
  </si>
  <si>
    <t>PURCHASE SERVICES</t>
  </si>
  <si>
    <t>804000</t>
  </si>
  <si>
    <t>Fund Raising</t>
  </si>
  <si>
    <t>805000</t>
  </si>
  <si>
    <t>Materials/Supplies-Other</t>
  </si>
  <si>
    <t>%,V806000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</si>
  <si>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</si>
  <si>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</si>
  <si>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</si>
  <si>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</si>
  <si>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</si>
  <si>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</si>
  <si>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</si>
  <si>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</si>
  <si>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</si>
  <si>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</si>
  <si>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</si>
  <si>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</si>
  <si>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</si>
  <si>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</si>
  <si>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%,V810000</t>
  </si>
  <si>
    <t>822000</t>
  </si>
  <si>
    <t>Textbooks</t>
  </si>
  <si>
    <t>%,V812000</t>
  </si>
  <si>
    <t>823000</t>
  </si>
  <si>
    <t>Copier Usage</t>
  </si>
  <si>
    <t>%,V814000</t>
  </si>
  <si>
    <t>824000</t>
  </si>
  <si>
    <t>Testing Materials</t>
  </si>
  <si>
    <t>826000</t>
  </si>
  <si>
    <t>Graduation Materials</t>
  </si>
  <si>
    <t>%,V820000</t>
  </si>
  <si>
    <t>840000</t>
  </si>
  <si>
    <t>Maint Materials/Supplies</t>
  </si>
  <si>
    <t>%,V822000</t>
  </si>
  <si>
    <t>870000</t>
  </si>
  <si>
    <t>Library Materials</t>
  </si>
  <si>
    <t>%,V824000</t>
  </si>
  <si>
    <t>885000</t>
  </si>
  <si>
    <t>Miscellaneous Expense</t>
  </si>
  <si>
    <t>889000</t>
  </si>
  <si>
    <t>Consumable Supplies</t>
  </si>
  <si>
    <t>MATERIAL AND SUPPLIES</t>
  </si>
  <si>
    <t>%,V910000</t>
  </si>
  <si>
    <t>Office Equipment</t>
  </si>
  <si>
    <t>%,V920000</t>
  </si>
  <si>
    <t>Appliances/Comm Equip</t>
  </si>
  <si>
    <t>%,V930000</t>
  </si>
  <si>
    <t>Instructional/Curr Equip</t>
  </si>
  <si>
    <t>914000</t>
  </si>
  <si>
    <t>Vehicles - Utility Fleet</t>
  </si>
  <si>
    <t>Building Improvements</t>
  </si>
  <si>
    <t>%,FACCOUNT,TACCOUNT_ROLLUP,X,NCAPITAL OUTLAY</t>
  </si>
  <si>
    <t>931000</t>
  </si>
  <si>
    <t>Site Building Fund</t>
  </si>
  <si>
    <t>CAPITAL OUTLAY</t>
  </si>
  <si>
    <t>Total Expenditures</t>
  </si>
  <si>
    <t>Building Fund Contingency</t>
  </si>
  <si>
    <t>REVENUE OVER EXPENSES</t>
  </si>
  <si>
    <t>CARRY FORWARD</t>
  </si>
  <si>
    <t>Building Fund</t>
  </si>
  <si>
    <t>Fiscal Metrics</t>
  </si>
  <si>
    <t>Tabor Reserve Requirement</t>
  </si>
  <si>
    <t>Bond Cash Reserve Requirment</t>
  </si>
  <si>
    <t>Expense cost per day</t>
  </si>
  <si>
    <t>School Days</t>
  </si>
  <si>
    <t>EBIDA</t>
  </si>
  <si>
    <t>Total Expenditures as % of Rev</t>
  </si>
  <si>
    <t>Total Revenue per Student</t>
  </si>
  <si>
    <t>Total Expense per Student</t>
  </si>
  <si>
    <t>Salaries as % of Total Expenses</t>
  </si>
  <si>
    <t>Debt costs</t>
  </si>
  <si>
    <t>Debt cost as % of Revneue</t>
  </si>
  <si>
    <t>Building costs</t>
  </si>
  <si>
    <t>Facility and Debt costs as % of Revenue</t>
  </si>
  <si>
    <t>Unrestricted Operating Funds (Reserves)</t>
  </si>
  <si>
    <t>Unrestricted Cash (thousands)</t>
  </si>
  <si>
    <t>Yrly Change in PPR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</si>
</sst>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mmm\ d\,\ yyyy"/>
    <numFmt numFmtId="166" formatCode="#,##0.0"/>
    <numFmt numFmtId="167" formatCode="_(&quot;$&quot;* #,##0_);_(&quot;$&quot;* \(#,##0\);_(&quot;$&quot;* &quot;-&quot;??_);_(@_)"/>
    <numFmt numFmtId="168" formatCode="_(* #,##0.0000_);_(* \(#,##0.0000\);_(* &quot;-&quot;??_);_(@_)"/>
    <numFmt numFmtId="169" formatCode="&quot;$&quot;#,##0.00"/>
    <numFmt numFmtId="170" formatCode="0.0%"/>
    <numFmt numFmtId="171" formatCode="_(* #,##0_);_(* \(#,##0\);_(* &quot;-&quot;??_);_(@_)"/>
    <numFmt numFmtId="172" formatCode="0_);\(0\)"/>
    <numFmt numFmtId="173" formatCode="#,##0.0000"/>
    <numFmt numFmtId="174" formatCode="&quot;$&quot;#,##0"/>
  </numFmts>
  <fonts count="17" x14ac:knownFonts="1">
    <font>
      <sz val="10"/>
      <color rgb="FF000000"/>
      <name val="Arial"/>
    </font>
    <font>
      <sz val="10"/>
      <color theme="1"/>
      <name val="Arial"/>
    </font>
    <font>
      <b/>
      <sz val="18"/>
      <color theme="1"/>
      <name val="Arial"/>
    </font>
    <font>
      <b/>
      <sz val="20"/>
      <color rgb="FF003300"/>
      <name val="Arial"/>
    </font>
    <font>
      <sz val="10"/>
      <name val="Arial"/>
    </font>
    <font>
      <sz val="12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sz val="11"/>
      <color theme="1"/>
      <name val="Arial"/>
    </font>
    <font>
      <b/>
      <i/>
      <sz val="11"/>
      <color theme="1"/>
      <name val="Arial"/>
    </font>
    <font>
      <b/>
      <sz val="12"/>
      <color theme="1"/>
      <name val="Arial"/>
    </font>
    <font>
      <b/>
      <sz val="14"/>
      <color theme="1"/>
      <name val="Arial"/>
    </font>
    <font>
      <sz val="12"/>
      <color rgb="FF000000"/>
      <name val="Arial"/>
    </font>
    <font>
      <b/>
      <sz val="8"/>
      <color theme="1"/>
      <name val="Arial"/>
    </font>
    <font>
      <b/>
      <sz val="12"/>
      <color rgb="FF000000"/>
      <name val="Arial"/>
    </font>
    <font>
      <b/>
      <sz val="12"/>
      <color rgb="FFFF0000"/>
      <name val="Arial"/>
    </font>
    <font>
      <sz val="11"/>
      <color rgb="FF174E86"/>
      <name val="Arial"/>
    </font>
  </fonts>
  <fills count="10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C0C0C0"/>
        <bgColor rgb="FFC0C0C0"/>
      </patternFill>
    </fill>
    <fill>
      <patternFill patternType="solid">
        <fgColor rgb="FFA5A5A5"/>
        <bgColor rgb="FFA5A5A5"/>
      </patternFill>
    </fill>
    <fill>
      <patternFill patternType="solid">
        <fgColor rgb="FFD0CECE"/>
        <bgColor rgb="FFD0CECE"/>
      </patternFill>
    </fill>
    <fill>
      <patternFill patternType="solid">
        <fgColor rgb="FFB6D7A8"/>
        <bgColor rgb="FFB6D7A8"/>
      </patternFill>
    </fill>
    <fill>
      <patternFill patternType="solid">
        <fgColor rgb="FFB6DDE8"/>
        <bgColor rgb="FFB6DDE8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 applyFont="1" applyAlignment="1"/>
    <xf numFmtId="43" fontId="1" fillId="2" borderId="1" xfId="0" applyNumberFormat="1" applyFont="1" applyFill="1" applyBorder="1" applyAlignment="1">
      <alignment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5" fillId="0" borderId="0" xfId="0" applyNumberFormat="1" applyFont="1" applyAlignment="1">
      <alignment vertical="center" wrapText="1"/>
    </xf>
    <xf numFmtId="43" fontId="1" fillId="0" borderId="0" xfId="0" applyNumberFormat="1" applyFont="1" applyAlignment="1">
      <alignment vertical="center"/>
    </xf>
    <xf numFmtId="43" fontId="5" fillId="2" borderId="1" xfId="0" applyNumberFormat="1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left" vertical="center"/>
    </xf>
    <xf numFmtId="43" fontId="7" fillId="2" borderId="1" xfId="0" applyNumberFormat="1" applyFont="1" applyFill="1" applyBorder="1" applyAlignment="1">
      <alignment horizontal="left" vertical="center"/>
    </xf>
    <xf numFmtId="43" fontId="8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left" vertical="center"/>
    </xf>
    <xf numFmtId="43" fontId="10" fillId="3" borderId="1" xfId="0" applyNumberFormat="1" applyFont="1" applyFill="1" applyBorder="1" applyAlignment="1">
      <alignment horizontal="center" vertical="center"/>
    </xf>
    <xf numFmtId="43" fontId="1" fillId="3" borderId="1" xfId="0" applyNumberFormat="1" applyFont="1" applyFill="1" applyBorder="1" applyAlignment="1">
      <alignment horizontal="center" vertical="center"/>
    </xf>
    <xf numFmtId="43" fontId="6" fillId="3" borderId="1" xfId="0" applyNumberFormat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43" fontId="5" fillId="0" borderId="0" xfId="0" applyNumberFormat="1" applyFont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/>
    </xf>
    <xf numFmtId="43" fontId="6" fillId="3" borderId="1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43" fontId="11" fillId="0" borderId="0" xfId="0" applyNumberFormat="1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43" fontId="5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/>
    </xf>
    <xf numFmtId="43" fontId="6" fillId="0" borderId="5" xfId="0" applyNumberFormat="1" applyFont="1" applyBorder="1" applyAlignment="1">
      <alignment vertical="center"/>
    </xf>
    <xf numFmtId="43" fontId="6" fillId="0" borderId="6" xfId="0" applyNumberFormat="1" applyFont="1" applyBorder="1" applyAlignment="1">
      <alignment horizontal="center" vertical="center" wrapText="1"/>
    </xf>
    <xf numFmtId="43" fontId="6" fillId="0" borderId="6" xfId="0" applyNumberFormat="1" applyFont="1" applyBorder="1" applyAlignment="1">
      <alignment horizontal="center" vertical="center" wrapText="1"/>
    </xf>
    <xf numFmtId="166" fontId="10" fillId="5" borderId="6" xfId="0" applyNumberFormat="1" applyFont="1" applyFill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167" fontId="5" fillId="5" borderId="11" xfId="0" applyNumberFormat="1" applyFont="1" applyFill="1" applyBorder="1" applyAlignment="1">
      <alignment horizontal="right" vertical="center"/>
    </xf>
    <xf numFmtId="167" fontId="5" fillId="0" borderId="12" xfId="0" applyNumberFormat="1" applyFont="1" applyBorder="1" applyAlignment="1">
      <alignment horizontal="right" vertical="center"/>
    </xf>
    <xf numFmtId="167" fontId="5" fillId="0" borderId="13" xfId="0" applyNumberFormat="1" applyFont="1" applyBorder="1" applyAlignment="1">
      <alignment horizontal="right" vertical="center"/>
    </xf>
    <xf numFmtId="43" fontId="5" fillId="0" borderId="0" xfId="0" applyNumberFormat="1" applyFont="1" applyAlignment="1">
      <alignment vertical="center" wrapText="1"/>
    </xf>
    <xf numFmtId="10" fontId="5" fillId="0" borderId="0" xfId="0" applyNumberFormat="1" applyFont="1" applyAlignment="1">
      <alignment vertical="center"/>
    </xf>
    <xf numFmtId="49" fontId="6" fillId="0" borderId="14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167" fontId="5" fillId="0" borderId="15" xfId="0" applyNumberFormat="1" applyFont="1" applyBorder="1" applyAlignment="1">
      <alignment horizontal="right" vertical="center"/>
    </xf>
    <xf numFmtId="43" fontId="6" fillId="0" borderId="0" xfId="0" applyNumberFormat="1" applyFont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13" xfId="0" applyNumberFormat="1" applyFont="1" applyBorder="1" applyAlignment="1">
      <alignment horizontal="right" vertical="center"/>
    </xf>
    <xf numFmtId="168" fontId="5" fillId="0" borderId="0" xfId="0" applyNumberFormat="1" applyFont="1" applyAlignment="1">
      <alignment vertical="center" wrapText="1"/>
    </xf>
    <xf numFmtId="169" fontId="6" fillId="0" borderId="14" xfId="0" applyNumberFormat="1" applyFont="1" applyBorder="1" applyAlignment="1">
      <alignment horizontal="left" vertical="center" wrapText="1"/>
    </xf>
    <xf numFmtId="170" fontId="5" fillId="6" borderId="12" xfId="0" applyNumberFormat="1" applyFont="1" applyFill="1" applyBorder="1" applyAlignment="1">
      <alignment horizontal="center"/>
    </xf>
    <xf numFmtId="170" fontId="5" fillId="6" borderId="13" xfId="0" applyNumberFormat="1" applyFont="1" applyFill="1" applyBorder="1" applyAlignment="1">
      <alignment horizontal="center"/>
    </xf>
    <xf numFmtId="9" fontId="5" fillId="0" borderId="0" xfId="0" applyNumberFormat="1" applyFont="1" applyAlignment="1">
      <alignment vertical="center"/>
    </xf>
    <xf numFmtId="170" fontId="5" fillId="0" borderId="12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170" fontId="5" fillId="6" borderId="1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0" xfId="0" applyNumberFormat="1" applyFont="1" applyAlignment="1">
      <alignment vertical="center"/>
    </xf>
    <xf numFmtId="170" fontId="5" fillId="0" borderId="13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171" fontId="5" fillId="0" borderId="12" xfId="0" applyNumberFormat="1" applyFont="1" applyBorder="1" applyAlignment="1">
      <alignment horizontal="center"/>
    </xf>
    <xf numFmtId="171" fontId="5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43" fontId="6" fillId="0" borderId="12" xfId="0" applyNumberFormat="1" applyFont="1" applyBorder="1" applyAlignment="1">
      <alignment horizontal="left" vertical="center"/>
    </xf>
    <xf numFmtId="43" fontId="6" fillId="0" borderId="13" xfId="0" applyNumberFormat="1" applyFont="1" applyBorder="1" applyAlignment="1">
      <alignment horizontal="left" vertical="center"/>
    </xf>
    <xf numFmtId="43" fontId="10" fillId="0" borderId="14" xfId="0" applyNumberFormat="1" applyFont="1" applyBorder="1" applyAlignment="1">
      <alignment horizontal="left" vertical="center"/>
    </xf>
    <xf numFmtId="167" fontId="10" fillId="0" borderId="12" xfId="0" applyNumberFormat="1" applyFont="1" applyBorder="1" applyAlignment="1">
      <alignment horizontal="left" vertical="center"/>
    </xf>
    <xf numFmtId="167" fontId="10" fillId="0" borderId="12" xfId="0" applyNumberFormat="1" applyFont="1" applyBorder="1" applyAlignment="1">
      <alignment horizontal="left" vertical="center"/>
    </xf>
    <xf numFmtId="167" fontId="10" fillId="0" borderId="13" xfId="0" applyNumberFormat="1" applyFont="1" applyBorder="1" applyAlignment="1">
      <alignment horizontal="left" vertical="center"/>
    </xf>
    <xf numFmtId="167" fontId="10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vertical="center"/>
    </xf>
    <xf numFmtId="167" fontId="10" fillId="0" borderId="16" xfId="0" applyNumberFormat="1" applyFont="1" applyBorder="1" applyAlignment="1">
      <alignment horizontal="left" vertical="center"/>
    </xf>
    <xf numFmtId="167" fontId="10" fillId="0" borderId="16" xfId="0" applyNumberFormat="1" applyFont="1" applyBorder="1" applyAlignment="1">
      <alignment horizontal="left" vertical="center"/>
    </xf>
    <xf numFmtId="167" fontId="10" fillId="0" borderId="17" xfId="0" applyNumberFormat="1" applyFont="1" applyBorder="1" applyAlignment="1">
      <alignment horizontal="left" vertical="center"/>
    </xf>
    <xf numFmtId="43" fontId="10" fillId="7" borderId="18" xfId="0" applyNumberFormat="1" applyFont="1" applyFill="1" applyBorder="1" applyAlignment="1">
      <alignment horizontal="left" vertical="center"/>
    </xf>
    <xf numFmtId="167" fontId="10" fillId="7" borderId="19" xfId="0" applyNumberFormat="1" applyFont="1" applyFill="1" applyBorder="1" applyAlignment="1">
      <alignment horizontal="left" vertical="center"/>
    </xf>
    <xf numFmtId="167" fontId="10" fillId="7" borderId="20" xfId="0" applyNumberFormat="1" applyFont="1" applyFill="1" applyBorder="1" applyAlignment="1">
      <alignment horizontal="left" vertical="center"/>
    </xf>
    <xf numFmtId="167" fontId="10" fillId="7" borderId="21" xfId="0" applyNumberFormat="1" applyFont="1" applyFill="1" applyBorder="1" applyAlignment="1">
      <alignment horizontal="left" vertical="center"/>
    </xf>
    <xf numFmtId="43" fontId="10" fillId="0" borderId="22" xfId="0" applyNumberFormat="1" applyFont="1" applyBorder="1" applyAlignment="1">
      <alignment horizontal="left" vertical="center"/>
    </xf>
    <xf numFmtId="167" fontId="10" fillId="0" borderId="22" xfId="0" applyNumberFormat="1" applyFont="1" applyBorder="1" applyAlignment="1">
      <alignment horizontal="left" vertical="center"/>
    </xf>
    <xf numFmtId="167" fontId="10" fillId="0" borderId="23" xfId="0" applyNumberFormat="1" applyFont="1" applyBorder="1" applyAlignment="1">
      <alignment horizontal="left" vertical="center"/>
    </xf>
    <xf numFmtId="167" fontId="10" fillId="0" borderId="0" xfId="0" applyNumberFormat="1" applyFont="1" applyAlignment="1">
      <alignment horizontal="left" vertical="center"/>
    </xf>
    <xf numFmtId="170" fontId="10" fillId="7" borderId="20" xfId="0" applyNumberFormat="1" applyFont="1" applyFill="1" applyBorder="1" applyAlignment="1">
      <alignment horizontal="right" vertical="center"/>
    </xf>
    <xf numFmtId="170" fontId="10" fillId="7" borderId="21" xfId="0" applyNumberFormat="1" applyFont="1" applyFill="1" applyBorder="1" applyAlignment="1">
      <alignment horizontal="right" vertical="center"/>
    </xf>
    <xf numFmtId="170" fontId="10" fillId="0" borderId="0" xfId="0" applyNumberFormat="1" applyFont="1" applyAlignment="1">
      <alignment horizontal="right" vertical="center"/>
    </xf>
    <xf numFmtId="0" fontId="6" fillId="0" borderId="24" xfId="0" applyFont="1" applyBorder="1" applyAlignment="1">
      <alignment horizontal="left" vertical="center"/>
    </xf>
    <xf numFmtId="42" fontId="6" fillId="0" borderId="25" xfId="0" applyNumberFormat="1" applyFont="1" applyBorder="1" applyAlignment="1">
      <alignment horizontal="left" vertical="center"/>
    </xf>
    <xf numFmtId="167" fontId="5" fillId="2" borderId="26" xfId="0" applyNumberFormat="1" applyFont="1" applyFill="1" applyBorder="1" applyAlignment="1">
      <alignment horizontal="right" vertical="center"/>
    </xf>
    <xf numFmtId="167" fontId="5" fillId="2" borderId="27" xfId="0" applyNumberFormat="1" applyFont="1" applyFill="1" applyBorder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0" fontId="6" fillId="0" borderId="28" xfId="0" applyFont="1" applyBorder="1" applyAlignment="1">
      <alignment horizontal="left" vertical="center"/>
    </xf>
    <xf numFmtId="4" fontId="10" fillId="0" borderId="0" xfId="0" applyNumberFormat="1" applyFont="1" applyAlignment="1">
      <alignment horizontal="right" vertical="center"/>
    </xf>
    <xf numFmtId="4" fontId="5" fillId="8" borderId="10" xfId="0" applyNumberFormat="1" applyFont="1" applyFill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42" fontId="10" fillId="0" borderId="0" xfId="0" applyNumberFormat="1" applyFont="1" applyAlignment="1">
      <alignment horizontal="right" vertical="center"/>
    </xf>
    <xf numFmtId="167" fontId="5" fillId="8" borderId="30" xfId="0" applyNumberFormat="1" applyFont="1" applyFill="1" applyBorder="1" applyAlignment="1">
      <alignment horizontal="right" vertical="center"/>
    </xf>
    <xf numFmtId="170" fontId="1" fillId="0" borderId="0" xfId="0" applyNumberFormat="1" applyFont="1"/>
    <xf numFmtId="0" fontId="12" fillId="0" borderId="0" xfId="0" applyFont="1"/>
    <xf numFmtId="0" fontId="1" fillId="0" borderId="31" xfId="0" applyFont="1" applyBorder="1"/>
    <xf numFmtId="43" fontId="6" fillId="0" borderId="29" xfId="0" applyNumberFormat="1" applyFont="1" applyBorder="1" applyAlignment="1">
      <alignment horizontal="left" vertical="center"/>
    </xf>
    <xf numFmtId="167" fontId="5" fillId="8" borderId="32" xfId="0" applyNumberFormat="1" applyFont="1" applyFill="1" applyBorder="1" applyAlignment="1">
      <alignment horizontal="right" vertical="center"/>
    </xf>
    <xf numFmtId="43" fontId="6" fillId="0" borderId="0" xfId="0" applyNumberFormat="1" applyFont="1" applyAlignment="1">
      <alignment horizontal="center"/>
    </xf>
    <xf numFmtId="43" fontId="6" fillId="0" borderId="29" xfId="0" applyNumberFormat="1" applyFont="1" applyBorder="1" applyAlignment="1">
      <alignment vertical="center"/>
    </xf>
    <xf numFmtId="43" fontId="5" fillId="0" borderId="33" xfId="0" applyNumberFormat="1" applyFont="1" applyBorder="1" applyAlignment="1">
      <alignment vertical="center"/>
    </xf>
    <xf numFmtId="43" fontId="6" fillId="0" borderId="31" xfId="0" applyNumberFormat="1" applyFont="1" applyBorder="1" applyAlignment="1">
      <alignment vertical="center"/>
    </xf>
    <xf numFmtId="167" fontId="10" fillId="0" borderId="34" xfId="0" applyNumberFormat="1" applyFont="1" applyBorder="1" applyAlignment="1">
      <alignment horizontal="right" vertical="center"/>
    </xf>
    <xf numFmtId="167" fontId="10" fillId="8" borderId="34" xfId="0" applyNumberFormat="1" applyFont="1" applyFill="1" applyBorder="1" applyAlignment="1">
      <alignment horizontal="right" vertical="center"/>
    </xf>
    <xf numFmtId="43" fontId="8" fillId="0" borderId="29" xfId="0" applyNumberFormat="1" applyFont="1" applyBorder="1" applyAlignment="1">
      <alignment vertical="center"/>
    </xf>
    <xf numFmtId="4" fontId="5" fillId="0" borderId="0" xfId="0" applyNumberFormat="1" applyFont="1" applyAlignment="1">
      <alignment horizontal="right" vertical="center"/>
    </xf>
    <xf numFmtId="167" fontId="5" fillId="8" borderId="12" xfId="0" applyNumberFormat="1" applyFont="1" applyFill="1" applyBorder="1" applyAlignment="1">
      <alignment horizontal="right" vertical="center"/>
    </xf>
    <xf numFmtId="167" fontId="10" fillId="0" borderId="35" xfId="0" applyNumberFormat="1" applyFont="1" applyBorder="1" applyAlignment="1">
      <alignment horizontal="right" vertical="center"/>
    </xf>
    <xf numFmtId="167" fontId="10" fillId="8" borderId="35" xfId="0" applyNumberFormat="1" applyFont="1" applyFill="1" applyBorder="1" applyAlignment="1">
      <alignment horizontal="right" vertical="center"/>
    </xf>
    <xf numFmtId="43" fontId="6" fillId="0" borderId="22" xfId="0" applyNumberFormat="1" applyFont="1" applyBorder="1" applyAlignment="1">
      <alignment vertical="center"/>
    </xf>
    <xf numFmtId="4" fontId="10" fillId="8" borderId="12" xfId="0" applyNumberFormat="1" applyFont="1" applyFill="1" applyBorder="1" applyAlignment="1">
      <alignment horizontal="right" vertical="center"/>
    </xf>
    <xf numFmtId="4" fontId="10" fillId="0" borderId="12" xfId="0" applyNumberFormat="1" applyFont="1" applyBorder="1" applyAlignment="1">
      <alignment horizontal="right" vertical="center"/>
    </xf>
    <xf numFmtId="43" fontId="1" fillId="0" borderId="0" xfId="0" applyNumberFormat="1" applyFont="1" applyAlignment="1">
      <alignment horizontal="center"/>
    </xf>
    <xf numFmtId="43" fontId="1" fillId="0" borderId="0" xfId="0" applyNumberFormat="1" applyFont="1"/>
    <xf numFmtId="42" fontId="5" fillId="0" borderId="0" xfId="0" applyNumberFormat="1" applyFont="1" applyAlignment="1">
      <alignment horizontal="right"/>
    </xf>
    <xf numFmtId="167" fontId="5" fillId="0" borderId="12" xfId="0" applyNumberFormat="1" applyFont="1" applyBorder="1" applyAlignment="1">
      <alignment horizontal="right" vertical="center"/>
    </xf>
    <xf numFmtId="43" fontId="5" fillId="0" borderId="0" xfId="0" applyNumberFormat="1" applyFont="1" applyAlignment="1">
      <alignment horizontal="center" wrapText="1"/>
    </xf>
    <xf numFmtId="9" fontId="1" fillId="0" borderId="0" xfId="0" applyNumberFormat="1" applyFont="1" applyAlignment="1"/>
    <xf numFmtId="43" fontId="5" fillId="0" borderId="0" xfId="0" applyNumberFormat="1" applyFont="1" applyAlignment="1">
      <alignment horizontal="center"/>
    </xf>
    <xf numFmtId="43" fontId="1" fillId="0" borderId="0" xfId="0" quotePrefix="1" applyNumberFormat="1" applyFont="1" applyAlignment="1">
      <alignment horizontal="center"/>
    </xf>
    <xf numFmtId="17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0" fontId="1" fillId="0" borderId="0" xfId="0" applyNumberFormat="1" applyFont="1" applyAlignment="1"/>
    <xf numFmtId="43" fontId="8" fillId="0" borderId="22" xfId="0" applyNumberFormat="1" applyFont="1" applyBorder="1" applyAlignment="1">
      <alignment vertical="center"/>
    </xf>
    <xf numFmtId="42" fontId="5" fillId="0" borderId="0" xfId="0" applyNumberFormat="1" applyFont="1" applyAlignment="1">
      <alignment horizontal="right" vertical="center"/>
    </xf>
    <xf numFmtId="3" fontId="1" fillId="8" borderId="36" xfId="0" applyNumberFormat="1" applyFont="1" applyFill="1" applyBorder="1" applyAlignment="1">
      <alignment horizontal="right" wrapText="1"/>
    </xf>
    <xf numFmtId="3" fontId="1" fillId="0" borderId="37" xfId="0" applyNumberFormat="1" applyFont="1" applyBorder="1" applyAlignment="1">
      <alignment horizontal="right" wrapText="1"/>
    </xf>
    <xf numFmtId="43" fontId="5" fillId="0" borderId="38" xfId="0" applyNumberFormat="1" applyFont="1" applyBorder="1" applyAlignment="1">
      <alignment vertical="center"/>
    </xf>
    <xf numFmtId="43" fontId="6" fillId="0" borderId="39" xfId="0" applyNumberFormat="1" applyFont="1" applyBorder="1" applyAlignment="1">
      <alignment vertical="center"/>
    </xf>
    <xf numFmtId="42" fontId="10" fillId="0" borderId="33" xfId="0" applyNumberFormat="1" applyFont="1" applyBorder="1" applyAlignment="1">
      <alignment horizontal="right" vertical="center"/>
    </xf>
    <xf numFmtId="3" fontId="10" fillId="8" borderId="34" xfId="0" applyNumberFormat="1" applyFont="1" applyFill="1" applyBorder="1" applyAlignment="1">
      <alignment horizontal="right" vertical="center"/>
    </xf>
    <xf numFmtId="3" fontId="10" fillId="0" borderId="34" xfId="0" applyNumberFormat="1" applyFont="1" applyBorder="1" applyAlignment="1">
      <alignment horizontal="right" vertical="center"/>
    </xf>
    <xf numFmtId="173" fontId="13" fillId="8" borderId="12" xfId="0" applyNumberFormat="1" applyFont="1" applyFill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5" fillId="8" borderId="30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170" fontId="5" fillId="8" borderId="12" xfId="0" applyNumberFormat="1" applyFont="1" applyFill="1" applyBorder="1" applyAlignment="1">
      <alignment horizontal="right" vertical="center"/>
    </xf>
    <xf numFmtId="170" fontId="5" fillId="0" borderId="12" xfId="0" applyNumberFormat="1" applyFont="1" applyBorder="1" applyAlignment="1">
      <alignment horizontal="right" vertical="center"/>
    </xf>
    <xf numFmtId="3" fontId="5" fillId="8" borderId="12" xfId="0" applyNumberFormat="1" applyFont="1" applyFill="1" applyBorder="1" applyAlignment="1">
      <alignment horizontal="right" vertical="center"/>
    </xf>
    <xf numFmtId="43" fontId="6" fillId="0" borderId="40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horizontal="right" vertical="center"/>
    </xf>
    <xf numFmtId="3" fontId="10" fillId="8" borderId="6" xfId="0" applyNumberFormat="1" applyFont="1" applyFill="1" applyBorder="1" applyAlignment="1">
      <alignment horizontal="right" vertical="center"/>
    </xf>
    <xf numFmtId="3" fontId="13" fillId="8" borderId="12" xfId="0" applyNumberFormat="1" applyFont="1" applyFill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167" fontId="14" fillId="8" borderId="30" xfId="0" applyNumberFormat="1" applyFont="1" applyFill="1" applyBorder="1" applyAlignment="1">
      <alignment horizontal="right" vertical="center"/>
    </xf>
    <xf numFmtId="167" fontId="14" fillId="0" borderId="12" xfId="0" applyNumberFormat="1" applyFont="1" applyBorder="1" applyAlignment="1">
      <alignment horizontal="right" vertical="center"/>
    </xf>
    <xf numFmtId="44" fontId="14" fillId="0" borderId="12" xfId="0" applyNumberFormat="1" applyFont="1" applyBorder="1" applyAlignment="1">
      <alignment horizontal="right" vertical="center"/>
    </xf>
    <xf numFmtId="167" fontId="14" fillId="0" borderId="12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167" fontId="10" fillId="0" borderId="6" xfId="0" applyNumberFormat="1" applyFont="1" applyBorder="1" applyAlignment="1">
      <alignment horizontal="right" vertical="center"/>
    </xf>
    <xf numFmtId="167" fontId="10" fillId="8" borderId="6" xfId="0" applyNumberFormat="1" applyFont="1" applyFill="1" applyBorder="1" applyAlignment="1">
      <alignment horizontal="right" vertical="center"/>
    </xf>
    <xf numFmtId="167" fontId="10" fillId="0" borderId="6" xfId="0" applyNumberFormat="1" applyFont="1" applyBorder="1" applyAlignment="1">
      <alignment horizontal="right" vertical="center"/>
    </xf>
    <xf numFmtId="43" fontId="15" fillId="0" borderId="0" xfId="0" applyNumberFormat="1" applyFont="1" applyAlignment="1">
      <alignment vertical="center" wrapText="1"/>
    </xf>
    <xf numFmtId="43" fontId="6" fillId="0" borderId="41" xfId="0" applyNumberFormat="1" applyFont="1" applyBorder="1" applyAlignment="1">
      <alignment vertical="center"/>
    </xf>
    <xf numFmtId="167" fontId="10" fillId="0" borderId="16" xfId="0" applyNumberFormat="1" applyFont="1" applyBorder="1" applyAlignment="1">
      <alignment horizontal="right" vertical="center"/>
    </xf>
    <xf numFmtId="167" fontId="10" fillId="8" borderId="42" xfId="0" applyNumberFormat="1" applyFont="1" applyFill="1" applyBorder="1" applyAlignment="1">
      <alignment horizontal="right" vertical="center"/>
    </xf>
    <xf numFmtId="4" fontId="6" fillId="0" borderId="0" xfId="0" applyNumberFormat="1" applyFont="1" applyAlignment="1">
      <alignment vertical="center"/>
    </xf>
    <xf numFmtId="43" fontId="6" fillId="0" borderId="43" xfId="0" applyNumberFormat="1" applyFont="1" applyBorder="1" applyAlignment="1">
      <alignment vertical="center"/>
    </xf>
    <xf numFmtId="167" fontId="10" fillId="0" borderId="44" xfId="0" applyNumberFormat="1" applyFont="1" applyBorder="1" applyAlignment="1">
      <alignment horizontal="right" vertical="center"/>
    </xf>
    <xf numFmtId="4" fontId="6" fillId="0" borderId="43" xfId="0" applyNumberFormat="1" applyFont="1" applyBorder="1" applyAlignment="1">
      <alignment vertical="center"/>
    </xf>
    <xf numFmtId="167" fontId="10" fillId="9" borderId="44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vertical="center"/>
    </xf>
    <xf numFmtId="3" fontId="1" fillId="9" borderId="0" xfId="0" applyNumberFormat="1" applyFont="1" applyFill="1" applyAlignment="1">
      <alignment vertical="center"/>
    </xf>
    <xf numFmtId="3" fontId="1" fillId="0" borderId="0" xfId="0" applyNumberFormat="1" applyFont="1" applyAlignment="1">
      <alignment vertical="center"/>
    </xf>
    <xf numFmtId="43" fontId="6" fillId="0" borderId="45" xfId="0" applyNumberFormat="1" applyFont="1" applyBorder="1" applyAlignment="1">
      <alignment vertical="center"/>
    </xf>
    <xf numFmtId="4" fontId="6" fillId="0" borderId="46" xfId="0" applyNumberFormat="1" applyFont="1" applyBorder="1" applyAlignment="1">
      <alignment vertical="center"/>
    </xf>
    <xf numFmtId="167" fontId="10" fillId="9" borderId="47" xfId="0" applyNumberFormat="1" applyFont="1" applyFill="1" applyBorder="1" applyAlignment="1">
      <alignment horizontal="right" vertical="center"/>
    </xf>
    <xf numFmtId="167" fontId="10" fillId="0" borderId="46" xfId="0" applyNumberFormat="1" applyFont="1" applyBorder="1" applyAlignment="1">
      <alignment horizontal="right" vertical="center"/>
    </xf>
    <xf numFmtId="43" fontId="10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center" vertical="center"/>
    </xf>
    <xf numFmtId="170" fontId="5" fillId="9" borderId="0" xfId="0" applyNumberFormat="1" applyFont="1" applyFill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9" fontId="5" fillId="9" borderId="0" xfId="0" applyNumberFormat="1" applyFont="1" applyFill="1" applyAlignment="1">
      <alignment horizontal="center" vertical="center"/>
    </xf>
    <xf numFmtId="43" fontId="10" fillId="0" borderId="45" xfId="0" applyNumberFormat="1" applyFont="1" applyBorder="1" applyAlignment="1">
      <alignment horizontal="left" vertical="center"/>
    </xf>
    <xf numFmtId="9" fontId="10" fillId="0" borderId="45" xfId="0" applyNumberFormat="1" applyFont="1" applyBorder="1" applyAlignment="1">
      <alignment horizontal="center" vertical="center"/>
    </xf>
    <xf numFmtId="9" fontId="10" fillId="9" borderId="48" xfId="0" applyNumberFormat="1" applyFont="1" applyFill="1" applyBorder="1" applyAlignment="1">
      <alignment horizontal="center" vertical="center"/>
    </xf>
    <xf numFmtId="10" fontId="1" fillId="0" borderId="0" xfId="0" applyNumberFormat="1" applyFont="1" applyAlignment="1">
      <alignment vertical="center"/>
    </xf>
    <xf numFmtId="10" fontId="1" fillId="9" borderId="0" xfId="0" applyNumberFormat="1" applyFont="1" applyFill="1" applyAlignment="1">
      <alignment vertical="center"/>
    </xf>
    <xf numFmtId="170" fontId="1" fillId="9" borderId="0" xfId="0" applyNumberFormat="1" applyFont="1" applyFill="1" applyAlignment="1">
      <alignment vertical="center"/>
    </xf>
    <xf numFmtId="170" fontId="1" fillId="0" borderId="0" xfId="0" applyNumberFormat="1" applyFont="1" applyAlignment="1">
      <alignment vertical="center"/>
    </xf>
    <xf numFmtId="9" fontId="1" fillId="9" borderId="0" xfId="0" applyNumberFormat="1" applyFont="1" applyFill="1" applyAlignment="1">
      <alignment vertical="center"/>
    </xf>
    <xf numFmtId="9" fontId="1" fillId="0" borderId="0" xfId="0" applyNumberFormat="1" applyFont="1" applyAlignment="1">
      <alignment vertical="center"/>
    </xf>
    <xf numFmtId="174" fontId="1" fillId="0" borderId="0" xfId="0" applyNumberFormat="1" applyFont="1" applyAlignment="1">
      <alignment vertical="center"/>
    </xf>
    <xf numFmtId="174" fontId="1" fillId="9" borderId="0" xfId="0" applyNumberFormat="1" applyFont="1" applyFill="1" applyAlignment="1">
      <alignment vertical="center"/>
    </xf>
    <xf numFmtId="43" fontId="8" fillId="0" borderId="0" xfId="0" applyNumberFormat="1" applyFont="1" applyAlignment="1">
      <alignment vertical="center"/>
    </xf>
    <xf numFmtId="0" fontId="16" fillId="9" borderId="0" xfId="0" applyFont="1" applyFill="1" applyAlignment="1"/>
    <xf numFmtId="4" fontId="3" fillId="2" borderId="2" xfId="0" applyNumberFormat="1" applyFont="1" applyFill="1" applyBorder="1" applyAlignment="1">
      <alignment horizontal="center" vertical="center"/>
    </xf>
    <xf numFmtId="0" fontId="4" fillId="0" borderId="3" xfId="0" applyFont="1" applyBorder="1"/>
    <xf numFmtId="43" fontId="2" fillId="2" borderId="2" xfId="0" applyNumberFormat="1" applyFont="1" applyFill="1" applyBorder="1" applyAlignment="1">
      <alignment horizontal="center" vertical="center"/>
    </xf>
    <xf numFmtId="43" fontId="5" fillId="0" borderId="0" xfId="0" applyNumberFormat="1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72"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C0504D"/>
          <bgColor rgb="FFC0504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LA Student Count </a:t>
            </a:r>
          </a:p>
        </c:rich>
      </c:tx>
      <c:layout>
        <c:manualLayout>
          <c:xMode val="edge"/>
          <c:yMode val="edge"/>
          <c:x val="2.6472222222222241E-2"/>
          <c:y val="4.6489611368459201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 21-22 BUDGET with ED'!$F$5:$K$5</c:f>
              <c:strCache>
                <c:ptCount val="6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</c:strCache>
            </c:strRef>
          </c:cat>
          <c:val>
            <c:numRef>
              <c:f>' 21-22 BUDGET with ED'!$F$9:$K$9</c:f>
              <c:numCache>
                <c:formatCode>#,##0.0</c:formatCode>
                <c:ptCount val="6"/>
                <c:pt idx="0">
                  <c:v>720.96</c:v>
                </c:pt>
                <c:pt idx="1">
                  <c:v>755</c:v>
                </c:pt>
                <c:pt idx="2">
                  <c:v>760</c:v>
                </c:pt>
                <c:pt idx="3">
                  <c:v>760</c:v>
                </c:pt>
                <c:pt idx="4">
                  <c:v>760</c:v>
                </c:pt>
                <c:pt idx="5">
                  <c:v>760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846-4989-A6E1-32B5668E0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3872839"/>
        <c:axId val="854900433"/>
      </c:barChart>
      <c:catAx>
        <c:axId val="150387283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854900433"/>
        <c:crosses val="autoZero"/>
        <c:auto val="1"/>
        <c:lblAlgn val="ctr"/>
        <c:lblOffset val="100"/>
        <c:noMultiLvlLbl val="1"/>
      </c:catAx>
      <c:valAx>
        <c:axId val="854900433"/>
        <c:scaling>
          <c:orientation val="minMax"/>
          <c:min val="6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,##0.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03872839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PPR Student Funding</a:t>
            </a:r>
          </a:p>
        </c:rich>
      </c:tx>
      <c:layout>
        <c:manualLayout>
          <c:xMode val="edge"/>
          <c:yMode val="edge"/>
          <c:x val="2.6472222222222241E-2"/>
          <c:y val="4.6489611368459201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 21-22 BUDGET with ED'!$E$5:$K$5</c:f>
              <c:strCache>
                <c:ptCount val="6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</c:strCache>
            </c:strRef>
          </c:cat>
          <c:val>
            <c:numRef>
              <c:f>' 21-22 BUDGET with ED'!$E$10:$K$10</c:f>
              <c:numCache>
                <c:formatCode>_("$"* #,##0_);_("$"* \(#,##0\);_("$"* "-"??_);_(@_)</c:formatCode>
                <c:ptCount val="6"/>
                <c:pt idx="0">
                  <c:v>7942.73</c:v>
                </c:pt>
                <c:pt idx="1">
                  <c:v>7977.1572999999999</c:v>
                </c:pt>
                <c:pt idx="2">
                  <c:v>8256.3578054999998</c:v>
                </c:pt>
                <c:pt idx="3">
                  <c:v>8545.3303286924984</c:v>
                </c:pt>
                <c:pt idx="4">
                  <c:v>8844.416890196735</c:v>
                </c:pt>
                <c:pt idx="5">
                  <c:v>9153.9714813536193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77C-4D56-9F2B-C6EFA2B36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73793"/>
        <c:axId val="672835767"/>
      </c:barChart>
      <c:catAx>
        <c:axId val="1254737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72835767"/>
        <c:crosses val="autoZero"/>
        <c:auto val="1"/>
        <c:lblAlgn val="ctr"/>
        <c:lblOffset val="100"/>
        <c:noMultiLvlLbl val="1"/>
      </c:catAx>
      <c:valAx>
        <c:axId val="672835767"/>
        <c:scaling>
          <c:orientation val="minMax"/>
          <c:min val="6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47379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Expenditures per Student</a:t>
            </a:r>
          </a:p>
        </c:rich>
      </c:tx>
      <c:layout>
        <c:manualLayout>
          <c:xMode val="edge"/>
          <c:yMode val="edge"/>
          <c:x val="2.6472222222222241E-2"/>
          <c:y val="4.6489611368459201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 21-22 BUDGET with ED'!$F$5:$K$5</c:f>
              <c:strCache>
                <c:ptCount val="6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</c:strCache>
            </c:strRef>
          </c:cat>
          <c:val>
            <c:numRef>
              <c:f>' 21-22 BUDGET with ED'!$F$178:$K$178</c:f>
              <c:numCache>
                <c:formatCode>#,##0</c:formatCode>
                <c:ptCount val="6"/>
                <c:pt idx="0">
                  <c:v>10603.644676787484</c:v>
                </c:pt>
                <c:pt idx="1">
                  <c:v>10917.682772471207</c:v>
                </c:pt>
                <c:pt idx="2">
                  <c:v>11395.889894974292</c:v>
                </c:pt>
                <c:pt idx="3">
                  <c:v>11876.372511413454</c:v>
                </c:pt>
                <c:pt idx="4">
                  <c:v>12386.943629903873</c:v>
                </c:pt>
                <c:pt idx="5">
                  <c:v>12928.390272619845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1A3-42F0-9F06-C6AA00F58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5043476"/>
        <c:axId val="1134001161"/>
      </c:barChart>
      <c:catAx>
        <c:axId val="5050434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34001161"/>
        <c:crosses val="autoZero"/>
        <c:auto val="1"/>
        <c:lblAlgn val="ctr"/>
        <c:lblOffset val="100"/>
        <c:noMultiLvlLbl val="1"/>
      </c:catAx>
      <c:valAx>
        <c:axId val="1134001161"/>
        <c:scaling>
          <c:orientation val="minMax"/>
          <c:min val="7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0504347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Change in PPR Student Funding</a:t>
            </a:r>
          </a:p>
        </c:rich>
      </c:tx>
      <c:layout>
        <c:manualLayout>
          <c:xMode val="edge"/>
          <c:yMode val="edge"/>
          <c:x val="2.6472222222222241E-2"/>
          <c:y val="4.6489611368459201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B5394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0-87CD-4586-83AE-14CB5764E7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 21-22 BUDGET with ED'!$E$5:$K$5</c:f>
              <c:strCache>
                <c:ptCount val="6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</c:strCache>
            </c:strRef>
          </c:cat>
          <c:val>
            <c:numRef>
              <c:f>' 21-22 BUDGET with ED'!$E$193:$K$193</c:f>
              <c:numCache>
                <c:formatCode>"$"#,##0</c:formatCode>
                <c:ptCount val="6"/>
                <c:pt idx="0">
                  <c:v>-360.27000000000044</c:v>
                </c:pt>
                <c:pt idx="1">
                  <c:v>34.427300000000287</c:v>
                </c:pt>
                <c:pt idx="2">
                  <c:v>279.20050549999996</c:v>
                </c:pt>
                <c:pt idx="3">
                  <c:v>288.97252319249856</c:v>
                </c:pt>
                <c:pt idx="4">
                  <c:v>299.08656150423667</c:v>
                </c:pt>
                <c:pt idx="5">
                  <c:v>309.55459115688427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7CD-4586-83AE-14CB5764E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3628922"/>
        <c:axId val="1052764067"/>
      </c:barChart>
      <c:catAx>
        <c:axId val="18836289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052764067"/>
        <c:crosses val="autoZero"/>
        <c:auto val="1"/>
        <c:lblAlgn val="ctr"/>
        <c:lblOffset val="100"/>
        <c:noMultiLvlLbl val="1"/>
      </c:catAx>
      <c:valAx>
        <c:axId val="105276406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&quot;$&quot;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8362892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Net Margin</a:t>
            </a:r>
          </a:p>
        </c:rich>
      </c:tx>
      <c:layout>
        <c:manualLayout>
          <c:xMode val="edge"/>
          <c:yMode val="edge"/>
          <c:x val="1.9064814814814909E-2"/>
          <c:y val="5.5441124141028156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E06666"/>
            </a:solidFill>
            <a:ln cmpd="sng">
              <a:solidFill>
                <a:srgbClr val="000000"/>
              </a:solidFill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0B5394"/>
              </a:solidFill>
              <a:ln cmpd="sng"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09A-48A7-BCFE-1CBBC0A41B19}"/>
              </c:ext>
            </c:extLst>
          </c:dPt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2-B09A-48A7-BCFE-1CBBC0A41B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 21-22 BUDGET with ED'!$F$5:$K$5</c:f>
              <c:strCache>
                <c:ptCount val="6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</c:strCache>
            </c:strRef>
          </c:cat>
          <c:val>
            <c:numRef>
              <c:f>' 21-22 BUDGET with ED'!$F$33:$K$33</c:f>
              <c:numCache>
                <c:formatCode>_("$"* #,##0_);_("$"* \(#,##0\);_("$"* "-"??_);_(@_)</c:formatCode>
                <c:ptCount val="6"/>
                <c:pt idx="0">
                  <c:v>373353.8200000003</c:v>
                </c:pt>
                <c:pt idx="1">
                  <c:v>-57766.703315761872</c:v>
                </c:pt>
                <c:pt idx="2">
                  <c:v>-205682.54374846444</c:v>
                </c:pt>
                <c:pt idx="3">
                  <c:v>-293604.19428836741</c:v>
                </c:pt>
                <c:pt idx="4">
                  <c:v>-394977.65666048042</c:v>
                </c:pt>
                <c:pt idx="5">
                  <c:v>-510080.17087987624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B09A-48A7-BCFE-1CBBC0A41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7600137"/>
        <c:axId val="241524060"/>
      </c:barChart>
      <c:catAx>
        <c:axId val="151760013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41524060"/>
        <c:crosses val="autoZero"/>
        <c:auto val="1"/>
        <c:lblAlgn val="ctr"/>
        <c:lblOffset val="100"/>
        <c:noMultiLvlLbl val="1"/>
      </c:catAx>
      <c:valAx>
        <c:axId val="2415240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517600137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</xdr:row>
      <xdr:rowOff>38100</xdr:rowOff>
    </xdr:from>
    <xdr:ext cx="5715000" cy="3533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7</xdr:col>
      <xdr:colOff>876300</xdr:colOff>
      <xdr:row>3</xdr:row>
      <xdr:rowOff>38100</xdr:rowOff>
    </xdr:from>
    <xdr:ext cx="5715000" cy="3533775"/>
    <xdr:graphicFrame macro="">
      <xdr:nvGraphicFramePr>
        <xdr:cNvPr id="3" name="Chart 2" title="Char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762000</xdr:colOff>
      <xdr:row>21</xdr:row>
      <xdr:rowOff>152400</xdr:rowOff>
    </xdr:from>
    <xdr:ext cx="5715000" cy="3533775"/>
    <xdr:graphicFrame macro="">
      <xdr:nvGraphicFramePr>
        <xdr:cNvPr id="4" name="Chart 3" title="Chart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7</xdr:col>
      <xdr:colOff>876300</xdr:colOff>
      <xdr:row>22</xdr:row>
      <xdr:rowOff>47625</xdr:rowOff>
    </xdr:from>
    <xdr:ext cx="5715000" cy="3533775"/>
    <xdr:graphicFrame macro="">
      <xdr:nvGraphicFramePr>
        <xdr:cNvPr id="5" name="Chart 4" title="Chart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1</xdr:col>
      <xdr:colOff>762000</xdr:colOff>
      <xdr:row>42</xdr:row>
      <xdr:rowOff>152400</xdr:rowOff>
    </xdr:from>
    <xdr:ext cx="5715000" cy="3533775"/>
    <xdr:graphicFrame macro="">
      <xdr:nvGraphicFramePr>
        <xdr:cNvPr id="6" name="Chart 5" title="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0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53125" defaultRowHeight="15.75" customHeight="1" outlineLevelRow="1" x14ac:dyDescent="0.25"/>
  <cols>
    <col min="1" max="1" width="16.7265625" hidden="1" customWidth="1"/>
    <col min="2" max="2" width="16.7265625" customWidth="1"/>
    <col min="3" max="3" width="43.7265625" customWidth="1"/>
    <col min="4" max="4" width="15.81640625" hidden="1" customWidth="1"/>
    <col min="5" max="5" width="16.453125" hidden="1" customWidth="1"/>
    <col min="6" max="6" width="16.7265625" customWidth="1"/>
    <col min="7" max="11" width="17.26953125" customWidth="1"/>
    <col min="12" max="12" width="32.453125" customWidth="1"/>
    <col min="13" max="13" width="7" hidden="1" customWidth="1"/>
    <col min="14" max="14" width="9.7265625" hidden="1" customWidth="1"/>
    <col min="15" max="15" width="8.81640625" hidden="1" customWidth="1"/>
    <col min="16" max="18" width="7.54296875" hidden="1" customWidth="1"/>
    <col min="19" max="26" width="16.7265625" hidden="1" customWidth="1"/>
    <col min="27" max="27" width="14.453125" hidden="1"/>
  </cols>
  <sheetData>
    <row r="1" spans="1:26" ht="25" x14ac:dyDescent="0.25">
      <c r="A1" s="1"/>
      <c r="B1" s="2"/>
      <c r="C1" s="194" t="s">
        <v>0</v>
      </c>
      <c r="D1" s="195"/>
      <c r="E1" s="195"/>
      <c r="F1" s="195"/>
      <c r="G1" s="195"/>
      <c r="H1" s="195"/>
      <c r="I1" s="195"/>
      <c r="J1" s="195"/>
      <c r="K1" s="195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3" x14ac:dyDescent="0.25">
      <c r="A2" s="5"/>
      <c r="B2" s="2"/>
      <c r="C2" s="196" t="s">
        <v>1</v>
      </c>
      <c r="D2" s="195"/>
      <c r="E2" s="195"/>
      <c r="F2" s="195"/>
      <c r="G2" s="195"/>
      <c r="H2" s="195"/>
      <c r="I2" s="195"/>
      <c r="J2" s="195"/>
      <c r="K2" s="195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5" x14ac:dyDescent="0.25">
      <c r="A3" s="5"/>
      <c r="B3" s="6"/>
      <c r="C3" s="7"/>
      <c r="D3" s="7"/>
      <c r="E3" s="7"/>
      <c r="F3" s="8"/>
      <c r="G3" s="8"/>
      <c r="H3" s="8"/>
      <c r="I3" s="8"/>
      <c r="J3" s="8"/>
      <c r="K3" s="8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5" x14ac:dyDescent="0.25">
      <c r="A4" s="1"/>
      <c r="B4" s="9"/>
      <c r="C4" s="10"/>
      <c r="D4" s="10"/>
      <c r="E4" s="10"/>
      <c r="F4" s="11" t="s">
        <v>2</v>
      </c>
      <c r="G4" s="11" t="s">
        <v>2</v>
      </c>
      <c r="H4" s="11" t="s">
        <v>2</v>
      </c>
      <c r="I4" s="11" t="s">
        <v>2</v>
      </c>
      <c r="J4" s="11" t="s">
        <v>2</v>
      </c>
      <c r="K4" s="11" t="s">
        <v>2</v>
      </c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5" x14ac:dyDescent="0.3">
      <c r="A5" s="12" t="s">
        <v>3</v>
      </c>
      <c r="B5" s="9"/>
      <c r="C5" s="13"/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5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1" x14ac:dyDescent="0.25">
      <c r="A6" s="12" t="s">
        <v>12</v>
      </c>
      <c r="B6" s="9"/>
      <c r="C6" s="17"/>
      <c r="D6" s="17" t="s">
        <v>13</v>
      </c>
      <c r="E6" s="17" t="s">
        <v>13</v>
      </c>
      <c r="F6" s="18" t="s">
        <v>14</v>
      </c>
      <c r="G6" s="19">
        <v>1</v>
      </c>
      <c r="H6" s="19">
        <v>2</v>
      </c>
      <c r="I6" s="19">
        <v>3</v>
      </c>
      <c r="J6" s="19">
        <v>4</v>
      </c>
      <c r="K6" s="19">
        <v>5</v>
      </c>
      <c r="L6" s="20" t="s">
        <v>15</v>
      </c>
      <c r="M6" s="16" t="s">
        <v>16</v>
      </c>
      <c r="N6" s="19">
        <v>1</v>
      </c>
      <c r="O6" s="19">
        <v>2</v>
      </c>
      <c r="P6" s="19">
        <v>3</v>
      </c>
      <c r="Q6" s="19">
        <v>4</v>
      </c>
      <c r="R6" s="19">
        <v>5</v>
      </c>
      <c r="S6" s="16"/>
      <c r="T6" s="16" t="s">
        <v>17</v>
      </c>
      <c r="U6" s="19">
        <v>1</v>
      </c>
      <c r="V6" s="19">
        <v>2</v>
      </c>
      <c r="W6" s="19">
        <v>3</v>
      </c>
      <c r="X6" s="19">
        <v>4</v>
      </c>
      <c r="Y6" s="19">
        <v>5</v>
      </c>
      <c r="Z6" s="19">
        <v>6</v>
      </c>
    </row>
    <row r="7" spans="1:26" ht="18" x14ac:dyDescent="0.25">
      <c r="A7" s="12"/>
      <c r="B7" s="9"/>
      <c r="C7" s="16"/>
      <c r="D7" s="16"/>
      <c r="E7" s="16"/>
      <c r="F7" s="21"/>
      <c r="G7" s="16"/>
      <c r="H7" s="16"/>
      <c r="I7" s="16"/>
      <c r="J7" s="16"/>
      <c r="K7" s="16"/>
      <c r="L7" s="15"/>
      <c r="M7" s="16"/>
      <c r="N7" s="22"/>
      <c r="O7" s="22"/>
      <c r="P7" s="22"/>
      <c r="Q7" s="22"/>
      <c r="R7" s="22"/>
      <c r="S7" s="16"/>
      <c r="T7" s="16"/>
      <c r="U7" s="16"/>
      <c r="V7" s="16"/>
      <c r="W7" s="16"/>
      <c r="X7" s="16"/>
      <c r="Y7" s="16"/>
      <c r="Z7" s="16"/>
    </row>
    <row r="8" spans="1:26" ht="18" x14ac:dyDescent="0.25">
      <c r="A8" s="12"/>
      <c r="B8" s="9"/>
      <c r="C8" s="21"/>
      <c r="D8" s="21"/>
      <c r="E8" s="21"/>
      <c r="F8" s="16"/>
      <c r="G8" s="23"/>
      <c r="H8" s="16"/>
      <c r="I8" s="16"/>
      <c r="J8" s="16"/>
      <c r="K8" s="16"/>
      <c r="L8" s="15"/>
      <c r="M8" s="16"/>
      <c r="N8" s="22"/>
      <c r="O8" s="22"/>
      <c r="P8" s="22"/>
      <c r="Q8" s="22"/>
      <c r="R8" s="22"/>
      <c r="S8" s="16"/>
      <c r="T8" s="16"/>
      <c r="U8" s="16"/>
      <c r="V8" s="16"/>
      <c r="W8" s="16"/>
      <c r="X8" s="16"/>
      <c r="Y8" s="16"/>
      <c r="Z8" s="16"/>
    </row>
    <row r="9" spans="1:26" ht="28" x14ac:dyDescent="0.25">
      <c r="A9" s="24"/>
      <c r="B9" s="25"/>
      <c r="C9" s="26" t="s">
        <v>18</v>
      </c>
      <c r="D9" s="27" t="s">
        <v>19</v>
      </c>
      <c r="E9" s="28">
        <v>740.88</v>
      </c>
      <c r="F9" s="29">
        <v>720.96</v>
      </c>
      <c r="G9" s="30">
        <v>755</v>
      </c>
      <c r="H9" s="30">
        <v>760</v>
      </c>
      <c r="I9" s="30">
        <v>760</v>
      </c>
      <c r="J9" s="30">
        <v>760</v>
      </c>
      <c r="K9" s="31">
        <v>760</v>
      </c>
      <c r="L9" s="3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46.5" x14ac:dyDescent="0.25">
      <c r="A10" s="24"/>
      <c r="B10" s="25"/>
      <c r="C10" s="32" t="s">
        <v>20</v>
      </c>
      <c r="D10" s="33" t="s">
        <v>21</v>
      </c>
      <c r="E10" s="34">
        <v>8303</v>
      </c>
      <c r="F10" s="34">
        <v>7942.73</v>
      </c>
      <c r="G10" s="35">
        <f>F10*(1+N10)-45</f>
        <v>7977.1572999999999</v>
      </c>
      <c r="H10" s="35">
        <f t="shared" ref="H10:K10" si="0">G10*(1+O10)</f>
        <v>8256.3578054999998</v>
      </c>
      <c r="I10" s="35">
        <f t="shared" si="0"/>
        <v>8545.3303286924984</v>
      </c>
      <c r="J10" s="35">
        <f t="shared" si="0"/>
        <v>8844.416890196735</v>
      </c>
      <c r="K10" s="36">
        <f t="shared" si="0"/>
        <v>9153.9714813536193</v>
      </c>
      <c r="L10" s="37" t="s">
        <v>22</v>
      </c>
      <c r="M10" s="24"/>
      <c r="N10" s="38">
        <v>0.01</v>
      </c>
      <c r="O10" s="38">
        <v>3.5000000000000003E-2</v>
      </c>
      <c r="P10" s="38">
        <v>3.5000000000000003E-2</v>
      </c>
      <c r="Q10" s="38">
        <v>3.5000000000000003E-2</v>
      </c>
      <c r="R10" s="38">
        <v>3.5000000000000003E-2</v>
      </c>
      <c r="S10" s="24"/>
      <c r="T10" s="24"/>
      <c r="U10" s="24"/>
      <c r="V10" s="24"/>
      <c r="W10" s="24"/>
      <c r="X10" s="24"/>
      <c r="Y10" s="24"/>
      <c r="Z10" s="24"/>
    </row>
    <row r="11" spans="1:26" ht="15.5" x14ac:dyDescent="0.25">
      <c r="A11" s="24"/>
      <c r="B11" s="25"/>
      <c r="C11" s="39"/>
      <c r="D11" s="40"/>
      <c r="E11" s="40"/>
      <c r="F11" s="35"/>
      <c r="G11" s="41"/>
      <c r="H11" s="35"/>
      <c r="I11" s="35"/>
      <c r="J11" s="35"/>
      <c r="K11" s="36"/>
      <c r="L11" s="3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5" hidden="1" x14ac:dyDescent="0.25">
      <c r="A12" s="24"/>
      <c r="B12" s="42"/>
      <c r="C12" s="39" t="s">
        <v>23</v>
      </c>
      <c r="D12" s="40"/>
      <c r="E12" s="40"/>
      <c r="F12" s="35"/>
      <c r="G12" s="35" t="e">
        <f t="shared" ref="G12:G13" si="1">#REF!</f>
        <v>#REF!</v>
      </c>
      <c r="H12" s="35" t="e">
        <f t="shared" ref="H12:K12" si="2">G12</f>
        <v>#REF!</v>
      </c>
      <c r="I12" s="35" t="e">
        <f t="shared" si="2"/>
        <v>#REF!</v>
      </c>
      <c r="J12" s="35" t="e">
        <f t="shared" si="2"/>
        <v>#REF!</v>
      </c>
      <c r="K12" s="36" t="e">
        <f t="shared" si="2"/>
        <v>#REF!</v>
      </c>
      <c r="L12" s="3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5" hidden="1" x14ac:dyDescent="0.25">
      <c r="A13" s="24"/>
      <c r="B13" s="42"/>
      <c r="C13" s="39" t="s">
        <v>24</v>
      </c>
      <c r="D13" s="40"/>
      <c r="E13" s="40"/>
      <c r="F13" s="35"/>
      <c r="G13" s="41" t="e">
        <f t="shared" si="1"/>
        <v>#REF!</v>
      </c>
      <c r="H13" s="35" t="e">
        <f t="shared" ref="H13:K13" si="3">G13</f>
        <v>#REF!</v>
      </c>
      <c r="I13" s="35" t="e">
        <f t="shared" si="3"/>
        <v>#REF!</v>
      </c>
      <c r="J13" s="35" t="e">
        <f t="shared" si="3"/>
        <v>#REF!</v>
      </c>
      <c r="K13" s="36" t="e">
        <f t="shared" si="3"/>
        <v>#REF!</v>
      </c>
      <c r="L13" s="3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5" hidden="1" x14ac:dyDescent="0.25">
      <c r="A14" s="24"/>
      <c r="B14" s="42"/>
      <c r="C14" s="39"/>
      <c r="D14" s="40"/>
      <c r="E14" s="40"/>
      <c r="F14" s="43"/>
      <c r="G14" s="44"/>
      <c r="H14" s="43"/>
      <c r="I14" s="43"/>
      <c r="J14" s="43"/>
      <c r="K14" s="45"/>
      <c r="L14" s="46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.5" x14ac:dyDescent="0.35">
      <c r="A15" s="24"/>
      <c r="B15" s="42"/>
      <c r="C15" s="47" t="s">
        <v>25</v>
      </c>
      <c r="D15" s="48">
        <f t="shared" ref="D15:K15" si="4">(D121+D120)/D25</f>
        <v>0.12717381181692802</v>
      </c>
      <c r="E15" s="48">
        <f t="shared" si="4"/>
        <v>0.10603852162224359</v>
      </c>
      <c r="F15" s="48">
        <f t="shared" si="4"/>
        <v>5.9613548941376306E-2</v>
      </c>
      <c r="G15" s="48">
        <f t="shared" si="4"/>
        <v>5.6858611584926222E-2</v>
      </c>
      <c r="H15" s="48">
        <f t="shared" si="4"/>
        <v>5.5256273522941594E-2</v>
      </c>
      <c r="I15" s="48">
        <f t="shared" si="4"/>
        <v>5.3084539673828514E-2</v>
      </c>
      <c r="J15" s="48">
        <f t="shared" si="4"/>
        <v>5.1524545204709893E-2</v>
      </c>
      <c r="K15" s="49">
        <f t="shared" si="4"/>
        <v>5.0488720941021852E-2</v>
      </c>
      <c r="L15" s="3"/>
      <c r="M15" s="24"/>
      <c r="N15" s="24"/>
      <c r="O15" s="24"/>
      <c r="P15" s="24"/>
      <c r="Q15" s="24"/>
      <c r="R15" s="24"/>
      <c r="S15" s="24"/>
      <c r="T15" s="24"/>
      <c r="U15" s="50">
        <v>0.18</v>
      </c>
      <c r="V15" s="50">
        <v>0.18</v>
      </c>
      <c r="W15" s="50">
        <v>0.18</v>
      </c>
      <c r="X15" s="50">
        <v>0.18</v>
      </c>
      <c r="Y15" s="50">
        <v>0.18</v>
      </c>
      <c r="Z15" s="50">
        <v>0.18</v>
      </c>
    </row>
    <row r="16" spans="1:26" ht="15.5" x14ac:dyDescent="0.35">
      <c r="A16" s="24"/>
      <c r="B16" s="42"/>
      <c r="C16" s="47" t="s">
        <v>26</v>
      </c>
      <c r="D16" s="48">
        <v>0.434</v>
      </c>
      <c r="E16" s="48">
        <f t="shared" ref="E16:K16" si="5">E36/D31</f>
        <v>0.41623136280540601</v>
      </c>
      <c r="F16" s="48">
        <f t="shared" si="5"/>
        <v>0.45556591572326594</v>
      </c>
      <c r="G16" s="48">
        <f t="shared" si="5"/>
        <v>0.47138300342959388</v>
      </c>
      <c r="H16" s="48">
        <f t="shared" si="5"/>
        <v>0.39797143180453254</v>
      </c>
      <c r="I16" s="48">
        <f t="shared" si="5"/>
        <v>0.34486288779899948</v>
      </c>
      <c r="J16" s="48">
        <f t="shared" si="5"/>
        <v>0.28715098418886498</v>
      </c>
      <c r="K16" s="49">
        <f t="shared" si="5"/>
        <v>0.22113234850398908</v>
      </c>
      <c r="L16" s="37"/>
      <c r="M16" s="24"/>
      <c r="N16" s="24"/>
      <c r="O16" s="24"/>
      <c r="P16" s="24"/>
      <c r="Q16" s="24"/>
      <c r="R16" s="24"/>
      <c r="S16" s="24"/>
      <c r="T16" s="24"/>
      <c r="U16" s="50">
        <v>0.08</v>
      </c>
      <c r="V16" s="50">
        <v>0.08</v>
      </c>
      <c r="W16" s="50">
        <v>0.08</v>
      </c>
      <c r="X16" s="50">
        <v>0.08</v>
      </c>
      <c r="Y16" s="50">
        <v>0.08</v>
      </c>
      <c r="Z16" s="50">
        <v>0.08</v>
      </c>
    </row>
    <row r="17" spans="1:26" ht="15.5" x14ac:dyDescent="0.35">
      <c r="A17" s="24"/>
      <c r="B17" s="42"/>
      <c r="C17" s="47" t="s">
        <v>27</v>
      </c>
      <c r="D17" s="48">
        <f t="shared" ref="D17:K17" si="6">(SUM(D120:D121)+D186)/D31</f>
        <v>0.1271312957329255</v>
      </c>
      <c r="E17" s="51">
        <f t="shared" si="6"/>
        <v>0.46959158784262767</v>
      </c>
      <c r="F17" s="48">
        <f t="shared" si="6"/>
        <v>0.11071718047638997</v>
      </c>
      <c r="G17" s="48">
        <f t="shared" si="6"/>
        <v>9.378339454734122E-2</v>
      </c>
      <c r="H17" s="48">
        <f t="shared" si="6"/>
        <v>9.0176267519281067E-2</v>
      </c>
      <c r="I17" s="48">
        <f t="shared" si="6"/>
        <v>8.6819501144073663E-2</v>
      </c>
      <c r="J17" s="48">
        <f t="shared" si="6"/>
        <v>8.4042825213787739E-2</v>
      </c>
      <c r="K17" s="49">
        <f t="shared" si="6"/>
        <v>8.175985859558188E-2</v>
      </c>
      <c r="L17" s="3"/>
      <c r="M17" s="24"/>
      <c r="N17" s="24"/>
      <c r="O17" s="24"/>
      <c r="P17" s="24"/>
      <c r="Q17" s="24"/>
      <c r="R17" s="24"/>
      <c r="S17" s="24"/>
      <c r="T17" s="24"/>
      <c r="U17" s="50">
        <v>0.15</v>
      </c>
      <c r="V17" s="50">
        <v>0.15</v>
      </c>
      <c r="W17" s="50">
        <v>0.15</v>
      </c>
      <c r="X17" s="50">
        <v>0.15</v>
      </c>
      <c r="Y17" s="50">
        <v>0.15</v>
      </c>
      <c r="Z17" s="50">
        <v>0.15</v>
      </c>
    </row>
    <row r="18" spans="1:26" ht="15.5" x14ac:dyDescent="0.35">
      <c r="A18" s="24"/>
      <c r="B18" s="52"/>
      <c r="C18" s="39" t="s">
        <v>28</v>
      </c>
      <c r="D18" s="48">
        <f t="shared" ref="D18:K18" si="7">D36/D25</f>
        <v>0.37882063360838925</v>
      </c>
      <c r="E18" s="48">
        <f t="shared" si="7"/>
        <v>0.39312139709150834</v>
      </c>
      <c r="F18" s="48">
        <f t="shared" si="7"/>
        <v>0.45616501710500912</v>
      </c>
      <c r="G18" s="53">
        <f t="shared" si="7"/>
        <v>0.42590908610928579</v>
      </c>
      <c r="H18" s="48">
        <f t="shared" si="7"/>
        <v>0.38797679860154261</v>
      </c>
      <c r="I18" s="48">
        <f t="shared" si="7"/>
        <v>0.34203672627207449</v>
      </c>
      <c r="J18" s="48">
        <f t="shared" si="7"/>
        <v>0.28737205542450023</v>
      </c>
      <c r="K18" s="49">
        <f t="shared" si="7"/>
        <v>0.22347246927093387</v>
      </c>
      <c r="L18" s="3"/>
      <c r="M18" s="24"/>
      <c r="N18" s="24"/>
      <c r="O18" s="24"/>
      <c r="P18" s="24"/>
      <c r="Q18" s="24"/>
      <c r="R18" s="24"/>
      <c r="S18" s="24"/>
      <c r="T18" s="24"/>
      <c r="U18" s="50">
        <v>0.03</v>
      </c>
      <c r="V18" s="50">
        <v>0.03</v>
      </c>
      <c r="W18" s="50">
        <v>0.03</v>
      </c>
      <c r="X18" s="50">
        <v>0.03</v>
      </c>
      <c r="Y18" s="50">
        <v>0.03</v>
      </c>
      <c r="Z18" s="50">
        <v>0.03</v>
      </c>
    </row>
    <row r="19" spans="1:26" ht="15.5" x14ac:dyDescent="0.35">
      <c r="A19" s="24"/>
      <c r="B19" s="52"/>
      <c r="C19" s="39" t="s">
        <v>29</v>
      </c>
      <c r="D19" s="54">
        <f t="shared" ref="D19:K19" si="8">D164/SUM(D120:D121)</f>
        <v>0.99737031884349525</v>
      </c>
      <c r="E19" s="54">
        <f t="shared" si="8"/>
        <v>1.3343429045116662</v>
      </c>
      <c r="F19" s="54">
        <f t="shared" si="8"/>
        <v>1.1435953032875288</v>
      </c>
      <c r="G19" s="54">
        <f t="shared" si="8"/>
        <v>0.87587530242588385</v>
      </c>
      <c r="H19" s="54">
        <f t="shared" si="8"/>
        <v>0.55975718505687699</v>
      </c>
      <c r="I19" s="54">
        <f t="shared" si="8"/>
        <v>0.36662831625339382</v>
      </c>
      <c r="J19" s="54">
        <f t="shared" si="8"/>
        <v>0.15004646676820688</v>
      </c>
      <c r="K19" s="55">
        <f t="shared" si="8"/>
        <v>-8.452125567796108E-2</v>
      </c>
      <c r="L19" s="3"/>
      <c r="M19" s="24"/>
      <c r="N19" s="24"/>
      <c r="O19" s="24"/>
      <c r="P19" s="24"/>
      <c r="Q19" s="24"/>
      <c r="R19" s="24"/>
      <c r="S19" s="24"/>
      <c r="T19" s="24"/>
      <c r="U19" s="56">
        <v>1.5</v>
      </c>
      <c r="V19" s="56">
        <v>1.5</v>
      </c>
      <c r="W19" s="56">
        <v>1.5</v>
      </c>
      <c r="X19" s="56">
        <v>1.5</v>
      </c>
      <c r="Y19" s="56">
        <v>1.5</v>
      </c>
      <c r="Z19" s="56">
        <v>1.5</v>
      </c>
    </row>
    <row r="20" spans="1:26" ht="15.5" x14ac:dyDescent="0.35">
      <c r="A20" s="24"/>
      <c r="B20" s="52"/>
      <c r="C20" s="39" t="s">
        <v>30</v>
      </c>
      <c r="D20" s="51">
        <f t="shared" ref="D20:K20" si="9">D33/SUM(D120+D121)</f>
        <v>-2.6296811565047306E-3</v>
      </c>
      <c r="E20" s="51">
        <f t="shared" si="9"/>
        <v>0.33434290451166609</v>
      </c>
      <c r="F20" s="51">
        <f t="shared" si="9"/>
        <v>0.80615774273823149</v>
      </c>
      <c r="G20" s="51">
        <f t="shared" si="9"/>
        <v>-0.12412469757411619</v>
      </c>
      <c r="H20" s="51">
        <f t="shared" si="9"/>
        <v>-0.44024281494312301</v>
      </c>
      <c r="I20" s="51">
        <f t="shared" si="9"/>
        <v>-0.63337168374660624</v>
      </c>
      <c r="J20" s="51">
        <f t="shared" si="9"/>
        <v>-0.84995353323179312</v>
      </c>
      <c r="K20" s="57">
        <f t="shared" si="9"/>
        <v>-1.0845212556779611</v>
      </c>
      <c r="L20" s="3"/>
      <c r="M20" s="24"/>
      <c r="N20" s="24"/>
      <c r="O20" s="24"/>
      <c r="P20" s="24"/>
      <c r="Q20" s="24"/>
      <c r="R20" s="24"/>
      <c r="S20" s="24"/>
      <c r="T20" s="24"/>
      <c r="U20" s="50">
        <v>0.1</v>
      </c>
      <c r="V20" s="50">
        <v>0.1</v>
      </c>
      <c r="W20" s="50">
        <v>0.1</v>
      </c>
      <c r="X20" s="50">
        <v>0.1</v>
      </c>
      <c r="Y20" s="50">
        <v>0.1</v>
      </c>
      <c r="Z20" s="50">
        <v>0.1</v>
      </c>
    </row>
    <row r="21" spans="1:26" ht="15.5" x14ac:dyDescent="0.35">
      <c r="A21" s="24"/>
      <c r="B21" s="52"/>
      <c r="C21" s="39" t="s">
        <v>31</v>
      </c>
      <c r="D21" s="58">
        <f t="shared" ref="D21:K21" si="10">(D25-(D31-D201))/(D120+D121)</f>
        <v>0.99737031884349481</v>
      </c>
      <c r="E21" s="58">
        <f t="shared" si="10"/>
        <v>1.3343429045116662</v>
      </c>
      <c r="F21" s="58">
        <f t="shared" si="10"/>
        <v>1.8061577427382314</v>
      </c>
      <c r="G21" s="58">
        <f t="shared" si="10"/>
        <v>0.87587530242588385</v>
      </c>
      <c r="H21" s="58">
        <f t="shared" si="10"/>
        <v>0.55975718505687699</v>
      </c>
      <c r="I21" s="58">
        <f t="shared" si="10"/>
        <v>0.36662831625339382</v>
      </c>
      <c r="J21" s="58">
        <f t="shared" si="10"/>
        <v>0.15004646676820688</v>
      </c>
      <c r="K21" s="59">
        <f t="shared" si="10"/>
        <v>-8.452125567796108E-2</v>
      </c>
      <c r="L21" s="3"/>
      <c r="M21" s="24"/>
      <c r="N21" s="24"/>
      <c r="O21" s="24"/>
      <c r="P21" s="24"/>
      <c r="Q21" s="24"/>
      <c r="R21" s="24"/>
      <c r="S21" s="24"/>
      <c r="T21" s="24"/>
      <c r="U21" s="24">
        <v>1</v>
      </c>
      <c r="V21" s="24">
        <v>1</v>
      </c>
      <c r="W21" s="24">
        <v>1</v>
      </c>
      <c r="X21" s="24">
        <v>1</v>
      </c>
      <c r="Y21" s="24">
        <v>1</v>
      </c>
      <c r="Z21" s="24">
        <v>1</v>
      </c>
    </row>
    <row r="22" spans="1:26" ht="15.5" x14ac:dyDescent="0.35">
      <c r="A22" s="24"/>
      <c r="B22" s="52"/>
      <c r="C22" s="39" t="s">
        <v>32</v>
      </c>
      <c r="D22" s="51">
        <f t="shared" ref="D22:K22" si="11">(D189)/D31</f>
        <v>0</v>
      </c>
      <c r="E22" s="51">
        <f t="shared" si="11"/>
        <v>3.3645948001311202E-7</v>
      </c>
      <c r="F22" s="51">
        <f t="shared" si="11"/>
        <v>0.2253091152570095</v>
      </c>
      <c r="G22" s="51">
        <f t="shared" si="11"/>
        <v>0.31333523243708916</v>
      </c>
      <c r="H22" s="51">
        <f t="shared" si="11"/>
        <v>0.2698065701004258</v>
      </c>
      <c r="I22" s="51">
        <f t="shared" si="11"/>
        <v>0.22192879398142504</v>
      </c>
      <c r="J22" s="51">
        <f t="shared" si="11"/>
        <v>0.16630806174801205</v>
      </c>
      <c r="K22" s="57">
        <f t="shared" si="11"/>
        <v>0.10283986018958233</v>
      </c>
      <c r="L22" s="3"/>
      <c r="M22" s="24"/>
      <c r="N22" s="24"/>
      <c r="O22" s="24"/>
      <c r="P22" s="24"/>
      <c r="Q22" s="24"/>
      <c r="R22" s="24"/>
      <c r="S22" s="24"/>
      <c r="T22" s="24"/>
      <c r="U22" s="24" t="e">
        <f>#REF!</f>
        <v>#REF!</v>
      </c>
      <c r="V22" s="24" t="e">
        <f t="shared" ref="V22:Z22" si="12">U22</f>
        <v>#REF!</v>
      </c>
      <c r="W22" s="24" t="e">
        <f t="shared" si="12"/>
        <v>#REF!</v>
      </c>
      <c r="X22" s="24" t="e">
        <f t="shared" si="12"/>
        <v>#REF!</v>
      </c>
      <c r="Y22" s="24" t="e">
        <f t="shared" si="12"/>
        <v>#REF!</v>
      </c>
      <c r="Z22" s="24" t="e">
        <f t="shared" si="12"/>
        <v>#REF!</v>
      </c>
    </row>
    <row r="23" spans="1:26" ht="15.5" x14ac:dyDescent="0.35">
      <c r="A23" s="24"/>
      <c r="B23" s="52"/>
      <c r="C23" s="39" t="s">
        <v>33</v>
      </c>
      <c r="D23" s="60">
        <f t="shared" ref="D23:K23" si="13">(D36-D160)/D162</f>
        <v>131.63273868945487</v>
      </c>
      <c r="E23" s="60">
        <f t="shared" si="13"/>
        <v>141.07097260170562</v>
      </c>
      <c r="F23" s="60">
        <f t="shared" si="13"/>
        <v>158.92538249973251</v>
      </c>
      <c r="G23" s="60">
        <f t="shared" si="13"/>
        <v>143.49409851165444</v>
      </c>
      <c r="H23" s="60">
        <f t="shared" si="13"/>
        <v>128.29920286748165</v>
      </c>
      <c r="I23" s="60">
        <f t="shared" si="13"/>
        <v>110.80240933030427</v>
      </c>
      <c r="J23" s="60">
        <f t="shared" si="13"/>
        <v>90.479970446205328</v>
      </c>
      <c r="K23" s="61">
        <f t="shared" si="13"/>
        <v>67.293893977829356</v>
      </c>
      <c r="L23" s="3"/>
      <c r="M23" s="24"/>
      <c r="N23" s="24"/>
      <c r="O23" s="24"/>
      <c r="P23" s="24"/>
      <c r="Q23" s="24"/>
      <c r="R23" s="24"/>
      <c r="S23" s="24"/>
      <c r="T23" s="24"/>
      <c r="U23" s="24">
        <v>40</v>
      </c>
      <c r="V23" s="24">
        <v>40</v>
      </c>
      <c r="W23" s="24">
        <v>40</v>
      </c>
      <c r="X23" s="24">
        <v>40</v>
      </c>
      <c r="Y23" s="24">
        <v>40</v>
      </c>
      <c r="Z23" s="24">
        <v>40</v>
      </c>
    </row>
    <row r="24" spans="1:26" ht="15.5" x14ac:dyDescent="0.25">
      <c r="A24" s="24"/>
      <c r="B24" s="25"/>
      <c r="C24" s="62"/>
      <c r="D24" s="63"/>
      <c r="E24" s="63"/>
      <c r="F24" s="64"/>
      <c r="G24" s="64"/>
      <c r="H24" s="64"/>
      <c r="I24" s="64"/>
      <c r="J24" s="64"/>
      <c r="K24" s="65"/>
      <c r="L24" s="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5.5" x14ac:dyDescent="0.25">
      <c r="A25" s="24"/>
      <c r="B25" s="25"/>
      <c r="C25" s="66" t="str">
        <f t="shared" ref="C25:E25" si="14">C63</f>
        <v>REVENUE</v>
      </c>
      <c r="D25" s="67">
        <f t="shared" si="14"/>
        <v>7614646.0200000005</v>
      </c>
      <c r="E25" s="67">
        <f t="shared" si="14"/>
        <v>8064975.5099999998</v>
      </c>
      <c r="F25" s="68">
        <v>7768829.54</v>
      </c>
      <c r="G25" s="67">
        <f t="shared" ref="G25:K25" si="15">G63</f>
        <v>8185083.7899000002</v>
      </c>
      <c r="H25" s="67">
        <f t="shared" si="15"/>
        <v>8455193.7764319982</v>
      </c>
      <c r="I25" s="67">
        <f t="shared" si="15"/>
        <v>8732438.9143858571</v>
      </c>
      <c r="J25" s="67">
        <f t="shared" si="15"/>
        <v>9019099.5020664632</v>
      </c>
      <c r="K25" s="69">
        <f t="shared" si="15"/>
        <v>9315496.4363112058</v>
      </c>
      <c r="L25" s="70"/>
      <c r="M25" s="24"/>
      <c r="N25" s="71">
        <f t="shared" ref="N25:R25" si="16">(G25-F25)/F25</f>
        <v>5.3580046744081372E-2</v>
      </c>
      <c r="O25" s="71">
        <f t="shared" si="16"/>
        <v>3.3000271404099828E-2</v>
      </c>
      <c r="P25" s="71">
        <f t="shared" si="16"/>
        <v>3.2789921234762445E-2</v>
      </c>
      <c r="Q25" s="71">
        <f t="shared" si="16"/>
        <v>3.2827093380333905E-2</v>
      </c>
      <c r="R25" s="71">
        <f t="shared" si="16"/>
        <v>3.286325138965724E-2</v>
      </c>
      <c r="S25" s="24"/>
      <c r="T25" s="24"/>
      <c r="U25" s="24"/>
      <c r="V25" s="24"/>
      <c r="W25" s="24"/>
      <c r="X25" s="24"/>
      <c r="Y25" s="24"/>
      <c r="Z25" s="24"/>
    </row>
    <row r="26" spans="1:26" ht="15.5" x14ac:dyDescent="0.25">
      <c r="A26" s="24"/>
      <c r="B26" s="25"/>
      <c r="C26" s="66" t="str">
        <f t="shared" ref="C26:E26" si="17">C90</f>
        <v>Salaries</v>
      </c>
      <c r="D26" s="67">
        <f t="shared" si="17"/>
        <v>3770763.8900000006</v>
      </c>
      <c r="E26" s="67">
        <f t="shared" si="17"/>
        <v>4187966.3800000004</v>
      </c>
      <c r="F26" s="67">
        <f>4176477.99-112925.76</f>
        <v>4063552.2300000004</v>
      </c>
      <c r="G26" s="67">
        <f t="shared" ref="G26:K26" si="18">G90</f>
        <v>4736825</v>
      </c>
      <c r="H26" s="67">
        <f t="shared" si="18"/>
        <v>4972241.25</v>
      </c>
      <c r="I26" s="67">
        <f t="shared" si="18"/>
        <v>5219413.3124999991</v>
      </c>
      <c r="J26" s="67">
        <f t="shared" si="18"/>
        <v>5478928.5281250002</v>
      </c>
      <c r="K26" s="69">
        <f t="shared" si="18"/>
        <v>5751403.5910312487</v>
      </c>
      <c r="L26" s="70"/>
      <c r="M26" s="24"/>
      <c r="N26" s="71">
        <f t="shared" ref="N26:R26" si="19">(G26-F26)/F26</f>
        <v>0.16568576749904343</v>
      </c>
      <c r="O26" s="71">
        <f t="shared" si="19"/>
        <v>4.969916558032015E-2</v>
      </c>
      <c r="P26" s="71">
        <f t="shared" si="19"/>
        <v>4.9710392169728099E-2</v>
      </c>
      <c r="Q26" s="71">
        <f t="shared" si="19"/>
        <v>4.9721146819985844E-2</v>
      </c>
      <c r="R26" s="71">
        <f t="shared" si="19"/>
        <v>4.9731450503059389E-2</v>
      </c>
      <c r="S26" s="24"/>
      <c r="T26" s="24"/>
      <c r="U26" s="24"/>
      <c r="V26" s="24"/>
      <c r="W26" s="24"/>
      <c r="X26" s="24"/>
      <c r="Y26" s="24"/>
      <c r="Z26" s="24"/>
    </row>
    <row r="27" spans="1:26" ht="15.5" x14ac:dyDescent="0.25">
      <c r="A27" s="24"/>
      <c r="B27" s="25"/>
      <c r="C27" s="66" t="str">
        <f t="shared" ref="C27:E27" si="20">C94</f>
        <v>Benefits</v>
      </c>
      <c r="D27" s="67">
        <f t="shared" si="20"/>
        <v>976220.81</v>
      </c>
      <c r="E27" s="67">
        <f t="shared" si="20"/>
        <v>1123822.79</v>
      </c>
      <c r="F27" s="68">
        <v>1204086.22</v>
      </c>
      <c r="G27" s="67">
        <f t="shared" ref="G27:K27" si="21">G94</f>
        <v>1436280.3032157617</v>
      </c>
      <c r="H27" s="67">
        <f t="shared" si="21"/>
        <v>1520092.8263804638</v>
      </c>
      <c r="I27" s="67">
        <f t="shared" si="21"/>
        <v>1608705.7574982266</v>
      </c>
      <c r="J27" s="67">
        <f t="shared" si="21"/>
        <v>1702389.7611524239</v>
      </c>
      <c r="K27" s="69">
        <f t="shared" si="21"/>
        <v>1801430.5693213237</v>
      </c>
      <c r="L27" s="70"/>
      <c r="M27" s="24"/>
      <c r="N27" s="71">
        <f t="shared" ref="N27:R27" si="22">(G27-F27)/F27</f>
        <v>0.19283841917546543</v>
      </c>
      <c r="O27" s="71">
        <f t="shared" si="22"/>
        <v>5.8353876313035805E-2</v>
      </c>
      <c r="P27" s="71">
        <f t="shared" si="22"/>
        <v>5.8294420958989443E-2</v>
      </c>
      <c r="Q27" s="71">
        <f t="shared" si="22"/>
        <v>5.8235636453424326E-2</v>
      </c>
      <c r="R27" s="71">
        <f t="shared" si="22"/>
        <v>5.8177516353161436E-2</v>
      </c>
      <c r="S27" s="24"/>
      <c r="T27" s="24"/>
      <c r="U27" s="24"/>
      <c r="V27" s="24"/>
      <c r="W27" s="24"/>
      <c r="X27" s="24"/>
      <c r="Y27" s="24"/>
      <c r="Z27" s="24"/>
    </row>
    <row r="28" spans="1:26" ht="15.5" x14ac:dyDescent="0.25">
      <c r="A28" s="24"/>
      <c r="B28" s="25"/>
      <c r="C28" s="66" t="str">
        <f t="shared" ref="C28:E28" si="23">C123</f>
        <v>PURCHASE SERVICES</v>
      </c>
      <c r="D28" s="67">
        <f t="shared" si="23"/>
        <v>2143622.6500000004</v>
      </c>
      <c r="E28" s="67">
        <f t="shared" si="23"/>
        <v>2041729.21</v>
      </c>
      <c r="F28" s="68">
        <v>1855514.49</v>
      </c>
      <c r="G28" s="67">
        <f t="shared" ref="G28:K28" si="24">G123</f>
        <v>1828133.19</v>
      </c>
      <c r="H28" s="67">
        <f t="shared" si="24"/>
        <v>1857198.0037999998</v>
      </c>
      <c r="I28" s="67">
        <f t="shared" si="24"/>
        <v>1881352.9138759999</v>
      </c>
      <c r="J28" s="67">
        <f t="shared" si="24"/>
        <v>1910856.3221535198</v>
      </c>
      <c r="K28" s="69">
        <f t="shared" si="24"/>
        <v>1945401.8485965901</v>
      </c>
      <c r="L28" s="70"/>
      <c r="M28" s="24"/>
      <c r="N28" s="71">
        <f t="shared" ref="N28:R28" si="25">(G28-F28)/F28</f>
        <v>-1.4756715804466742E-2</v>
      </c>
      <c r="O28" s="71">
        <f t="shared" si="25"/>
        <v>1.589863033994798E-2</v>
      </c>
      <c r="P28" s="71">
        <f t="shared" si="25"/>
        <v>1.3006103833073714E-2</v>
      </c>
      <c r="Q28" s="71">
        <f t="shared" si="25"/>
        <v>1.5682016946377424E-2</v>
      </c>
      <c r="R28" s="71">
        <f t="shared" si="25"/>
        <v>1.8078557787190266E-2</v>
      </c>
      <c r="S28" s="24"/>
      <c r="T28" s="24"/>
      <c r="U28" s="24"/>
      <c r="V28" s="24"/>
      <c r="W28" s="24"/>
      <c r="X28" s="24"/>
      <c r="Y28" s="24"/>
      <c r="Z28" s="24"/>
    </row>
    <row r="29" spans="1:26" ht="15.5" x14ac:dyDescent="0.25">
      <c r="A29" s="24"/>
      <c r="B29" s="25"/>
      <c r="C29" s="66" t="str">
        <f t="shared" ref="C29:E29" si="26">C142</f>
        <v>MATERIAL AND SUPPLIES</v>
      </c>
      <c r="D29" s="67">
        <f t="shared" si="26"/>
        <v>474529.70999999996</v>
      </c>
      <c r="E29" s="67">
        <f t="shared" si="26"/>
        <v>223705.12000000005</v>
      </c>
      <c r="F29" s="68">
        <v>235563.26</v>
      </c>
      <c r="G29" s="67">
        <f t="shared" ref="G29:K29" si="27">G142</f>
        <v>241612</v>
      </c>
      <c r="H29" s="67">
        <f t="shared" si="27"/>
        <v>261344.24</v>
      </c>
      <c r="I29" s="67">
        <f t="shared" si="27"/>
        <v>266571.12480000005</v>
      </c>
      <c r="J29" s="67">
        <f t="shared" si="27"/>
        <v>271902.54729600006</v>
      </c>
      <c r="K29" s="69">
        <f t="shared" si="27"/>
        <v>277340.59824192</v>
      </c>
      <c r="L29" s="70"/>
      <c r="M29" s="24"/>
      <c r="N29" s="71">
        <f t="shared" ref="N29:R29" si="28">(G29-F29)/F29</f>
        <v>2.5677773350564051E-2</v>
      </c>
      <c r="O29" s="71">
        <f t="shared" si="28"/>
        <v>8.1669122394583016E-2</v>
      </c>
      <c r="P29" s="71">
        <f t="shared" si="28"/>
        <v>2.0000000000000222E-2</v>
      </c>
      <c r="Q29" s="71">
        <f t="shared" si="28"/>
        <v>2.0000000000000049E-2</v>
      </c>
      <c r="R29" s="71">
        <f t="shared" si="28"/>
        <v>1.9999999999999768E-2</v>
      </c>
      <c r="S29" s="24"/>
      <c r="T29" s="24"/>
      <c r="U29" s="24"/>
      <c r="V29" s="24"/>
      <c r="W29" s="24"/>
      <c r="X29" s="24"/>
      <c r="Y29" s="24"/>
      <c r="Z29" s="24"/>
    </row>
    <row r="30" spans="1:26" ht="15.5" x14ac:dyDescent="0.25">
      <c r="A30" s="24"/>
      <c r="B30" s="25"/>
      <c r="C30" s="66" t="str">
        <f t="shared" ref="C30:E30" si="29">C150</f>
        <v>CAPITAL OUTLAY</v>
      </c>
      <c r="D30" s="72">
        <f t="shared" si="29"/>
        <v>252055.5</v>
      </c>
      <c r="E30" s="72">
        <f t="shared" si="29"/>
        <v>201822.6</v>
      </c>
      <c r="F30" s="73">
        <v>36759.519999999997</v>
      </c>
      <c r="G30" s="72">
        <v>0</v>
      </c>
      <c r="H30" s="72">
        <f t="shared" ref="H30:K30" si="30">H150</f>
        <v>50000</v>
      </c>
      <c r="I30" s="72">
        <f t="shared" si="30"/>
        <v>50000</v>
      </c>
      <c r="J30" s="72">
        <f t="shared" si="30"/>
        <v>50000</v>
      </c>
      <c r="K30" s="74">
        <f t="shared" si="30"/>
        <v>50000</v>
      </c>
      <c r="L30" s="70"/>
      <c r="M30" s="24"/>
      <c r="N30" s="71">
        <f t="shared" ref="N30:R30" si="31">(G30-F30)/F30</f>
        <v>-1</v>
      </c>
      <c r="O30" s="71" t="e">
        <f t="shared" si="31"/>
        <v>#DIV/0!</v>
      </c>
      <c r="P30" s="71">
        <f t="shared" si="31"/>
        <v>0</v>
      </c>
      <c r="Q30" s="71">
        <f t="shared" si="31"/>
        <v>0</v>
      </c>
      <c r="R30" s="71">
        <f t="shared" si="31"/>
        <v>0</v>
      </c>
      <c r="S30" s="24"/>
      <c r="T30" s="24"/>
      <c r="U30" s="24"/>
      <c r="V30" s="24"/>
      <c r="W30" s="24"/>
      <c r="X30" s="24"/>
      <c r="Y30" s="24"/>
      <c r="Z30" s="24"/>
    </row>
    <row r="31" spans="1:26" ht="15.5" x14ac:dyDescent="0.25">
      <c r="A31" s="24"/>
      <c r="B31" s="25"/>
      <c r="C31" s="75" t="str">
        <f t="shared" ref="C31:E31" si="32">C152</f>
        <v>Total Expenditures</v>
      </c>
      <c r="D31" s="76">
        <f t="shared" si="32"/>
        <v>7617192.5600000015</v>
      </c>
      <c r="E31" s="77">
        <f t="shared" si="32"/>
        <v>7779046.0999999996</v>
      </c>
      <c r="F31" s="77">
        <f>SUM(F26:F30)</f>
        <v>7395475.7199999997</v>
      </c>
      <c r="G31" s="77">
        <f t="shared" ref="G31:K31" si="33">G152</f>
        <v>8242850.4932157621</v>
      </c>
      <c r="H31" s="77">
        <f t="shared" si="33"/>
        <v>8660876.3201804627</v>
      </c>
      <c r="I31" s="77">
        <f t="shared" si="33"/>
        <v>9026043.1086742245</v>
      </c>
      <c r="J31" s="77">
        <f t="shared" si="33"/>
        <v>9414077.1587269437</v>
      </c>
      <c r="K31" s="78">
        <f t="shared" si="33"/>
        <v>9825576.6071910821</v>
      </c>
      <c r="L31" s="70"/>
      <c r="M31" s="24"/>
      <c r="N31" s="71">
        <f t="shared" ref="N31:R31" si="34">(G31-F31)/F31</f>
        <v>0.11458015755824325</v>
      </c>
      <c r="O31" s="71">
        <f t="shared" si="34"/>
        <v>5.0713746089263018E-2</v>
      </c>
      <c r="P31" s="71">
        <f t="shared" si="34"/>
        <v>4.2162799120326541E-2</v>
      </c>
      <c r="Q31" s="71">
        <f t="shared" si="34"/>
        <v>4.299049377238294E-2</v>
      </c>
      <c r="R31" s="71">
        <f t="shared" si="34"/>
        <v>4.3711076670183688E-2</v>
      </c>
      <c r="S31" s="24"/>
      <c r="T31" s="24"/>
      <c r="U31" s="24"/>
      <c r="V31" s="24"/>
      <c r="W31" s="24"/>
      <c r="X31" s="24"/>
      <c r="Y31" s="24"/>
      <c r="Z31" s="24"/>
    </row>
    <row r="32" spans="1:26" ht="15.5" x14ac:dyDescent="0.25">
      <c r="A32" s="24"/>
      <c r="B32" s="25"/>
      <c r="C32" s="66" t="str">
        <f t="shared" ref="C32:C33" si="35">C153</f>
        <v>Building Fund Contingency</v>
      </c>
      <c r="D32" s="79"/>
      <c r="E32" s="79"/>
      <c r="F32" s="80">
        <f t="shared" ref="F32:K32" si="36">F153</f>
        <v>0</v>
      </c>
      <c r="G32" s="80">
        <f t="shared" si="36"/>
        <v>0</v>
      </c>
      <c r="H32" s="80">
        <f t="shared" si="36"/>
        <v>0</v>
      </c>
      <c r="I32" s="80">
        <f t="shared" si="36"/>
        <v>0</v>
      </c>
      <c r="J32" s="80">
        <f t="shared" si="36"/>
        <v>0</v>
      </c>
      <c r="K32" s="81">
        <f t="shared" si="36"/>
        <v>0</v>
      </c>
      <c r="L32" s="70"/>
      <c r="M32" s="24"/>
      <c r="N32" s="71"/>
      <c r="O32" s="71"/>
      <c r="P32" s="71"/>
      <c r="Q32" s="71"/>
      <c r="R32" s="71"/>
      <c r="S32" s="24"/>
      <c r="T32" s="24"/>
      <c r="U32" s="24"/>
      <c r="V32" s="24"/>
      <c r="W32" s="24"/>
      <c r="X32" s="24"/>
      <c r="Y32" s="24"/>
      <c r="Z32" s="24"/>
    </row>
    <row r="33" spans="1:26" ht="15.5" x14ac:dyDescent="0.25">
      <c r="A33" s="24"/>
      <c r="B33" s="25"/>
      <c r="C33" s="75" t="str">
        <f t="shared" si="35"/>
        <v>REVENUE OVER EXPENSES</v>
      </c>
      <c r="D33" s="77">
        <f t="shared" ref="D33:E33" si="37">D154</f>
        <v>-2546.5400000009686</v>
      </c>
      <c r="E33" s="77">
        <f t="shared" si="37"/>
        <v>285929.41000000015</v>
      </c>
      <c r="F33" s="77">
        <f t="shared" ref="F33:G33" si="38">F25-F31</f>
        <v>373353.8200000003</v>
      </c>
      <c r="G33" s="77">
        <f t="shared" si="38"/>
        <v>-57766.703315761872</v>
      </c>
      <c r="H33" s="77">
        <f t="shared" ref="H33:K33" si="39">H154</f>
        <v>-205682.54374846444</v>
      </c>
      <c r="I33" s="77">
        <f t="shared" si="39"/>
        <v>-293604.19428836741</v>
      </c>
      <c r="J33" s="77">
        <f t="shared" si="39"/>
        <v>-394977.65666048042</v>
      </c>
      <c r="K33" s="78">
        <f t="shared" si="39"/>
        <v>-510080.17087987624</v>
      </c>
      <c r="L33" s="82" t="s">
        <v>34</v>
      </c>
      <c r="M33" s="24"/>
      <c r="N33" s="71">
        <f t="shared" ref="N33:R33" si="40">(G33-F33)/F33</f>
        <v>-1.1547237505585501</v>
      </c>
      <c r="O33" s="71">
        <f t="shared" si="40"/>
        <v>2.5605726472596393</v>
      </c>
      <c r="P33" s="71">
        <f t="shared" si="40"/>
        <v>0.42746287039032871</v>
      </c>
      <c r="Q33" s="71">
        <f t="shared" si="40"/>
        <v>0.34527252792767554</v>
      </c>
      <c r="R33" s="71">
        <f t="shared" si="40"/>
        <v>0.29141525420091546</v>
      </c>
      <c r="S33" s="24"/>
      <c r="T33" s="24"/>
      <c r="U33" s="24"/>
      <c r="V33" s="24"/>
      <c r="W33" s="24"/>
      <c r="X33" s="24"/>
      <c r="Y33" s="24"/>
      <c r="Z33" s="24"/>
    </row>
    <row r="34" spans="1:26" ht="15.5" x14ac:dyDescent="0.25">
      <c r="A34" s="24"/>
      <c r="B34" s="25"/>
      <c r="C34" s="75" t="s">
        <v>35</v>
      </c>
      <c r="D34" s="83">
        <f t="shared" ref="D34:K34" si="41">D33/D25</f>
        <v>-3.3442657653585429E-4</v>
      </c>
      <c r="E34" s="83">
        <f t="shared" si="41"/>
        <v>3.5453227309304024E-2</v>
      </c>
      <c r="F34" s="83">
        <f t="shared" si="41"/>
        <v>4.8057924051195015E-2</v>
      </c>
      <c r="G34" s="83">
        <f t="shared" si="41"/>
        <v>-7.0575579674631069E-3</v>
      </c>
      <c r="H34" s="83">
        <f t="shared" si="41"/>
        <v>-2.4326177399006967E-2</v>
      </c>
      <c r="I34" s="83">
        <f t="shared" si="41"/>
        <v>-3.362224427412628E-2</v>
      </c>
      <c r="J34" s="83">
        <f t="shared" si="41"/>
        <v>-4.3793469244904418E-2</v>
      </c>
      <c r="K34" s="84">
        <f t="shared" si="41"/>
        <v>-5.4756091032531186E-2</v>
      </c>
      <c r="L34" s="85"/>
      <c r="M34" s="24"/>
      <c r="N34" s="71">
        <f t="shared" ref="N34:R34" si="42">(G34-F34)/F34</f>
        <v>-1.1468552399380558</v>
      </c>
      <c r="O34" s="71">
        <f t="shared" si="42"/>
        <v>2.4468264392805548</v>
      </c>
      <c r="P34" s="71">
        <f t="shared" si="42"/>
        <v>0.38214252583304736</v>
      </c>
      <c r="Q34" s="71">
        <f t="shared" si="42"/>
        <v>0.30251475445395298</v>
      </c>
      <c r="R34" s="71">
        <f t="shared" si="42"/>
        <v>0.25032549319901898</v>
      </c>
      <c r="S34" s="24"/>
      <c r="T34" s="24"/>
      <c r="U34" s="50">
        <v>0.03</v>
      </c>
      <c r="V34" s="50">
        <v>0.03</v>
      </c>
      <c r="W34" s="50">
        <v>0.03</v>
      </c>
      <c r="X34" s="50">
        <v>0.03</v>
      </c>
      <c r="Y34" s="50">
        <v>0.03</v>
      </c>
      <c r="Z34" s="50">
        <v>0.03</v>
      </c>
    </row>
    <row r="35" spans="1:26" ht="15.5" x14ac:dyDescent="0.25">
      <c r="A35" s="24"/>
      <c r="B35" s="25"/>
      <c r="C35" s="66"/>
      <c r="D35" s="79"/>
      <c r="E35" s="79"/>
      <c r="F35" s="80"/>
      <c r="G35" s="80"/>
      <c r="H35" s="80"/>
      <c r="I35" s="80"/>
      <c r="J35" s="80"/>
      <c r="K35" s="81"/>
      <c r="L35" s="70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5" x14ac:dyDescent="0.25">
      <c r="A36" s="24"/>
      <c r="B36" s="25"/>
      <c r="C36" s="86" t="s">
        <v>36</v>
      </c>
      <c r="D36" s="87">
        <v>2884585.03</v>
      </c>
      <c r="E36" s="88">
        <f t="shared" ref="E36:F36" si="43">D36+E33</f>
        <v>3170514.44</v>
      </c>
      <c r="F36" s="88">
        <f t="shared" si="43"/>
        <v>3543868.2600000002</v>
      </c>
      <c r="G36" s="88">
        <f t="shared" ref="G36:K36" si="44">F36+G154</f>
        <v>3486101.5566842384</v>
      </c>
      <c r="H36" s="88">
        <f t="shared" si="44"/>
        <v>3280419.0129357739</v>
      </c>
      <c r="I36" s="88">
        <f t="shared" si="44"/>
        <v>2986814.8186474065</v>
      </c>
      <c r="J36" s="88">
        <f t="shared" si="44"/>
        <v>2591837.1619869261</v>
      </c>
      <c r="K36" s="89">
        <f t="shared" si="44"/>
        <v>2081756.9911070499</v>
      </c>
      <c r="L36" s="90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5" x14ac:dyDescent="0.25">
      <c r="A37" s="24"/>
      <c r="B37" s="25"/>
      <c r="C37" s="24"/>
      <c r="D37" s="24"/>
      <c r="E37" s="24"/>
      <c r="F37" s="24"/>
      <c r="G37" s="24"/>
      <c r="H37" s="24"/>
      <c r="I37" s="24"/>
      <c r="J37" s="24"/>
      <c r="K37" s="24"/>
      <c r="L37" s="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5" x14ac:dyDescent="0.25">
      <c r="A38" s="24"/>
      <c r="B38" s="25"/>
      <c r="C38" s="24"/>
      <c r="D38" s="197"/>
      <c r="E38" s="198"/>
      <c r="F38" s="198"/>
      <c r="G38" s="198"/>
      <c r="H38" s="198"/>
      <c r="I38" s="198"/>
      <c r="J38" s="24"/>
      <c r="K38" s="24"/>
      <c r="L38" s="3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5" x14ac:dyDescent="0.25">
      <c r="A39" s="24"/>
      <c r="B39" s="25"/>
      <c r="C39" s="24"/>
      <c r="D39" s="24"/>
      <c r="E39" s="24"/>
      <c r="F39" s="24"/>
      <c r="G39" s="24"/>
      <c r="H39" s="24"/>
      <c r="I39" s="24"/>
      <c r="J39" s="24"/>
      <c r="K39" s="24"/>
      <c r="L39" s="3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5" x14ac:dyDescent="0.25">
      <c r="A40" s="24"/>
      <c r="B40" s="25"/>
      <c r="C40" s="91"/>
      <c r="D40" s="92"/>
      <c r="E40" s="92"/>
      <c r="F40" s="93"/>
      <c r="G40" s="94"/>
      <c r="H40" s="94"/>
      <c r="I40" s="94"/>
      <c r="J40" s="94"/>
      <c r="K40" s="94"/>
      <c r="L40" s="3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5" x14ac:dyDescent="0.25">
      <c r="A41" s="24"/>
      <c r="B41" s="95" t="s">
        <v>37</v>
      </c>
      <c r="C41" s="96" t="s">
        <v>38</v>
      </c>
      <c r="D41" s="97">
        <v>8410.2199999999993</v>
      </c>
      <c r="E41" s="97">
        <v>11225.31</v>
      </c>
      <c r="F41" s="98">
        <v>3500</v>
      </c>
      <c r="G41" s="35">
        <v>8663</v>
      </c>
      <c r="H41" s="35">
        <f t="shared" ref="H41:K41" si="45">G41*(1+O41)</f>
        <v>8922.89</v>
      </c>
      <c r="I41" s="35">
        <f t="shared" si="45"/>
        <v>9190.5766999999996</v>
      </c>
      <c r="J41" s="35">
        <f t="shared" si="45"/>
        <v>9466.2940010000002</v>
      </c>
      <c r="K41" s="35">
        <f t="shared" si="45"/>
        <v>9750.2828210300013</v>
      </c>
      <c r="L41" s="3"/>
      <c r="M41" s="24"/>
      <c r="N41" s="99">
        <v>0.03</v>
      </c>
      <c r="O41" s="99">
        <v>0.03</v>
      </c>
      <c r="P41" s="99">
        <v>0.03</v>
      </c>
      <c r="Q41" s="99">
        <v>0.03</v>
      </c>
      <c r="R41" s="99">
        <v>0.03</v>
      </c>
      <c r="S41" s="99"/>
      <c r="T41" s="24"/>
      <c r="U41" s="24"/>
      <c r="V41" s="24"/>
      <c r="W41" s="24"/>
      <c r="X41" s="24"/>
      <c r="Y41" s="24"/>
      <c r="Z41" s="24"/>
    </row>
    <row r="42" spans="1:26" ht="15.5" x14ac:dyDescent="0.35">
      <c r="A42" s="24"/>
      <c r="B42" s="95" t="s">
        <v>39</v>
      </c>
      <c r="C42" s="96" t="s">
        <v>40</v>
      </c>
      <c r="D42" s="97">
        <v>1415</v>
      </c>
      <c r="E42" s="97">
        <v>1619</v>
      </c>
      <c r="F42" s="98">
        <v>0</v>
      </c>
      <c r="G42" s="35">
        <v>1667.57</v>
      </c>
      <c r="H42" s="35">
        <f t="shared" ref="H42:K42" si="46">G42*(1+O42)</f>
        <v>1717.5971</v>
      </c>
      <c r="I42" s="35">
        <f t="shared" si="46"/>
        <v>1769.1250130000001</v>
      </c>
      <c r="J42" s="35">
        <f t="shared" si="46"/>
        <v>1822.1987633900001</v>
      </c>
      <c r="K42" s="35">
        <f t="shared" si="46"/>
        <v>1876.8647262917002</v>
      </c>
      <c r="L42" s="100"/>
      <c r="M42" s="24"/>
      <c r="N42" s="99">
        <v>0.03</v>
      </c>
      <c r="O42" s="99">
        <v>0.03</v>
      </c>
      <c r="P42" s="99">
        <v>0.03</v>
      </c>
      <c r="Q42" s="99">
        <v>0.03</v>
      </c>
      <c r="R42" s="99">
        <v>0.03</v>
      </c>
      <c r="S42" s="99"/>
      <c r="T42" s="24"/>
      <c r="U42" s="24"/>
      <c r="V42" s="24"/>
      <c r="W42" s="24"/>
      <c r="X42" s="24"/>
      <c r="Y42" s="24"/>
      <c r="Z42" s="24"/>
    </row>
    <row r="43" spans="1:26" ht="15.5" x14ac:dyDescent="0.25">
      <c r="A43" s="24"/>
      <c r="B43" s="95" t="s">
        <v>41</v>
      </c>
      <c r="C43" s="96" t="s">
        <v>42</v>
      </c>
      <c r="D43" s="97">
        <v>14517.43</v>
      </c>
      <c r="E43" s="97">
        <v>7075.59</v>
      </c>
      <c r="F43" s="98">
        <v>9500</v>
      </c>
      <c r="G43" s="35">
        <v>14952.9529</v>
      </c>
      <c r="H43" s="35">
        <f t="shared" ref="H43:K43" si="47">G43*(1+O43)</f>
        <v>15401.541487</v>
      </c>
      <c r="I43" s="35">
        <f t="shared" si="47"/>
        <v>15863.587731610001</v>
      </c>
      <c r="J43" s="35">
        <f t="shared" si="47"/>
        <v>16339.495363558302</v>
      </c>
      <c r="K43" s="35">
        <f t="shared" si="47"/>
        <v>16829.680224465053</v>
      </c>
      <c r="L43" s="3"/>
      <c r="M43" s="101"/>
      <c r="N43" s="99">
        <v>0.03</v>
      </c>
      <c r="O43" s="99">
        <v>0.03</v>
      </c>
      <c r="P43" s="99">
        <v>0.03</v>
      </c>
      <c r="Q43" s="99">
        <v>0.03</v>
      </c>
      <c r="R43" s="99">
        <v>0.03</v>
      </c>
      <c r="S43" s="24"/>
      <c r="T43" s="24"/>
      <c r="U43" s="24"/>
      <c r="V43" s="24"/>
      <c r="W43" s="24"/>
      <c r="X43" s="24"/>
      <c r="Y43" s="24"/>
      <c r="Z43" s="24"/>
    </row>
    <row r="44" spans="1:26" ht="15.5" x14ac:dyDescent="0.25">
      <c r="A44" s="24"/>
      <c r="B44" s="95" t="s">
        <v>43</v>
      </c>
      <c r="C44" s="96" t="s">
        <v>44</v>
      </c>
      <c r="D44" s="97">
        <v>12472.17</v>
      </c>
      <c r="E44" s="97">
        <v>7327.05</v>
      </c>
      <c r="F44" s="98">
        <v>2000</v>
      </c>
      <c r="G44" s="35">
        <v>12846.3351</v>
      </c>
      <c r="H44" s="35">
        <f t="shared" ref="H44:K44" si="48">G44*(1+O44)</f>
        <v>13231.725153000001</v>
      </c>
      <c r="I44" s="35">
        <f t="shared" si="48"/>
        <v>13628.676907590001</v>
      </c>
      <c r="J44" s="35">
        <f t="shared" si="48"/>
        <v>14037.537214817701</v>
      </c>
      <c r="K44" s="35">
        <f t="shared" si="48"/>
        <v>14458.663331262233</v>
      </c>
      <c r="L44" s="3"/>
      <c r="M44" s="101"/>
      <c r="N44" s="99">
        <v>0.03</v>
      </c>
      <c r="O44" s="99">
        <v>0.03</v>
      </c>
      <c r="P44" s="99">
        <v>0.03</v>
      </c>
      <c r="Q44" s="99">
        <v>0.03</v>
      </c>
      <c r="R44" s="99">
        <v>0.03</v>
      </c>
      <c r="S44" s="24"/>
      <c r="T44" s="24"/>
      <c r="U44" s="24"/>
      <c r="V44" s="24"/>
      <c r="W44" s="24"/>
      <c r="X44" s="24"/>
      <c r="Y44" s="24"/>
      <c r="Z44" s="24"/>
    </row>
    <row r="45" spans="1:26" ht="15.5" x14ac:dyDescent="0.25">
      <c r="A45" s="24"/>
      <c r="B45" s="95" t="s">
        <v>45</v>
      </c>
      <c r="C45" s="96" t="s">
        <v>46</v>
      </c>
      <c r="D45" s="97">
        <v>1260251.5</v>
      </c>
      <c r="E45" s="97">
        <v>1338759.32</v>
      </c>
      <c r="F45" s="98">
        <v>1349936.7</v>
      </c>
      <c r="G45" s="35">
        <v>1390475</v>
      </c>
      <c r="H45" s="35">
        <v>1470223</v>
      </c>
      <c r="I45" s="35">
        <f t="shared" ref="I45:K45" si="49">H45*(1+P45)</f>
        <v>1514329.69</v>
      </c>
      <c r="J45" s="35">
        <f t="shared" si="49"/>
        <v>1559759.5807</v>
      </c>
      <c r="K45" s="35">
        <f t="shared" si="49"/>
        <v>1606552.368121</v>
      </c>
      <c r="L45" s="3"/>
      <c r="M45" s="24"/>
      <c r="N45" s="99">
        <v>0.03</v>
      </c>
      <c r="O45" s="99">
        <v>0.03</v>
      </c>
      <c r="P45" s="99">
        <v>0.03</v>
      </c>
      <c r="Q45" s="99">
        <v>0.03</v>
      </c>
      <c r="R45" s="99">
        <v>0.03</v>
      </c>
      <c r="S45" s="24"/>
      <c r="T45" s="24"/>
      <c r="U45" s="24"/>
      <c r="V45" s="24"/>
      <c r="W45" s="24"/>
      <c r="X45" s="24"/>
      <c r="Y45" s="24"/>
      <c r="Z45" s="24"/>
    </row>
    <row r="46" spans="1:26" ht="15.5" x14ac:dyDescent="0.25">
      <c r="A46" s="24"/>
      <c r="B46" s="95" t="s">
        <v>47</v>
      </c>
      <c r="C46" s="102" t="s">
        <v>48</v>
      </c>
      <c r="D46" s="97">
        <v>13728.74</v>
      </c>
      <c r="E46" s="97">
        <v>9330.9599999999991</v>
      </c>
      <c r="F46" s="98">
        <v>11000</v>
      </c>
      <c r="G46" s="35">
        <v>11330</v>
      </c>
      <c r="H46" s="35">
        <f t="shared" ref="H46:K46" si="50">G46*(1+O46)</f>
        <v>11669.9</v>
      </c>
      <c r="I46" s="35">
        <f t="shared" si="50"/>
        <v>12019.996999999999</v>
      </c>
      <c r="J46" s="35">
        <f t="shared" si="50"/>
        <v>12380.59691</v>
      </c>
      <c r="K46" s="35">
        <f t="shared" si="50"/>
        <v>12752.0148173</v>
      </c>
      <c r="L46" s="3"/>
      <c r="M46" s="24"/>
      <c r="N46" s="99">
        <v>0.03</v>
      </c>
      <c r="O46" s="99">
        <v>0.03</v>
      </c>
      <c r="P46" s="99">
        <v>0.03</v>
      </c>
      <c r="Q46" s="99">
        <v>0.03</v>
      </c>
      <c r="R46" s="99">
        <v>0.03</v>
      </c>
      <c r="S46" s="99"/>
      <c r="T46" s="24"/>
      <c r="U46" s="24"/>
      <c r="V46" s="24"/>
      <c r="W46" s="24"/>
      <c r="X46" s="24"/>
      <c r="Y46" s="24"/>
      <c r="Z46" s="24"/>
    </row>
    <row r="47" spans="1:26" ht="15.5" x14ac:dyDescent="0.25">
      <c r="A47" s="24"/>
      <c r="B47" s="95" t="s">
        <v>49</v>
      </c>
      <c r="C47" s="102" t="s">
        <v>50</v>
      </c>
      <c r="D47" s="97">
        <v>0</v>
      </c>
      <c r="E47" s="97">
        <v>0</v>
      </c>
      <c r="F47" s="98">
        <v>0</v>
      </c>
      <c r="G47" s="35">
        <v>0</v>
      </c>
      <c r="H47" s="35">
        <f t="shared" ref="H47:K47" si="51">G47*(1+O47)</f>
        <v>0</v>
      </c>
      <c r="I47" s="35">
        <f t="shared" si="51"/>
        <v>0</v>
      </c>
      <c r="J47" s="35">
        <f t="shared" si="51"/>
        <v>0</v>
      </c>
      <c r="K47" s="35">
        <f t="shared" si="51"/>
        <v>0</v>
      </c>
      <c r="L47" s="3"/>
      <c r="M47" s="101"/>
      <c r="N47" s="99">
        <v>0.03</v>
      </c>
      <c r="O47" s="99">
        <v>0.03</v>
      </c>
      <c r="P47" s="99">
        <v>0.03</v>
      </c>
      <c r="Q47" s="99">
        <v>0.03</v>
      </c>
      <c r="R47" s="99">
        <v>0.03</v>
      </c>
      <c r="S47" s="99"/>
      <c r="T47" s="24"/>
      <c r="U47" s="24"/>
      <c r="V47" s="24"/>
      <c r="W47" s="24"/>
      <c r="X47" s="24"/>
      <c r="Y47" s="24"/>
      <c r="Z47" s="24"/>
    </row>
    <row r="48" spans="1:26" ht="15.5" outlineLevel="1" x14ac:dyDescent="0.25">
      <c r="A48" s="24" t="s">
        <v>51</v>
      </c>
      <c r="B48" s="95" t="s">
        <v>52</v>
      </c>
      <c r="C48" s="102" t="s">
        <v>53</v>
      </c>
      <c r="D48" s="97">
        <v>1104.3599999999999</v>
      </c>
      <c r="E48" s="97">
        <v>170.31</v>
      </c>
      <c r="F48" s="98">
        <v>1000</v>
      </c>
      <c r="G48" s="35">
        <v>1137.4908</v>
      </c>
      <c r="H48" s="35">
        <f t="shared" ref="H48:K48" si="52">G48*(1+O48)</f>
        <v>1171.6155240000001</v>
      </c>
      <c r="I48" s="35">
        <f t="shared" si="52"/>
        <v>1206.7639897200002</v>
      </c>
      <c r="J48" s="35">
        <f t="shared" si="52"/>
        <v>1242.9669094116002</v>
      </c>
      <c r="K48" s="35">
        <f t="shared" si="52"/>
        <v>1280.2559166939482</v>
      </c>
      <c r="L48" s="3"/>
      <c r="M48" s="24"/>
      <c r="N48" s="99">
        <v>0.03</v>
      </c>
      <c r="O48" s="99">
        <v>0.03</v>
      </c>
      <c r="P48" s="99">
        <v>0.03</v>
      </c>
      <c r="Q48" s="99">
        <v>0.03</v>
      </c>
      <c r="R48" s="99">
        <v>0.03</v>
      </c>
      <c r="S48" s="99"/>
      <c r="T48" s="24"/>
      <c r="U48" s="24"/>
      <c r="V48" s="24"/>
      <c r="W48" s="24"/>
      <c r="X48" s="24"/>
      <c r="Y48" s="24"/>
      <c r="Z48" s="24"/>
    </row>
    <row r="49" spans="1:26" ht="15.5" outlineLevel="1" x14ac:dyDescent="0.25">
      <c r="A49" s="24" t="s">
        <v>54</v>
      </c>
      <c r="B49" s="95" t="s">
        <v>55</v>
      </c>
      <c r="C49" s="102" t="s">
        <v>56</v>
      </c>
      <c r="D49" s="97">
        <v>212266.4</v>
      </c>
      <c r="E49" s="97">
        <v>205791.3</v>
      </c>
      <c r="F49" s="98">
        <v>143870.88</v>
      </c>
      <c r="G49" s="35">
        <v>226500</v>
      </c>
      <c r="H49" s="35">
        <v>156208</v>
      </c>
      <c r="I49" s="35">
        <f t="shared" ref="I49:K49" si="53">H49*(1+P49)</f>
        <v>160894.24</v>
      </c>
      <c r="J49" s="35">
        <f t="shared" si="53"/>
        <v>165721.06719999999</v>
      </c>
      <c r="K49" s="35">
        <f t="shared" si="53"/>
        <v>170692.69921600001</v>
      </c>
      <c r="L49" s="3"/>
      <c r="M49" s="24"/>
      <c r="N49" s="99">
        <v>0.03</v>
      </c>
      <c r="O49" s="99">
        <v>0.03</v>
      </c>
      <c r="P49" s="99">
        <v>0.03</v>
      </c>
      <c r="Q49" s="99">
        <v>0.03</v>
      </c>
      <c r="R49" s="99">
        <v>0.03</v>
      </c>
      <c r="S49" s="99"/>
      <c r="T49" s="24"/>
      <c r="U49" s="24"/>
      <c r="V49" s="24"/>
      <c r="W49" s="24"/>
      <c r="X49" s="24"/>
      <c r="Y49" s="24"/>
      <c r="Z49" s="24"/>
    </row>
    <row r="50" spans="1:26" ht="15.5" outlineLevel="1" x14ac:dyDescent="0.25">
      <c r="A50" s="24"/>
      <c r="B50" s="95" t="s">
        <v>57</v>
      </c>
      <c r="C50" s="102" t="s">
        <v>58</v>
      </c>
      <c r="D50" s="97">
        <v>81270</v>
      </c>
      <c r="E50" s="97">
        <v>85670</v>
      </c>
      <c r="F50" s="98">
        <v>89384.4</v>
      </c>
      <c r="G50" s="35">
        <v>75000</v>
      </c>
      <c r="H50" s="35">
        <f t="shared" ref="H50:K50" si="54">G50*(1+O50)</f>
        <v>77250</v>
      </c>
      <c r="I50" s="35">
        <f t="shared" si="54"/>
        <v>79567.5</v>
      </c>
      <c r="J50" s="35">
        <f t="shared" si="54"/>
        <v>81954.525000000009</v>
      </c>
      <c r="K50" s="35">
        <f t="shared" si="54"/>
        <v>84413.16075000001</v>
      </c>
      <c r="L50" s="3"/>
      <c r="M50" s="24"/>
      <c r="N50" s="99">
        <v>0.03</v>
      </c>
      <c r="O50" s="99">
        <v>0.03</v>
      </c>
      <c r="P50" s="99">
        <v>0.03</v>
      </c>
      <c r="Q50" s="99">
        <v>0.03</v>
      </c>
      <c r="R50" s="99">
        <v>0.03</v>
      </c>
      <c r="S50" s="99"/>
      <c r="T50" s="24"/>
      <c r="U50" s="24"/>
      <c r="V50" s="24"/>
      <c r="W50" s="24"/>
      <c r="X50" s="24"/>
      <c r="Y50" s="24"/>
      <c r="Z50" s="24"/>
    </row>
    <row r="51" spans="1:26" ht="15.5" outlineLevel="1" x14ac:dyDescent="0.25">
      <c r="A51" s="24"/>
      <c r="B51" s="95" t="s">
        <v>59</v>
      </c>
      <c r="C51" s="102" t="s">
        <v>60</v>
      </c>
      <c r="D51" s="97">
        <v>12203.25</v>
      </c>
      <c r="E51" s="97">
        <v>8336.1200000000008</v>
      </c>
      <c r="F51" s="98">
        <v>9681.1200000000008</v>
      </c>
      <c r="G51" s="35">
        <v>9971.5536000000011</v>
      </c>
      <c r="H51" s="35">
        <f t="shared" ref="H51:K51" si="55">G51*(1+O51)</f>
        <v>10270.700208000002</v>
      </c>
      <c r="I51" s="35">
        <f t="shared" si="55"/>
        <v>10578.821214240003</v>
      </c>
      <c r="J51" s="35">
        <f t="shared" si="55"/>
        <v>10896.185850667203</v>
      </c>
      <c r="K51" s="35">
        <f t="shared" si="55"/>
        <v>11223.07142618722</v>
      </c>
      <c r="L51" s="3"/>
      <c r="M51" s="24"/>
      <c r="N51" s="99">
        <v>0.03</v>
      </c>
      <c r="O51" s="99">
        <v>0.03</v>
      </c>
      <c r="P51" s="99">
        <v>0.03</v>
      </c>
      <c r="Q51" s="99">
        <v>0.03</v>
      </c>
      <c r="R51" s="99">
        <v>0.03</v>
      </c>
      <c r="S51" s="99"/>
      <c r="T51" s="24"/>
      <c r="U51" s="24"/>
      <c r="V51" s="24"/>
      <c r="W51" s="24"/>
      <c r="X51" s="24"/>
      <c r="Y51" s="24"/>
      <c r="Z51" s="24"/>
    </row>
    <row r="52" spans="1:26" ht="15.5" outlineLevel="1" x14ac:dyDescent="0.25">
      <c r="A52" s="24" t="s">
        <v>61</v>
      </c>
      <c r="B52" s="95" t="s">
        <v>62</v>
      </c>
      <c r="C52" s="102" t="s">
        <v>63</v>
      </c>
      <c r="D52" s="97">
        <v>5572004.0599999996</v>
      </c>
      <c r="E52" s="97">
        <v>6151889.7000000002</v>
      </c>
      <c r="F52" s="103">
        <v>5726390</v>
      </c>
      <c r="G52" s="35">
        <f t="shared" ref="G52:K52" si="56">G10*G9</f>
        <v>6022753.7615</v>
      </c>
      <c r="H52" s="35">
        <f t="shared" si="56"/>
        <v>6274831.9321799995</v>
      </c>
      <c r="I52" s="35">
        <f t="shared" si="56"/>
        <v>6494451.0498062987</v>
      </c>
      <c r="J52" s="35">
        <f t="shared" si="56"/>
        <v>6721756.8365495186</v>
      </c>
      <c r="K52" s="35">
        <f t="shared" si="56"/>
        <v>6957018.3258287506</v>
      </c>
      <c r="L52" s="3"/>
      <c r="M52" s="24"/>
      <c r="N52" s="99"/>
      <c r="O52" s="99"/>
      <c r="P52" s="99"/>
      <c r="Q52" s="99"/>
      <c r="R52" s="99"/>
      <c r="S52" s="99"/>
      <c r="T52" s="24"/>
      <c r="U52" s="24"/>
      <c r="V52" s="24"/>
      <c r="W52" s="24"/>
      <c r="X52" s="24"/>
      <c r="Y52" s="24"/>
      <c r="Z52" s="24"/>
    </row>
    <row r="53" spans="1:26" ht="15.5" outlineLevel="1" x14ac:dyDescent="0.25">
      <c r="A53" s="24"/>
      <c r="B53" s="95" t="s">
        <v>64</v>
      </c>
      <c r="C53" s="102" t="s">
        <v>65</v>
      </c>
      <c r="D53" s="97">
        <v>60986.95</v>
      </c>
      <c r="E53" s="97">
        <v>58525</v>
      </c>
      <c r="F53" s="98">
        <v>40000</v>
      </c>
      <c r="G53" s="35">
        <v>62816.558499999999</v>
      </c>
      <c r="H53" s="35">
        <f t="shared" ref="H53:K53" si="57">G53*(1+O53)</f>
        <v>64701.055254999999</v>
      </c>
      <c r="I53" s="35">
        <f t="shared" si="57"/>
        <v>66642.086912650004</v>
      </c>
      <c r="J53" s="35">
        <f t="shared" si="57"/>
        <v>68641.3495200295</v>
      </c>
      <c r="K53" s="35">
        <f t="shared" si="57"/>
        <v>70700.59000563038</v>
      </c>
      <c r="L53" s="3"/>
      <c r="M53" s="24"/>
      <c r="N53" s="99">
        <v>0.03</v>
      </c>
      <c r="O53" s="99">
        <v>0.03</v>
      </c>
      <c r="P53" s="99">
        <v>0.03</v>
      </c>
      <c r="Q53" s="99">
        <v>0.03</v>
      </c>
      <c r="R53" s="99">
        <v>0.03</v>
      </c>
      <c r="S53" s="99"/>
      <c r="T53" s="24"/>
      <c r="U53" s="24"/>
      <c r="V53" s="24"/>
      <c r="W53" s="24"/>
      <c r="X53" s="24"/>
      <c r="Y53" s="24"/>
      <c r="Z53" s="24"/>
    </row>
    <row r="54" spans="1:26" ht="15.5" outlineLevel="1" x14ac:dyDescent="0.25">
      <c r="A54" s="24"/>
      <c r="B54" s="95" t="s">
        <v>66</v>
      </c>
      <c r="C54" s="102" t="s">
        <v>67</v>
      </c>
      <c r="D54" s="97">
        <v>143259</v>
      </c>
      <c r="E54" s="97">
        <v>121737.5</v>
      </c>
      <c r="F54" s="98">
        <v>253894.5</v>
      </c>
      <c r="G54" s="35">
        <v>253894.5</v>
      </c>
      <c r="H54" s="35">
        <f t="shared" ref="H54:K54" si="58">G54*(1+O54)</f>
        <v>253894.5</v>
      </c>
      <c r="I54" s="35">
        <f t="shared" si="58"/>
        <v>253894.5</v>
      </c>
      <c r="J54" s="35">
        <f t="shared" si="58"/>
        <v>253894.5</v>
      </c>
      <c r="K54" s="35">
        <f t="shared" si="58"/>
        <v>253894.5</v>
      </c>
      <c r="L54" s="3"/>
      <c r="M54" s="101"/>
      <c r="N54" s="99">
        <v>0</v>
      </c>
      <c r="O54" s="99">
        <v>0</v>
      </c>
      <c r="P54" s="99">
        <v>0</v>
      </c>
      <c r="Q54" s="99">
        <v>0</v>
      </c>
      <c r="R54" s="99">
        <v>0</v>
      </c>
      <c r="S54" s="99"/>
      <c r="T54" s="24"/>
      <c r="U54" s="24"/>
      <c r="V54" s="24"/>
      <c r="W54" s="24"/>
      <c r="X54" s="24"/>
      <c r="Y54" s="24"/>
      <c r="Z54" s="24"/>
    </row>
    <row r="55" spans="1:26" ht="15.5" outlineLevel="1" x14ac:dyDescent="0.25">
      <c r="A55" s="24"/>
      <c r="B55" s="95" t="s">
        <v>68</v>
      </c>
      <c r="C55" s="102" t="s">
        <v>69</v>
      </c>
      <c r="D55" s="97">
        <v>127275</v>
      </c>
      <c r="E55" s="97">
        <v>0</v>
      </c>
      <c r="F55" s="98">
        <v>0</v>
      </c>
      <c r="G55" s="35">
        <v>0</v>
      </c>
      <c r="H55" s="35">
        <f t="shared" ref="H55:K55" si="59">G55*(1+O55)</f>
        <v>0</v>
      </c>
      <c r="I55" s="35">
        <f t="shared" si="59"/>
        <v>0</v>
      </c>
      <c r="J55" s="35">
        <f t="shared" si="59"/>
        <v>0</v>
      </c>
      <c r="K55" s="35">
        <f t="shared" si="59"/>
        <v>0</v>
      </c>
      <c r="L55" s="3"/>
      <c r="M55" s="101"/>
      <c r="N55" s="99">
        <v>0.03</v>
      </c>
      <c r="O55" s="99">
        <v>0.03</v>
      </c>
      <c r="P55" s="99">
        <v>0.03</v>
      </c>
      <c r="Q55" s="99">
        <v>0.03</v>
      </c>
      <c r="R55" s="99">
        <v>0.03</v>
      </c>
      <c r="S55" s="99"/>
      <c r="T55" s="24"/>
      <c r="U55" s="24"/>
      <c r="V55" s="24"/>
      <c r="W55" s="24"/>
      <c r="X55" s="24"/>
      <c r="Y55" s="24"/>
      <c r="Z55" s="24"/>
    </row>
    <row r="56" spans="1:26" ht="15.5" outlineLevel="1" x14ac:dyDescent="0.3">
      <c r="A56" s="24"/>
      <c r="B56" s="104" t="s">
        <v>70</v>
      </c>
      <c r="C56" s="105" t="s">
        <v>71</v>
      </c>
      <c r="D56" s="97">
        <v>15336</v>
      </c>
      <c r="E56" s="97">
        <v>13616</v>
      </c>
      <c r="F56" s="98">
        <v>8400</v>
      </c>
      <c r="G56" s="35">
        <v>15796.08</v>
      </c>
      <c r="H56" s="35">
        <f t="shared" ref="H56:K56" si="60">G56*(1+O56)</f>
        <v>16269.9624</v>
      </c>
      <c r="I56" s="35">
        <f t="shared" si="60"/>
        <v>16758.061271999999</v>
      </c>
      <c r="J56" s="35">
        <f t="shared" si="60"/>
        <v>17260.803110159999</v>
      </c>
      <c r="K56" s="35">
        <f t="shared" si="60"/>
        <v>17778.627203464799</v>
      </c>
      <c r="L56" s="3"/>
      <c r="M56" s="101"/>
      <c r="N56" s="99">
        <v>0.03</v>
      </c>
      <c r="O56" s="99">
        <v>0.03</v>
      </c>
      <c r="P56" s="99">
        <v>0.03</v>
      </c>
      <c r="Q56" s="99">
        <v>0.03</v>
      </c>
      <c r="R56" s="99">
        <v>0.03</v>
      </c>
      <c r="S56" s="99"/>
      <c r="T56" s="24"/>
      <c r="U56" s="24"/>
      <c r="V56" s="24"/>
      <c r="W56" s="24"/>
      <c r="X56" s="24"/>
      <c r="Y56" s="24"/>
      <c r="Z56" s="24"/>
    </row>
    <row r="57" spans="1:26" ht="15.5" outlineLevel="1" x14ac:dyDescent="0.25">
      <c r="A57" s="24"/>
      <c r="B57" s="95" t="s">
        <v>72</v>
      </c>
      <c r="C57" s="105" t="s">
        <v>73</v>
      </c>
      <c r="D57" s="97">
        <v>48513</v>
      </c>
      <c r="E57" s="97">
        <v>31838.6</v>
      </c>
      <c r="F57" s="98">
        <v>23550</v>
      </c>
      <c r="G57" s="35">
        <v>49968.39</v>
      </c>
      <c r="H57" s="35">
        <f t="shared" ref="H57:K57" si="61">G57*(1+O57)</f>
        <v>51467.441700000003</v>
      </c>
      <c r="I57" s="35">
        <f t="shared" si="61"/>
        <v>53011.464951000002</v>
      </c>
      <c r="J57" s="35">
        <f t="shared" si="61"/>
        <v>54601.808899530006</v>
      </c>
      <c r="K57" s="35">
        <f t="shared" si="61"/>
        <v>56239.863166515905</v>
      </c>
      <c r="L57" s="3"/>
      <c r="M57" s="24"/>
      <c r="N57" s="99">
        <v>0.03</v>
      </c>
      <c r="O57" s="99">
        <v>0.03</v>
      </c>
      <c r="P57" s="99">
        <v>0.03</v>
      </c>
      <c r="Q57" s="99">
        <v>0.03</v>
      </c>
      <c r="R57" s="99">
        <v>0.03</v>
      </c>
      <c r="S57" s="99"/>
      <c r="T57" s="24"/>
      <c r="U57" s="24"/>
      <c r="V57" s="24"/>
      <c r="W57" s="24"/>
      <c r="X57" s="24"/>
      <c r="Y57" s="24"/>
      <c r="Z57" s="24"/>
    </row>
    <row r="58" spans="1:26" ht="15.5" outlineLevel="1" x14ac:dyDescent="0.25">
      <c r="A58" s="24"/>
      <c r="B58" s="95" t="s">
        <v>74</v>
      </c>
      <c r="C58" s="105" t="s">
        <v>75</v>
      </c>
      <c r="D58" s="97">
        <v>21078.25</v>
      </c>
      <c r="E58" s="97">
        <v>10425.5</v>
      </c>
      <c r="F58" s="98">
        <v>5000</v>
      </c>
      <c r="G58" s="35">
        <v>21710.5975</v>
      </c>
      <c r="H58" s="35">
        <f t="shared" ref="H58:K58" si="62">G58*(1+O58)</f>
        <v>22361.915424999999</v>
      </c>
      <c r="I58" s="35">
        <f t="shared" si="62"/>
        <v>23032.772887750001</v>
      </c>
      <c r="J58" s="35">
        <f t="shared" si="62"/>
        <v>23723.756074382502</v>
      </c>
      <c r="K58" s="35">
        <f t="shared" si="62"/>
        <v>24435.468756613976</v>
      </c>
      <c r="L58" s="3"/>
      <c r="M58" s="24"/>
      <c r="N58" s="99">
        <v>0.03</v>
      </c>
      <c r="O58" s="99">
        <v>0.03</v>
      </c>
      <c r="P58" s="99">
        <v>0.03</v>
      </c>
      <c r="Q58" s="99">
        <v>0.03</v>
      </c>
      <c r="R58" s="99">
        <v>0.03</v>
      </c>
      <c r="S58" s="99"/>
      <c r="T58" s="24"/>
      <c r="U58" s="24"/>
      <c r="V58" s="24"/>
      <c r="W58" s="24"/>
      <c r="X58" s="24"/>
      <c r="Y58" s="24"/>
      <c r="Z58" s="24"/>
    </row>
    <row r="59" spans="1:26" ht="15.5" outlineLevel="1" x14ac:dyDescent="0.25">
      <c r="A59" s="24">
        <v>33599</v>
      </c>
      <c r="B59" s="95" t="s">
        <v>76</v>
      </c>
      <c r="C59" s="105" t="s">
        <v>77</v>
      </c>
      <c r="D59" s="97">
        <v>8554.69</v>
      </c>
      <c r="E59" s="97">
        <v>1638.25</v>
      </c>
      <c r="F59" s="98">
        <v>33599</v>
      </c>
      <c r="G59" s="35">
        <v>5000</v>
      </c>
      <c r="H59" s="35">
        <f t="shared" ref="H59:K59" si="63">G59*(1+O59)</f>
        <v>5000</v>
      </c>
      <c r="I59" s="35">
        <f t="shared" si="63"/>
        <v>5000</v>
      </c>
      <c r="J59" s="35">
        <f t="shared" si="63"/>
        <v>5000</v>
      </c>
      <c r="K59" s="35">
        <f t="shared" si="63"/>
        <v>5000</v>
      </c>
      <c r="L59" s="3"/>
      <c r="M59" s="24"/>
      <c r="N59" s="99">
        <v>0</v>
      </c>
      <c r="O59" s="99">
        <v>0</v>
      </c>
      <c r="P59" s="99">
        <v>0</v>
      </c>
      <c r="Q59" s="99">
        <v>0</v>
      </c>
      <c r="R59" s="99">
        <v>0</v>
      </c>
      <c r="S59" s="99"/>
      <c r="T59" s="24"/>
      <c r="U59" s="24"/>
      <c r="V59" s="24"/>
      <c r="W59" s="24"/>
      <c r="X59" s="24"/>
      <c r="Y59" s="24"/>
      <c r="Z59" s="24"/>
    </row>
    <row r="60" spans="1:26" ht="15.5" outlineLevel="1" x14ac:dyDescent="0.25">
      <c r="A60" s="24"/>
      <c r="B60" s="95" t="s">
        <v>78</v>
      </c>
      <c r="C60" s="105" t="s">
        <v>79</v>
      </c>
      <c r="D60" s="97">
        <v>0</v>
      </c>
      <c r="E60" s="97">
        <v>0</v>
      </c>
      <c r="F60" s="98">
        <v>600</v>
      </c>
      <c r="G60" s="35">
        <v>600</v>
      </c>
      <c r="H60" s="35">
        <f t="shared" ref="H60:K60" si="64">G60*(1+O60)</f>
        <v>600</v>
      </c>
      <c r="I60" s="35">
        <f t="shared" si="64"/>
        <v>600</v>
      </c>
      <c r="J60" s="35">
        <f t="shared" si="64"/>
        <v>600</v>
      </c>
      <c r="K60" s="35">
        <f t="shared" si="64"/>
        <v>600</v>
      </c>
      <c r="L60" s="3"/>
      <c r="M60" s="101"/>
      <c r="N60" s="99">
        <v>0</v>
      </c>
      <c r="O60" s="99">
        <v>0</v>
      </c>
      <c r="P60" s="99">
        <v>0</v>
      </c>
      <c r="Q60" s="99">
        <v>0</v>
      </c>
      <c r="R60" s="99">
        <v>0</v>
      </c>
      <c r="S60" s="99"/>
      <c r="T60" s="24"/>
      <c r="U60" s="24"/>
      <c r="V60" s="24"/>
      <c r="W60" s="24"/>
      <c r="X60" s="24"/>
      <c r="Y60" s="24"/>
      <c r="Z60" s="24"/>
    </row>
    <row r="61" spans="1:26" ht="15.5" outlineLevel="1" x14ac:dyDescent="0.25">
      <c r="A61" s="24"/>
      <c r="B61" s="95">
        <v>950500</v>
      </c>
      <c r="C61" s="105" t="s">
        <v>80</v>
      </c>
      <c r="D61" s="97"/>
      <c r="E61" s="97"/>
      <c r="F61" s="98">
        <v>0</v>
      </c>
      <c r="G61" s="35">
        <v>0</v>
      </c>
      <c r="H61" s="35">
        <f t="shared" ref="H61:K61" si="65">G61*(1+O61)</f>
        <v>0</v>
      </c>
      <c r="I61" s="35">
        <f t="shared" si="65"/>
        <v>0</v>
      </c>
      <c r="J61" s="35">
        <f t="shared" si="65"/>
        <v>0</v>
      </c>
      <c r="K61" s="35">
        <f t="shared" si="65"/>
        <v>0</v>
      </c>
      <c r="L61" s="3"/>
      <c r="M61" s="101"/>
      <c r="N61" s="99">
        <v>0.03</v>
      </c>
      <c r="O61" s="99">
        <v>0.03</v>
      </c>
      <c r="P61" s="99">
        <v>0.03</v>
      </c>
      <c r="Q61" s="99">
        <v>0.03</v>
      </c>
      <c r="R61" s="99">
        <v>0.03</v>
      </c>
      <c r="S61" s="99"/>
      <c r="T61" s="24"/>
      <c r="U61" s="24"/>
      <c r="V61" s="24"/>
      <c r="W61" s="24"/>
      <c r="X61" s="24"/>
      <c r="Y61" s="24"/>
      <c r="Z61" s="24"/>
    </row>
    <row r="62" spans="1:26" ht="15.5" outlineLevel="1" x14ac:dyDescent="0.25">
      <c r="A62" s="24"/>
      <c r="B62" s="95">
        <v>950500</v>
      </c>
      <c r="C62" s="105" t="s">
        <v>81</v>
      </c>
      <c r="D62" s="97"/>
      <c r="E62" s="97"/>
      <c r="F62" s="98"/>
      <c r="G62" s="35"/>
      <c r="H62" s="35"/>
      <c r="I62" s="35"/>
      <c r="J62" s="35"/>
      <c r="K62" s="35"/>
      <c r="L62" s="3"/>
      <c r="M62" s="101"/>
      <c r="N62" s="99">
        <v>0.03</v>
      </c>
      <c r="O62" s="99">
        <v>0.03</v>
      </c>
      <c r="P62" s="99">
        <v>0.03</v>
      </c>
      <c r="Q62" s="99">
        <v>0.03</v>
      </c>
      <c r="R62" s="99">
        <v>0.03</v>
      </c>
      <c r="S62" s="99"/>
      <c r="T62" s="24"/>
      <c r="U62" s="24"/>
      <c r="V62" s="24"/>
      <c r="W62" s="24"/>
      <c r="X62" s="24"/>
      <c r="Y62" s="24"/>
      <c r="Z62" s="24"/>
    </row>
    <row r="63" spans="1:26" ht="15.5" x14ac:dyDescent="0.25">
      <c r="A63" s="106" t="s">
        <v>82</v>
      </c>
      <c r="B63" s="25"/>
      <c r="C63" s="107" t="s">
        <v>83</v>
      </c>
      <c r="D63" s="108">
        <f t="shared" ref="D63:K63" si="66">SUM(D40:D62)</f>
        <v>7614646.0200000005</v>
      </c>
      <c r="E63" s="108">
        <f t="shared" si="66"/>
        <v>8064975.5099999998</v>
      </c>
      <c r="F63" s="109">
        <f t="shared" si="66"/>
        <v>7711306.5999999996</v>
      </c>
      <c r="G63" s="108">
        <f t="shared" si="66"/>
        <v>8185083.7899000002</v>
      </c>
      <c r="H63" s="108">
        <f t="shared" si="66"/>
        <v>8455193.7764319982</v>
      </c>
      <c r="I63" s="108">
        <f t="shared" si="66"/>
        <v>8732438.9143858571</v>
      </c>
      <c r="J63" s="108">
        <f t="shared" si="66"/>
        <v>9019099.5020664632</v>
      </c>
      <c r="K63" s="108">
        <f t="shared" si="66"/>
        <v>9315496.4363112058</v>
      </c>
      <c r="L63" s="3"/>
      <c r="M63" s="24"/>
      <c r="N63" s="99"/>
      <c r="O63" s="99"/>
      <c r="P63" s="99"/>
      <c r="Q63" s="99"/>
      <c r="R63" s="99"/>
      <c r="S63" s="24"/>
      <c r="T63" s="24"/>
      <c r="U63" s="24"/>
      <c r="V63" s="24"/>
      <c r="W63" s="24"/>
      <c r="X63" s="24"/>
      <c r="Y63" s="24"/>
      <c r="Z63" s="24"/>
    </row>
    <row r="64" spans="1:26" ht="15.5" x14ac:dyDescent="0.25">
      <c r="A64" s="24"/>
      <c r="B64" s="25"/>
      <c r="C64" s="110"/>
      <c r="D64" s="111"/>
      <c r="E64" s="111"/>
      <c r="F64" s="112"/>
      <c r="G64" s="35"/>
      <c r="H64" s="35"/>
      <c r="I64" s="35"/>
      <c r="J64" s="35"/>
      <c r="K64" s="35"/>
      <c r="L64" s="3"/>
      <c r="M64" s="24"/>
      <c r="N64" s="99"/>
      <c r="O64" s="99"/>
      <c r="P64" s="99"/>
      <c r="Q64" s="99"/>
      <c r="R64" s="99"/>
      <c r="S64" s="24"/>
      <c r="T64" s="24"/>
      <c r="U64" s="24"/>
      <c r="V64" s="24"/>
      <c r="W64" s="24"/>
      <c r="X64" s="24"/>
      <c r="Y64" s="24"/>
      <c r="Z64" s="24"/>
    </row>
    <row r="65" spans="1:26" ht="15.5" x14ac:dyDescent="0.25">
      <c r="A65" s="106" t="s">
        <v>84</v>
      </c>
      <c r="B65" s="25"/>
      <c r="C65" s="107" t="s">
        <v>85</v>
      </c>
      <c r="D65" s="113">
        <f t="shared" ref="D65:K65" si="67">SUM(D63)</f>
        <v>7614646.0200000005</v>
      </c>
      <c r="E65" s="113">
        <f t="shared" si="67"/>
        <v>8064975.5099999998</v>
      </c>
      <c r="F65" s="114">
        <f t="shared" si="67"/>
        <v>7711306.5999999996</v>
      </c>
      <c r="G65" s="113">
        <f t="shared" si="67"/>
        <v>8185083.7899000002</v>
      </c>
      <c r="H65" s="113">
        <f t="shared" si="67"/>
        <v>8455193.7764319982</v>
      </c>
      <c r="I65" s="113">
        <f t="shared" si="67"/>
        <v>8732438.9143858571</v>
      </c>
      <c r="J65" s="113">
        <f t="shared" si="67"/>
        <v>9019099.5020664632</v>
      </c>
      <c r="K65" s="113">
        <f t="shared" si="67"/>
        <v>9315496.4363112058</v>
      </c>
      <c r="L65" s="3"/>
      <c r="M65" s="24"/>
      <c r="N65" s="99"/>
      <c r="O65" s="99"/>
      <c r="P65" s="99"/>
      <c r="Q65" s="99"/>
      <c r="R65" s="99"/>
      <c r="S65" s="24"/>
      <c r="T65" s="24"/>
      <c r="U65" s="24"/>
      <c r="V65" s="24"/>
      <c r="W65" s="24"/>
      <c r="X65" s="24"/>
      <c r="Y65" s="24"/>
      <c r="Z65" s="24"/>
    </row>
    <row r="66" spans="1:26" ht="15.5" x14ac:dyDescent="0.25">
      <c r="A66" s="24"/>
      <c r="B66" s="25"/>
      <c r="C66" s="115"/>
      <c r="D66" s="92"/>
      <c r="E66" s="92"/>
      <c r="F66" s="116"/>
      <c r="G66" s="117"/>
      <c r="H66" s="117"/>
      <c r="I66" s="117"/>
      <c r="J66" s="117"/>
      <c r="K66" s="117"/>
      <c r="L66" s="3"/>
      <c r="M66" s="24"/>
      <c r="N66" s="99"/>
      <c r="O66" s="99"/>
      <c r="P66" s="99"/>
      <c r="Q66" s="99"/>
      <c r="R66" s="99"/>
      <c r="S66" s="24"/>
      <c r="T66" s="24"/>
      <c r="U66" s="24"/>
      <c r="V66" s="24"/>
      <c r="W66" s="24"/>
      <c r="X66" s="24"/>
      <c r="Y66" s="24"/>
      <c r="Z66" s="24"/>
    </row>
    <row r="67" spans="1:26" ht="15.5" x14ac:dyDescent="0.25">
      <c r="A67" s="24"/>
      <c r="B67" s="25"/>
      <c r="C67" s="115"/>
      <c r="D67" s="92"/>
      <c r="E67" s="92"/>
      <c r="F67" s="116"/>
      <c r="G67" s="117"/>
      <c r="H67" s="117"/>
      <c r="I67" s="117"/>
      <c r="J67" s="117"/>
      <c r="K67" s="117"/>
      <c r="L67" s="3"/>
      <c r="M67" s="24"/>
      <c r="N67" s="99"/>
      <c r="O67" s="99"/>
      <c r="P67" s="99"/>
      <c r="Q67" s="99"/>
      <c r="R67" s="99"/>
      <c r="S67" s="24"/>
      <c r="T67" s="24"/>
      <c r="U67" s="24"/>
      <c r="V67" s="24"/>
      <c r="W67" s="24"/>
      <c r="X67" s="24"/>
      <c r="Y67" s="24"/>
      <c r="Z67" s="24"/>
    </row>
    <row r="68" spans="1:26" ht="46.5" x14ac:dyDescent="0.35">
      <c r="A68" s="24"/>
      <c r="B68" s="118" t="s">
        <v>86</v>
      </c>
      <c r="C68" s="119" t="s">
        <v>87</v>
      </c>
      <c r="D68" s="120">
        <v>274367.13</v>
      </c>
      <c r="E68" s="120">
        <v>277194.75</v>
      </c>
      <c r="F68" s="98">
        <v>279681.7</v>
      </c>
      <c r="G68" s="121">
        <v>433900</v>
      </c>
      <c r="H68" s="35">
        <f t="shared" ref="H68:K68" si="68">G68*(1+O68)</f>
        <v>455595</v>
      </c>
      <c r="I68" s="35">
        <f t="shared" si="68"/>
        <v>478374.75</v>
      </c>
      <c r="J68" s="35">
        <f t="shared" si="68"/>
        <v>502293.48750000005</v>
      </c>
      <c r="K68" s="35">
        <f t="shared" si="68"/>
        <v>527408.16187500011</v>
      </c>
      <c r="L68" s="122" t="s">
        <v>88</v>
      </c>
      <c r="M68" s="101"/>
      <c r="N68" s="123">
        <v>0.05</v>
      </c>
      <c r="O68" s="123">
        <v>0.05</v>
      </c>
      <c r="P68" s="123">
        <v>0.05</v>
      </c>
      <c r="Q68" s="123">
        <v>0.05</v>
      </c>
      <c r="R68" s="123">
        <v>0.05</v>
      </c>
      <c r="S68" s="24"/>
      <c r="T68" s="24"/>
      <c r="U68" s="24"/>
      <c r="V68" s="24"/>
      <c r="W68" s="24"/>
      <c r="X68" s="24"/>
      <c r="Y68" s="24"/>
      <c r="Z68" s="24"/>
    </row>
    <row r="69" spans="1:26" ht="15.5" outlineLevel="1" x14ac:dyDescent="0.35">
      <c r="A69" s="24" t="s">
        <v>89</v>
      </c>
      <c r="B69" s="118" t="s">
        <v>90</v>
      </c>
      <c r="C69" s="119" t="s">
        <v>91</v>
      </c>
      <c r="D69" s="120">
        <v>2079662.22</v>
      </c>
      <c r="E69" s="120">
        <v>2498188.81</v>
      </c>
      <c r="F69" s="98">
        <v>2391027.87</v>
      </c>
      <c r="G69" s="121">
        <v>2625133</v>
      </c>
      <c r="H69" s="35">
        <f t="shared" ref="H69:K69" si="69">G69*(1+O69)</f>
        <v>2756389.65</v>
      </c>
      <c r="I69" s="35">
        <f t="shared" si="69"/>
        <v>2894209.1324999998</v>
      </c>
      <c r="J69" s="35">
        <f t="shared" si="69"/>
        <v>3038919.5891249999</v>
      </c>
      <c r="K69" s="35">
        <f t="shared" si="69"/>
        <v>3190865.56858125</v>
      </c>
      <c r="L69" s="124"/>
      <c r="M69" s="101"/>
      <c r="N69" s="123">
        <v>0.05</v>
      </c>
      <c r="O69" s="123">
        <v>0.05</v>
      </c>
      <c r="P69" s="123">
        <v>0.05</v>
      </c>
      <c r="Q69" s="123">
        <v>0.05</v>
      </c>
      <c r="R69" s="123">
        <v>0.05</v>
      </c>
      <c r="S69" s="24"/>
      <c r="T69" s="24"/>
      <c r="U69" s="24"/>
      <c r="V69" s="24"/>
      <c r="W69" s="24"/>
      <c r="X69" s="24"/>
      <c r="Y69" s="24"/>
      <c r="Z69" s="24"/>
    </row>
    <row r="70" spans="1:26" ht="15.5" outlineLevel="1" x14ac:dyDescent="0.35">
      <c r="A70" s="24"/>
      <c r="B70" s="118" t="s">
        <v>92</v>
      </c>
      <c r="C70" s="119" t="s">
        <v>93</v>
      </c>
      <c r="D70" s="120">
        <v>31615</v>
      </c>
      <c r="E70" s="120">
        <v>18610</v>
      </c>
      <c r="F70" s="98">
        <v>30000</v>
      </c>
      <c r="G70" s="35">
        <v>20000</v>
      </c>
      <c r="H70" s="35">
        <f t="shared" ref="H70:K70" si="70">G70*(1+O70)</f>
        <v>21000</v>
      </c>
      <c r="I70" s="35">
        <f t="shared" si="70"/>
        <v>22050</v>
      </c>
      <c r="J70" s="35">
        <f t="shared" si="70"/>
        <v>23152.5</v>
      </c>
      <c r="K70" s="35">
        <f t="shared" si="70"/>
        <v>24310.125</v>
      </c>
      <c r="L70" s="124"/>
      <c r="M70" s="101"/>
      <c r="N70" s="123">
        <v>0.05</v>
      </c>
      <c r="O70" s="123">
        <v>0.05</v>
      </c>
      <c r="P70" s="123">
        <v>0.05</v>
      </c>
      <c r="Q70" s="123">
        <v>0.05</v>
      </c>
      <c r="R70" s="123">
        <v>0.05</v>
      </c>
      <c r="S70" s="24"/>
      <c r="T70" s="24"/>
      <c r="U70" s="24"/>
      <c r="V70" s="24"/>
      <c r="W70" s="24"/>
      <c r="X70" s="24"/>
      <c r="Y70" s="24"/>
      <c r="Z70" s="24"/>
    </row>
    <row r="71" spans="1:26" ht="15.5" outlineLevel="1" x14ac:dyDescent="0.35">
      <c r="A71" s="24"/>
      <c r="B71" s="125" t="s">
        <v>94</v>
      </c>
      <c r="C71" s="119" t="s">
        <v>95</v>
      </c>
      <c r="D71" s="120">
        <v>21836.18</v>
      </c>
      <c r="E71" s="120">
        <v>21875.599999999999</v>
      </c>
      <c r="F71" s="98">
        <v>23785.200000000001</v>
      </c>
      <c r="G71" s="121">
        <v>0</v>
      </c>
      <c r="H71" s="35">
        <f t="shared" ref="H71:K71" si="71">G71*(1+O71)</f>
        <v>0</v>
      </c>
      <c r="I71" s="35">
        <f t="shared" si="71"/>
        <v>0</v>
      </c>
      <c r="J71" s="35">
        <f t="shared" si="71"/>
        <v>0</v>
      </c>
      <c r="K71" s="35">
        <f t="shared" si="71"/>
        <v>0</v>
      </c>
      <c r="L71" s="124"/>
      <c r="M71" s="101"/>
      <c r="N71" s="123">
        <v>0.05</v>
      </c>
      <c r="O71" s="123">
        <v>0.05</v>
      </c>
      <c r="P71" s="123">
        <v>0.05</v>
      </c>
      <c r="Q71" s="123">
        <v>0.05</v>
      </c>
      <c r="R71" s="123">
        <v>0.05</v>
      </c>
      <c r="S71" s="24"/>
      <c r="T71" s="24"/>
      <c r="U71" s="24"/>
      <c r="V71" s="24"/>
      <c r="W71" s="24"/>
      <c r="X71" s="24"/>
      <c r="Y71" s="24"/>
      <c r="Z71" s="24"/>
    </row>
    <row r="72" spans="1:26" ht="15.5" outlineLevel="1" x14ac:dyDescent="0.35">
      <c r="A72" s="24"/>
      <c r="B72" s="118" t="s">
        <v>96</v>
      </c>
      <c r="C72" s="119" t="s">
        <v>97</v>
      </c>
      <c r="D72" s="120">
        <v>50000</v>
      </c>
      <c r="E72" s="120">
        <v>55000</v>
      </c>
      <c r="F72" s="98">
        <v>63461.82</v>
      </c>
      <c r="G72" s="35">
        <v>71247</v>
      </c>
      <c r="H72" s="35">
        <f t="shared" ref="H72:K72" si="72">G72*(1+O72)</f>
        <v>74809.350000000006</v>
      </c>
      <c r="I72" s="35">
        <f t="shared" si="72"/>
        <v>78549.817500000005</v>
      </c>
      <c r="J72" s="35">
        <f t="shared" si="72"/>
        <v>82477.308375000008</v>
      </c>
      <c r="K72" s="35">
        <f t="shared" si="72"/>
        <v>86601.173793750015</v>
      </c>
      <c r="L72" s="124"/>
      <c r="M72" s="101"/>
      <c r="N72" s="123">
        <v>0.05</v>
      </c>
      <c r="O72" s="123">
        <v>0.05</v>
      </c>
      <c r="P72" s="123">
        <v>0.05</v>
      </c>
      <c r="Q72" s="123">
        <v>0.05</v>
      </c>
      <c r="R72" s="123">
        <v>0.05</v>
      </c>
      <c r="S72" s="24"/>
      <c r="T72" s="24"/>
      <c r="U72" s="24"/>
      <c r="V72" s="24"/>
      <c r="W72" s="24"/>
      <c r="X72" s="24"/>
      <c r="Y72" s="24"/>
      <c r="Z72" s="24"/>
    </row>
    <row r="73" spans="1:26" ht="15.5" outlineLevel="1" x14ac:dyDescent="0.35">
      <c r="A73" s="24" t="s">
        <v>98</v>
      </c>
      <c r="B73" s="118" t="s">
        <v>99</v>
      </c>
      <c r="C73" s="119" t="s">
        <v>100</v>
      </c>
      <c r="D73" s="120">
        <v>41503.72</v>
      </c>
      <c r="E73" s="120">
        <v>75466.78</v>
      </c>
      <c r="F73" s="98">
        <v>102856.3</v>
      </c>
      <c r="G73" s="35">
        <v>150939</v>
      </c>
      <c r="H73" s="35">
        <f t="shared" ref="H73:K73" si="73">G73*(1+O73)</f>
        <v>158485.95000000001</v>
      </c>
      <c r="I73" s="35">
        <f t="shared" si="73"/>
        <v>166410.24750000003</v>
      </c>
      <c r="J73" s="35">
        <f t="shared" si="73"/>
        <v>174730.75987500005</v>
      </c>
      <c r="K73" s="35">
        <f t="shared" si="73"/>
        <v>183467.29786875006</v>
      </c>
      <c r="L73" s="124"/>
      <c r="M73" s="101"/>
      <c r="N73" s="123">
        <v>0.05</v>
      </c>
      <c r="O73" s="123">
        <v>0.05</v>
      </c>
      <c r="P73" s="123">
        <v>0.05</v>
      </c>
      <c r="Q73" s="123">
        <v>0.05</v>
      </c>
      <c r="R73" s="123">
        <v>0.05</v>
      </c>
      <c r="S73" s="24"/>
      <c r="T73" s="24"/>
      <c r="U73" s="24"/>
      <c r="V73" s="24"/>
      <c r="W73" s="24"/>
      <c r="X73" s="24"/>
      <c r="Y73" s="24"/>
      <c r="Z73" s="24"/>
    </row>
    <row r="74" spans="1:26" ht="15.5" outlineLevel="1" x14ac:dyDescent="0.35">
      <c r="A74" s="24" t="s">
        <v>101</v>
      </c>
      <c r="B74" s="126">
        <v>526200</v>
      </c>
      <c r="C74" s="119" t="s">
        <v>102</v>
      </c>
      <c r="D74" s="120">
        <v>76543.56</v>
      </c>
      <c r="E74" s="120">
        <v>94409.16</v>
      </c>
      <c r="F74" s="98">
        <v>37375</v>
      </c>
      <c r="G74" s="35">
        <v>115200</v>
      </c>
      <c r="H74" s="35">
        <f t="shared" ref="H74:K74" si="74">G74*(1+O74)</f>
        <v>120960</v>
      </c>
      <c r="I74" s="35">
        <f t="shared" si="74"/>
        <v>127008</v>
      </c>
      <c r="J74" s="35">
        <f t="shared" si="74"/>
        <v>133358.39999999999</v>
      </c>
      <c r="K74" s="35">
        <f t="shared" si="74"/>
        <v>140026.32</v>
      </c>
      <c r="L74" s="124"/>
      <c r="M74" s="101"/>
      <c r="N74" s="123">
        <v>0.05</v>
      </c>
      <c r="O74" s="123">
        <v>0.05</v>
      </c>
      <c r="P74" s="123">
        <v>0.05</v>
      </c>
      <c r="Q74" s="123">
        <v>0.05</v>
      </c>
      <c r="R74" s="123">
        <v>0.05</v>
      </c>
      <c r="S74" s="24"/>
      <c r="T74" s="24"/>
      <c r="U74" s="24"/>
      <c r="V74" s="24"/>
      <c r="W74" s="24"/>
      <c r="X74" s="24"/>
      <c r="Y74" s="24"/>
      <c r="Z74" s="24"/>
    </row>
    <row r="75" spans="1:26" ht="15.5" outlineLevel="1" x14ac:dyDescent="0.35">
      <c r="A75" s="24" t="s">
        <v>103</v>
      </c>
      <c r="B75" s="118" t="s">
        <v>104</v>
      </c>
      <c r="C75" s="119" t="s">
        <v>105</v>
      </c>
      <c r="D75" s="120">
        <v>31776.73</v>
      </c>
      <c r="E75" s="120">
        <v>31731.67</v>
      </c>
      <c r="F75" s="98">
        <v>35673.89</v>
      </c>
      <c r="G75" s="35">
        <v>39099</v>
      </c>
      <c r="H75" s="35">
        <f t="shared" ref="H75:K75" si="75">G75*(1+O75)</f>
        <v>41053.950000000004</v>
      </c>
      <c r="I75" s="35">
        <f t="shared" si="75"/>
        <v>43106.647500000006</v>
      </c>
      <c r="J75" s="35">
        <f t="shared" si="75"/>
        <v>45261.979875000012</v>
      </c>
      <c r="K75" s="35">
        <f t="shared" si="75"/>
        <v>47525.078868750017</v>
      </c>
      <c r="L75" s="124"/>
      <c r="M75" s="101"/>
      <c r="N75" s="123">
        <v>0.05</v>
      </c>
      <c r="O75" s="123">
        <v>0.05</v>
      </c>
      <c r="P75" s="123">
        <v>0.05</v>
      </c>
      <c r="Q75" s="123">
        <v>0.05</v>
      </c>
      <c r="R75" s="123">
        <v>0.05</v>
      </c>
      <c r="S75" s="24"/>
      <c r="T75" s="24"/>
      <c r="U75" s="24"/>
      <c r="V75" s="24"/>
      <c r="W75" s="24"/>
      <c r="X75" s="24"/>
      <c r="Y75" s="24"/>
      <c r="Z75" s="24"/>
    </row>
    <row r="76" spans="1:26" ht="15.5" outlineLevel="1" x14ac:dyDescent="0.35">
      <c r="A76" s="24"/>
      <c r="B76" s="127">
        <v>529400</v>
      </c>
      <c r="C76" s="119" t="s">
        <v>106</v>
      </c>
      <c r="D76" s="120">
        <v>28477.45</v>
      </c>
      <c r="E76" s="120">
        <v>29907.61</v>
      </c>
      <c r="F76" s="98">
        <v>30003.200000000001</v>
      </c>
      <c r="G76" s="35">
        <v>30596</v>
      </c>
      <c r="H76" s="35">
        <f t="shared" ref="H76:K76" si="76">G76*(1+O76)</f>
        <v>32125.800000000003</v>
      </c>
      <c r="I76" s="35">
        <f t="shared" si="76"/>
        <v>33732.090000000004</v>
      </c>
      <c r="J76" s="35">
        <f t="shared" si="76"/>
        <v>35418.694500000005</v>
      </c>
      <c r="K76" s="35">
        <f t="shared" si="76"/>
        <v>37189.629225000004</v>
      </c>
      <c r="L76" s="124"/>
      <c r="M76" s="101"/>
      <c r="N76" s="123">
        <v>0.05</v>
      </c>
      <c r="O76" s="123">
        <v>0.05</v>
      </c>
      <c r="P76" s="123">
        <v>0.05</v>
      </c>
      <c r="Q76" s="123">
        <v>0.05</v>
      </c>
      <c r="R76" s="123">
        <v>0.05</v>
      </c>
      <c r="S76" s="24"/>
      <c r="T76" s="24"/>
      <c r="U76" s="24"/>
      <c r="V76" s="24"/>
      <c r="W76" s="24"/>
      <c r="X76" s="24"/>
      <c r="Y76" s="24"/>
      <c r="Z76" s="24"/>
    </row>
    <row r="77" spans="1:26" ht="15.5" outlineLevel="1" x14ac:dyDescent="0.35">
      <c r="A77" s="24"/>
      <c r="B77" s="118" t="s">
        <v>107</v>
      </c>
      <c r="C77" s="119" t="s">
        <v>108</v>
      </c>
      <c r="D77" s="120">
        <v>24114.45</v>
      </c>
      <c r="E77" s="120">
        <v>26299.64</v>
      </c>
      <c r="F77" s="98">
        <v>0</v>
      </c>
      <c r="G77" s="35">
        <v>0</v>
      </c>
      <c r="H77" s="35">
        <f t="shared" ref="H77:K77" si="77">G77*(1+O77)</f>
        <v>0</v>
      </c>
      <c r="I77" s="35">
        <f t="shared" si="77"/>
        <v>0</v>
      </c>
      <c r="J77" s="35">
        <f t="shared" si="77"/>
        <v>0</v>
      </c>
      <c r="K77" s="35">
        <f t="shared" si="77"/>
        <v>0</v>
      </c>
      <c r="L77" s="124"/>
      <c r="M77" s="101"/>
      <c r="N77" s="123">
        <v>0.05</v>
      </c>
      <c r="O77" s="123">
        <v>0.05</v>
      </c>
      <c r="P77" s="123">
        <v>0.05</v>
      </c>
      <c r="Q77" s="123">
        <v>0.05</v>
      </c>
      <c r="R77" s="123">
        <v>0.05</v>
      </c>
      <c r="S77" s="24"/>
      <c r="T77" s="24"/>
      <c r="U77" s="24"/>
      <c r="V77" s="24"/>
      <c r="W77" s="24"/>
      <c r="X77" s="24"/>
      <c r="Y77" s="24"/>
      <c r="Z77" s="24"/>
    </row>
    <row r="78" spans="1:26" ht="15.5" outlineLevel="1" x14ac:dyDescent="0.35">
      <c r="A78" s="24"/>
      <c r="B78" s="118" t="s">
        <v>109</v>
      </c>
      <c r="C78" s="119" t="s">
        <v>110</v>
      </c>
      <c r="D78" s="120">
        <v>52929.56</v>
      </c>
      <c r="E78" s="120">
        <v>56784.160000000003</v>
      </c>
      <c r="F78" s="98">
        <v>56580</v>
      </c>
      <c r="G78" s="35">
        <v>106662</v>
      </c>
      <c r="H78" s="35">
        <f t="shared" ref="H78:K78" si="78">G78*(1+O78)</f>
        <v>111995.1</v>
      </c>
      <c r="I78" s="35">
        <f t="shared" si="78"/>
        <v>117594.85500000001</v>
      </c>
      <c r="J78" s="35">
        <f t="shared" si="78"/>
        <v>123474.59775000002</v>
      </c>
      <c r="K78" s="35">
        <f t="shared" si="78"/>
        <v>129648.32763750003</v>
      </c>
      <c r="L78" s="124"/>
      <c r="M78" s="101"/>
      <c r="N78" s="123">
        <v>0.05</v>
      </c>
      <c r="O78" s="123">
        <v>0.05</v>
      </c>
      <c r="P78" s="123">
        <v>0.05</v>
      </c>
      <c r="Q78" s="123">
        <v>0.05</v>
      </c>
      <c r="R78" s="123">
        <v>0.05</v>
      </c>
      <c r="S78" s="24"/>
      <c r="T78" s="24"/>
      <c r="U78" s="24"/>
      <c r="V78" s="24"/>
      <c r="W78" s="24"/>
      <c r="X78" s="24"/>
      <c r="Y78" s="24"/>
      <c r="Z78" s="24"/>
    </row>
    <row r="79" spans="1:26" ht="15.5" outlineLevel="1" x14ac:dyDescent="0.35">
      <c r="A79" s="24"/>
      <c r="B79" s="118" t="s">
        <v>111</v>
      </c>
      <c r="C79" s="119" t="s">
        <v>112</v>
      </c>
      <c r="D79" s="120">
        <v>44835.21</v>
      </c>
      <c r="E79" s="120">
        <v>56105.66</v>
      </c>
      <c r="F79" s="98">
        <v>41458.81</v>
      </c>
      <c r="G79" s="121">
        <v>45231</v>
      </c>
      <c r="H79" s="35">
        <f t="shared" ref="H79:K79" si="79">G79*(1+O79)</f>
        <v>47492.55</v>
      </c>
      <c r="I79" s="35">
        <f t="shared" si="79"/>
        <v>49867.177500000005</v>
      </c>
      <c r="J79" s="35">
        <f t="shared" si="79"/>
        <v>52360.536375000011</v>
      </c>
      <c r="K79" s="35">
        <f t="shared" si="79"/>
        <v>54978.563193750015</v>
      </c>
      <c r="L79" s="124"/>
      <c r="M79" s="101"/>
      <c r="N79" s="123">
        <v>0.05</v>
      </c>
      <c r="O79" s="123">
        <v>0.05</v>
      </c>
      <c r="P79" s="123">
        <v>0.05</v>
      </c>
      <c r="Q79" s="123">
        <v>0.05</v>
      </c>
      <c r="R79" s="123">
        <v>0.05</v>
      </c>
      <c r="S79" s="24"/>
      <c r="T79" s="24"/>
      <c r="U79" s="24"/>
      <c r="V79" s="24"/>
      <c r="W79" s="24"/>
      <c r="X79" s="24"/>
      <c r="Y79" s="24"/>
      <c r="Z79" s="24"/>
    </row>
    <row r="80" spans="1:26" ht="15.5" outlineLevel="1" x14ac:dyDescent="0.35">
      <c r="A80" s="24"/>
      <c r="B80" s="118" t="s">
        <v>113</v>
      </c>
      <c r="C80" s="119" t="s">
        <v>114</v>
      </c>
      <c r="D80" s="120">
        <v>160511.53</v>
      </c>
      <c r="E80" s="120">
        <v>174242.3</v>
      </c>
      <c r="F80" s="98">
        <v>181328.44</v>
      </c>
      <c r="G80" s="35">
        <v>179204</v>
      </c>
      <c r="H80" s="35">
        <f t="shared" ref="H80:K80" si="80">G80*(1+O80)</f>
        <v>188164.2</v>
      </c>
      <c r="I80" s="35">
        <f t="shared" si="80"/>
        <v>197572.41000000003</v>
      </c>
      <c r="J80" s="35">
        <f t="shared" si="80"/>
        <v>207451.03050000005</v>
      </c>
      <c r="K80" s="35">
        <f t="shared" si="80"/>
        <v>217823.58202500007</v>
      </c>
      <c r="L80" s="124"/>
      <c r="M80" s="101"/>
      <c r="N80" s="123">
        <v>0.05</v>
      </c>
      <c r="O80" s="123">
        <v>0.05</v>
      </c>
      <c r="P80" s="123">
        <v>0.05</v>
      </c>
      <c r="Q80" s="123">
        <v>0.05</v>
      </c>
      <c r="R80" s="123">
        <v>0.05</v>
      </c>
      <c r="S80" s="24"/>
      <c r="T80" s="24"/>
      <c r="U80" s="24"/>
      <c r="V80" s="24"/>
      <c r="W80" s="24"/>
      <c r="X80" s="24"/>
      <c r="Y80" s="24"/>
      <c r="Z80" s="24"/>
    </row>
    <row r="81" spans="1:26" ht="15.5" outlineLevel="1" x14ac:dyDescent="0.35">
      <c r="A81" s="24"/>
      <c r="B81" s="118" t="s">
        <v>115</v>
      </c>
      <c r="C81" s="119" t="s">
        <v>116</v>
      </c>
      <c r="D81" s="120">
        <v>496453.05</v>
      </c>
      <c r="E81" s="120">
        <v>551817.1</v>
      </c>
      <c r="F81" s="98">
        <v>670052.54</v>
      </c>
      <c r="G81" s="35">
        <v>707807</v>
      </c>
      <c r="H81" s="35">
        <f t="shared" ref="H81:K81" si="81">G81*(1+O81)</f>
        <v>743197.35</v>
      </c>
      <c r="I81" s="35">
        <f t="shared" si="81"/>
        <v>780357.21750000003</v>
      </c>
      <c r="J81" s="35">
        <f t="shared" si="81"/>
        <v>819375.07837500004</v>
      </c>
      <c r="K81" s="35">
        <f t="shared" si="81"/>
        <v>860343.83229375014</v>
      </c>
      <c r="L81" s="124"/>
      <c r="M81" s="101"/>
      <c r="N81" s="123">
        <v>0.05</v>
      </c>
      <c r="O81" s="123">
        <v>0.05</v>
      </c>
      <c r="P81" s="123">
        <v>0.05</v>
      </c>
      <c r="Q81" s="123">
        <v>0.05</v>
      </c>
      <c r="R81" s="123">
        <v>0.05</v>
      </c>
      <c r="S81" s="24"/>
      <c r="T81" s="24"/>
      <c r="U81" s="24"/>
      <c r="V81" s="24"/>
      <c r="W81" s="24"/>
      <c r="X81" s="24"/>
      <c r="Y81" s="24"/>
      <c r="Z81" s="24"/>
    </row>
    <row r="82" spans="1:26" ht="15.5" outlineLevel="1" x14ac:dyDescent="0.35">
      <c r="A82" s="24"/>
      <c r="B82" s="127">
        <v>557600</v>
      </c>
      <c r="C82" s="119" t="s">
        <v>117</v>
      </c>
      <c r="D82" s="120">
        <v>21069.56</v>
      </c>
      <c r="E82" s="120">
        <v>23720.16</v>
      </c>
      <c r="F82" s="98">
        <v>23516</v>
      </c>
      <c r="G82" s="35">
        <v>23970</v>
      </c>
      <c r="H82" s="35">
        <f t="shared" ref="H82:K82" si="82">G82*(1+O82)</f>
        <v>25168.5</v>
      </c>
      <c r="I82" s="35">
        <f t="shared" si="82"/>
        <v>26426.925000000003</v>
      </c>
      <c r="J82" s="35">
        <f t="shared" si="82"/>
        <v>27748.271250000005</v>
      </c>
      <c r="K82" s="35">
        <f t="shared" si="82"/>
        <v>29135.684812500007</v>
      </c>
      <c r="L82" s="124"/>
      <c r="M82" s="101"/>
      <c r="N82" s="123">
        <v>0.05</v>
      </c>
      <c r="O82" s="123">
        <v>0.05</v>
      </c>
      <c r="P82" s="123">
        <v>0.05</v>
      </c>
      <c r="Q82" s="123">
        <v>0.05</v>
      </c>
      <c r="R82" s="123">
        <v>0.05</v>
      </c>
      <c r="S82" s="24"/>
      <c r="T82" s="24"/>
      <c r="U82" s="24"/>
      <c r="V82" s="24"/>
      <c r="W82" s="24"/>
      <c r="X82" s="24"/>
      <c r="Y82" s="24"/>
      <c r="Z82" s="24"/>
    </row>
    <row r="83" spans="1:26" ht="15.5" outlineLevel="1" x14ac:dyDescent="0.35">
      <c r="A83" s="24"/>
      <c r="B83" s="118" t="s">
        <v>118</v>
      </c>
      <c r="C83" s="119" t="s">
        <v>119</v>
      </c>
      <c r="D83" s="120">
        <v>134652.64000000001</v>
      </c>
      <c r="E83" s="120">
        <v>147639.49</v>
      </c>
      <c r="F83" s="98">
        <v>153147.04</v>
      </c>
      <c r="G83" s="35">
        <v>91240</v>
      </c>
      <c r="H83" s="35">
        <f t="shared" ref="H83:K83" si="83">G83*(1+O83)</f>
        <v>95802</v>
      </c>
      <c r="I83" s="35">
        <f t="shared" si="83"/>
        <v>100592.1</v>
      </c>
      <c r="J83" s="35">
        <f t="shared" si="83"/>
        <v>105621.70500000002</v>
      </c>
      <c r="K83" s="35">
        <f t="shared" si="83"/>
        <v>110902.79025000002</v>
      </c>
      <c r="L83" s="124"/>
      <c r="M83" s="101"/>
      <c r="N83" s="123">
        <v>0.05</v>
      </c>
      <c r="O83" s="123">
        <v>0.05</v>
      </c>
      <c r="P83" s="123">
        <v>0.05</v>
      </c>
      <c r="Q83" s="123">
        <v>0.05</v>
      </c>
      <c r="R83" s="123">
        <v>0.05</v>
      </c>
      <c r="S83" s="24"/>
      <c r="T83" s="24"/>
      <c r="U83" s="24"/>
      <c r="V83" s="24"/>
      <c r="W83" s="24"/>
      <c r="X83" s="24"/>
      <c r="Y83" s="24"/>
      <c r="Z83" s="24"/>
    </row>
    <row r="84" spans="1:26" ht="15.5" outlineLevel="1" x14ac:dyDescent="0.35">
      <c r="A84" s="24"/>
      <c r="B84" s="127">
        <v>591400</v>
      </c>
      <c r="C84" s="119" t="s">
        <v>120</v>
      </c>
      <c r="D84" s="120">
        <v>0</v>
      </c>
      <c r="E84" s="120">
        <v>23302.36</v>
      </c>
      <c r="F84" s="98">
        <v>46720.47</v>
      </c>
      <c r="G84" s="35">
        <v>53097</v>
      </c>
      <c r="H84" s="35">
        <f t="shared" ref="H84:K84" si="84">G84*(1+O84)</f>
        <v>55751.850000000006</v>
      </c>
      <c r="I84" s="35">
        <f t="shared" si="84"/>
        <v>58539.442500000012</v>
      </c>
      <c r="J84" s="35">
        <f t="shared" si="84"/>
        <v>61466.414625000012</v>
      </c>
      <c r="K84" s="35">
        <f t="shared" si="84"/>
        <v>64539.735356250014</v>
      </c>
      <c r="L84" s="124"/>
      <c r="M84" s="101"/>
      <c r="N84" s="123">
        <v>0.05</v>
      </c>
      <c r="O84" s="123">
        <v>0.05</v>
      </c>
      <c r="P84" s="123">
        <v>0.05</v>
      </c>
      <c r="Q84" s="123">
        <v>0.05</v>
      </c>
      <c r="R84" s="123">
        <v>0.05</v>
      </c>
      <c r="S84" s="24"/>
      <c r="T84" s="24"/>
      <c r="U84" s="24"/>
      <c r="V84" s="24"/>
      <c r="W84" s="24"/>
      <c r="X84" s="24"/>
      <c r="Y84" s="24"/>
      <c r="Z84" s="24"/>
    </row>
    <row r="85" spans="1:26" ht="46.5" outlineLevel="1" x14ac:dyDescent="0.35">
      <c r="A85" s="24"/>
      <c r="B85" s="118" t="s">
        <v>121</v>
      </c>
      <c r="C85" s="119" t="s">
        <v>122</v>
      </c>
      <c r="D85" s="120">
        <v>16477.5</v>
      </c>
      <c r="E85" s="120">
        <v>14187.13</v>
      </c>
      <c r="F85" s="98">
        <v>25000</v>
      </c>
      <c r="G85" s="35">
        <v>25000</v>
      </c>
      <c r="H85" s="35">
        <f t="shared" ref="H85:K85" si="85">G85*(1+O85)</f>
        <v>25750</v>
      </c>
      <c r="I85" s="35">
        <f t="shared" si="85"/>
        <v>26522.5</v>
      </c>
      <c r="J85" s="35">
        <f t="shared" si="85"/>
        <v>27318.174999999999</v>
      </c>
      <c r="K85" s="35">
        <f t="shared" si="85"/>
        <v>28137.720249999998</v>
      </c>
      <c r="L85" s="122" t="s">
        <v>123</v>
      </c>
      <c r="M85" s="101"/>
      <c r="N85" s="99">
        <v>0.03</v>
      </c>
      <c r="O85" s="99">
        <v>0.03</v>
      </c>
      <c r="P85" s="99">
        <v>0.03</v>
      </c>
      <c r="Q85" s="99">
        <v>0.03</v>
      </c>
      <c r="R85" s="99">
        <v>0.03</v>
      </c>
      <c r="S85" s="24"/>
      <c r="T85" s="24"/>
      <c r="U85" s="24"/>
      <c r="V85" s="24"/>
      <c r="W85" s="24"/>
      <c r="X85" s="24"/>
      <c r="Y85" s="24"/>
      <c r="Z85" s="24"/>
    </row>
    <row r="86" spans="1:26" ht="15.5" outlineLevel="1" x14ac:dyDescent="0.35">
      <c r="A86" s="24"/>
      <c r="B86" s="118" t="s">
        <v>124</v>
      </c>
      <c r="C86" s="119" t="s">
        <v>125</v>
      </c>
      <c r="D86" s="120">
        <v>107128.4</v>
      </c>
      <c r="E86" s="120">
        <v>9934</v>
      </c>
      <c r="F86" s="98">
        <v>12725.09</v>
      </c>
      <c r="G86" s="35">
        <v>15000</v>
      </c>
      <c r="H86" s="35">
        <f t="shared" ref="H86:K86" si="86">G86*(1+O86)</f>
        <v>15000</v>
      </c>
      <c r="I86" s="35">
        <f t="shared" si="86"/>
        <v>15000</v>
      </c>
      <c r="J86" s="35">
        <f t="shared" si="86"/>
        <v>15000</v>
      </c>
      <c r="K86" s="35">
        <f t="shared" si="86"/>
        <v>15000</v>
      </c>
      <c r="L86" s="124"/>
      <c r="M86" s="101"/>
      <c r="N86" s="128">
        <v>0</v>
      </c>
      <c r="O86" s="128">
        <v>0</v>
      </c>
      <c r="P86" s="128">
        <v>0</v>
      </c>
      <c r="Q86" s="128">
        <v>0</v>
      </c>
      <c r="R86" s="128">
        <v>0</v>
      </c>
      <c r="S86" s="24"/>
      <c r="T86" s="24"/>
      <c r="U86" s="24"/>
      <c r="V86" s="24"/>
      <c r="W86" s="24"/>
      <c r="X86" s="24"/>
      <c r="Y86" s="24"/>
      <c r="Z86" s="24"/>
    </row>
    <row r="87" spans="1:26" ht="15.5" outlineLevel="1" x14ac:dyDescent="0.35">
      <c r="A87" s="24"/>
      <c r="B87" s="118" t="s">
        <v>126</v>
      </c>
      <c r="C87" s="119" t="s">
        <v>127</v>
      </c>
      <c r="D87" s="120">
        <v>70810</v>
      </c>
      <c r="E87" s="120">
        <v>1000</v>
      </c>
      <c r="F87" s="98">
        <v>4024.94</v>
      </c>
      <c r="G87" s="35">
        <v>1750</v>
      </c>
      <c r="H87" s="35">
        <f t="shared" ref="H87:K87" si="87">G87*(1+O87)</f>
        <v>1750</v>
      </c>
      <c r="I87" s="35">
        <f t="shared" si="87"/>
        <v>1750</v>
      </c>
      <c r="J87" s="35">
        <f t="shared" si="87"/>
        <v>1750</v>
      </c>
      <c r="K87" s="35">
        <f t="shared" si="87"/>
        <v>1750</v>
      </c>
      <c r="L87" s="124"/>
      <c r="M87" s="101"/>
      <c r="N87" s="128">
        <v>0</v>
      </c>
      <c r="O87" s="128">
        <v>0</v>
      </c>
      <c r="P87" s="128">
        <v>0</v>
      </c>
      <c r="Q87" s="128">
        <v>0</v>
      </c>
      <c r="R87" s="128">
        <v>0</v>
      </c>
      <c r="S87" s="24"/>
      <c r="T87" s="24"/>
      <c r="U87" s="24"/>
      <c r="V87" s="24"/>
      <c r="W87" s="24"/>
      <c r="X87" s="24"/>
      <c r="Y87" s="24"/>
      <c r="Z87" s="24"/>
    </row>
    <row r="88" spans="1:26" ht="15.5" outlineLevel="1" x14ac:dyDescent="0.35">
      <c r="A88" s="24"/>
      <c r="B88" s="118" t="s">
        <v>128</v>
      </c>
      <c r="C88" s="119" t="s">
        <v>129</v>
      </c>
      <c r="D88" s="120">
        <v>6000</v>
      </c>
      <c r="E88" s="120">
        <v>550</v>
      </c>
      <c r="F88" s="98">
        <v>1750</v>
      </c>
      <c r="G88" s="35">
        <v>1750</v>
      </c>
      <c r="H88" s="35">
        <f t="shared" ref="H88:K88" si="88">G88*(1+O88)</f>
        <v>1750</v>
      </c>
      <c r="I88" s="35">
        <f t="shared" si="88"/>
        <v>1750</v>
      </c>
      <c r="J88" s="35">
        <f t="shared" si="88"/>
        <v>1750</v>
      </c>
      <c r="K88" s="35">
        <f t="shared" si="88"/>
        <v>1750</v>
      </c>
      <c r="L88" s="124"/>
      <c r="M88" s="101"/>
      <c r="N88" s="128">
        <v>0</v>
      </c>
      <c r="O88" s="128">
        <v>0</v>
      </c>
      <c r="P88" s="128">
        <v>0</v>
      </c>
      <c r="Q88" s="128">
        <v>0</v>
      </c>
      <c r="R88" s="128">
        <v>0</v>
      </c>
      <c r="S88" s="24"/>
      <c r="T88" s="24"/>
      <c r="U88" s="24"/>
      <c r="V88" s="24"/>
      <c r="W88" s="24"/>
      <c r="X88" s="24"/>
      <c r="Y88" s="24"/>
      <c r="Z88" s="24"/>
    </row>
    <row r="89" spans="1:26" ht="15.5" outlineLevel="1" x14ac:dyDescent="0.35">
      <c r="A89" s="24"/>
      <c r="B89" s="95"/>
      <c r="C89" s="129"/>
      <c r="D89" s="130"/>
      <c r="E89" s="130"/>
      <c r="F89" s="131"/>
      <c r="G89" s="132"/>
      <c r="H89" s="132"/>
      <c r="I89" s="132"/>
      <c r="J89" s="132"/>
      <c r="K89" s="132"/>
      <c r="L89" s="124"/>
      <c r="M89" s="101"/>
      <c r="N89" s="99"/>
      <c r="O89" s="99"/>
      <c r="P89" s="99"/>
      <c r="Q89" s="99"/>
      <c r="R89" s="99"/>
      <c r="S89" s="24"/>
      <c r="T89" s="24"/>
      <c r="U89" s="24"/>
      <c r="V89" s="24"/>
      <c r="W89" s="24"/>
      <c r="X89" s="24"/>
      <c r="Y89" s="24"/>
      <c r="Z89" s="24"/>
    </row>
    <row r="90" spans="1:26" ht="15.5" x14ac:dyDescent="0.35">
      <c r="A90" s="133" t="s">
        <v>130</v>
      </c>
      <c r="B90" s="25"/>
      <c r="C90" s="134" t="s">
        <v>131</v>
      </c>
      <c r="D90" s="135">
        <f t="shared" ref="D90:K90" si="89">SUM(D68:D89)</f>
        <v>3770763.8900000006</v>
      </c>
      <c r="E90" s="135">
        <f t="shared" si="89"/>
        <v>4187966.3800000004</v>
      </c>
      <c r="F90" s="136">
        <f t="shared" si="89"/>
        <v>4210168.3100000015</v>
      </c>
      <c r="G90" s="137">
        <f t="shared" si="89"/>
        <v>4736825</v>
      </c>
      <c r="H90" s="137">
        <f t="shared" si="89"/>
        <v>4972241.25</v>
      </c>
      <c r="I90" s="137">
        <f t="shared" si="89"/>
        <v>5219413.3124999991</v>
      </c>
      <c r="J90" s="137">
        <f t="shared" si="89"/>
        <v>5478928.5281250002</v>
      </c>
      <c r="K90" s="137">
        <f t="shared" si="89"/>
        <v>5751403.5910312487</v>
      </c>
      <c r="L90" s="124"/>
      <c r="M90" s="24"/>
      <c r="N90" s="99"/>
      <c r="O90" s="99"/>
      <c r="P90" s="99"/>
      <c r="Q90" s="99"/>
      <c r="R90" s="99"/>
      <c r="S90" s="24"/>
      <c r="T90" s="24"/>
      <c r="U90" s="24"/>
      <c r="V90" s="24"/>
      <c r="W90" s="24"/>
      <c r="X90" s="24"/>
      <c r="Y90" s="24"/>
      <c r="Z90" s="24"/>
    </row>
    <row r="91" spans="1:26" ht="15.5" x14ac:dyDescent="0.25">
      <c r="A91" s="24"/>
      <c r="B91" s="25"/>
      <c r="C91" s="115"/>
      <c r="D91" s="92"/>
      <c r="E91" s="92"/>
      <c r="F91" s="138"/>
      <c r="G91" s="139"/>
      <c r="H91" s="139"/>
      <c r="I91" s="139"/>
      <c r="J91" s="139"/>
      <c r="K91" s="139"/>
      <c r="L91" s="46"/>
      <c r="M91" s="24"/>
      <c r="N91" s="99"/>
      <c r="O91" s="99"/>
      <c r="P91" s="99"/>
      <c r="Q91" s="99"/>
      <c r="R91" s="99"/>
      <c r="S91" s="24"/>
      <c r="T91" s="24"/>
      <c r="U91" s="24"/>
      <c r="V91" s="24"/>
      <c r="W91" s="24"/>
      <c r="X91" s="24"/>
      <c r="Y91" s="24"/>
      <c r="Z91" s="24"/>
    </row>
    <row r="92" spans="1:26" ht="15.5" x14ac:dyDescent="0.35">
      <c r="A92" s="24"/>
      <c r="B92" s="118" t="s">
        <v>132</v>
      </c>
      <c r="C92" s="119" t="s">
        <v>133</v>
      </c>
      <c r="D92" s="120">
        <v>976220.81</v>
      </c>
      <c r="E92" s="120">
        <v>1123822.79</v>
      </c>
      <c r="F92" s="140">
        <v>1246953.77</v>
      </c>
      <c r="G92" s="121">
        <v>1436280</v>
      </c>
      <c r="H92" s="141">
        <f t="shared" ref="H92:K92" si="90">(H90-H89)*((G92/(G90-G89))+0.0025)</f>
        <v>1520092.5206647022</v>
      </c>
      <c r="I92" s="141">
        <f t="shared" si="90"/>
        <v>1608705.449282465</v>
      </c>
      <c r="J92" s="141">
        <f t="shared" si="90"/>
        <v>1702389.4504366624</v>
      </c>
      <c r="K92" s="141">
        <f t="shared" si="90"/>
        <v>1801430.256105562</v>
      </c>
      <c r="L92" s="3"/>
      <c r="M92" s="24"/>
      <c r="N92" s="99">
        <v>0.03</v>
      </c>
      <c r="O92" s="99">
        <v>0.03</v>
      </c>
      <c r="P92" s="99">
        <v>0.03</v>
      </c>
      <c r="Q92" s="99">
        <v>0.03</v>
      </c>
      <c r="R92" s="99">
        <v>0.03</v>
      </c>
      <c r="S92" s="24"/>
      <c r="T92" s="24"/>
      <c r="U92" s="24"/>
      <c r="V92" s="24"/>
      <c r="W92" s="24"/>
      <c r="X92" s="24"/>
      <c r="Y92" s="24"/>
      <c r="Z92" s="24"/>
    </row>
    <row r="93" spans="1:26" ht="15.5" outlineLevel="1" x14ac:dyDescent="0.25">
      <c r="A93" s="24" t="s">
        <v>134</v>
      </c>
      <c r="B93" s="25"/>
      <c r="C93" s="115"/>
      <c r="D93" s="92"/>
      <c r="E93" s="92"/>
      <c r="F93" s="142">
        <f t="shared" ref="F93:K93" si="91">F92/(F90-F89)</f>
        <v>0.29617670320643302</v>
      </c>
      <c r="G93" s="143">
        <f t="shared" si="91"/>
        <v>0.30321576161247249</v>
      </c>
      <c r="H93" s="143">
        <f t="shared" si="91"/>
        <v>0.30571576161247249</v>
      </c>
      <c r="I93" s="143">
        <f t="shared" si="91"/>
        <v>0.30821576161247249</v>
      </c>
      <c r="J93" s="143">
        <f t="shared" si="91"/>
        <v>0.3107157616124725</v>
      </c>
      <c r="K93" s="143">
        <f t="shared" si="91"/>
        <v>0.3132157616124725</v>
      </c>
      <c r="L93" s="3"/>
      <c r="M93" s="24"/>
      <c r="N93" s="99"/>
      <c r="O93" s="99"/>
      <c r="P93" s="99"/>
      <c r="Q93" s="99"/>
      <c r="R93" s="99"/>
      <c r="S93" s="24"/>
      <c r="T93" s="24"/>
      <c r="U93" s="24"/>
      <c r="V93" s="24"/>
      <c r="W93" s="24"/>
      <c r="X93" s="24"/>
      <c r="Y93" s="24"/>
      <c r="Z93" s="24"/>
    </row>
    <row r="94" spans="1:26" ht="15.5" x14ac:dyDescent="0.25">
      <c r="A94" s="133" t="s">
        <v>135</v>
      </c>
      <c r="B94" s="25"/>
      <c r="C94" s="134" t="s">
        <v>136</v>
      </c>
      <c r="D94" s="137">
        <f t="shared" ref="D94:K94" si="92">SUM(D92:D93)</f>
        <v>976220.81</v>
      </c>
      <c r="E94" s="137">
        <f t="shared" si="92"/>
        <v>1123822.79</v>
      </c>
      <c r="F94" s="136">
        <f t="shared" si="92"/>
        <v>1246954.0661767032</v>
      </c>
      <c r="G94" s="137">
        <f t="shared" si="92"/>
        <v>1436280.3032157617</v>
      </c>
      <c r="H94" s="137">
        <f t="shared" si="92"/>
        <v>1520092.8263804638</v>
      </c>
      <c r="I94" s="137">
        <f t="shared" si="92"/>
        <v>1608705.7574982266</v>
      </c>
      <c r="J94" s="137">
        <f t="shared" si="92"/>
        <v>1702389.7611524239</v>
      </c>
      <c r="K94" s="137">
        <f t="shared" si="92"/>
        <v>1801430.5693213237</v>
      </c>
      <c r="L94" s="3"/>
      <c r="M94" s="24"/>
      <c r="N94" s="99"/>
      <c r="O94" s="99"/>
      <c r="P94" s="99"/>
      <c r="Q94" s="99"/>
      <c r="R94" s="99"/>
      <c r="S94" s="24"/>
      <c r="T94" s="24"/>
      <c r="U94" s="24"/>
      <c r="V94" s="24"/>
      <c r="W94" s="24"/>
      <c r="X94" s="24"/>
      <c r="Y94" s="24"/>
      <c r="Z94" s="24"/>
    </row>
    <row r="95" spans="1:26" ht="15.5" x14ac:dyDescent="0.25">
      <c r="A95" s="24"/>
      <c r="B95" s="25"/>
      <c r="C95" s="129"/>
      <c r="D95" s="111"/>
      <c r="E95" s="111"/>
      <c r="F95" s="144"/>
      <c r="G95" s="141"/>
      <c r="H95" s="141"/>
      <c r="I95" s="141"/>
      <c r="J95" s="141"/>
      <c r="K95" s="141"/>
      <c r="L95" s="3"/>
      <c r="M95" s="24"/>
      <c r="N95" s="99"/>
      <c r="O95" s="99"/>
      <c r="P95" s="99"/>
      <c r="Q95" s="99"/>
      <c r="R95" s="99"/>
      <c r="S95" s="24"/>
      <c r="T95" s="24"/>
      <c r="U95" s="24"/>
      <c r="V95" s="24"/>
      <c r="W95" s="24"/>
      <c r="X95" s="24"/>
      <c r="Y95" s="24"/>
      <c r="Z95" s="24"/>
    </row>
    <row r="96" spans="1:26" ht="15.5" x14ac:dyDescent="0.25">
      <c r="A96" s="106"/>
      <c r="B96" s="25"/>
      <c r="C96" s="145" t="s">
        <v>137</v>
      </c>
      <c r="D96" s="146">
        <f t="shared" ref="D96:K96" si="93">SUM(D90+D94)</f>
        <v>4746984.7000000011</v>
      </c>
      <c r="E96" s="146">
        <f t="shared" si="93"/>
        <v>5311789.17</v>
      </c>
      <c r="F96" s="147">
        <f t="shared" si="93"/>
        <v>5457122.3761767047</v>
      </c>
      <c r="G96" s="146">
        <f t="shared" si="93"/>
        <v>6173105.3032157617</v>
      </c>
      <c r="H96" s="146">
        <f t="shared" si="93"/>
        <v>6492334.0763804633</v>
      </c>
      <c r="I96" s="146">
        <f t="shared" si="93"/>
        <v>6828119.0699982252</v>
      </c>
      <c r="J96" s="146">
        <f t="shared" si="93"/>
        <v>7181318.2892774241</v>
      </c>
      <c r="K96" s="146">
        <f t="shared" si="93"/>
        <v>7552834.1603525728</v>
      </c>
      <c r="L96" s="3"/>
      <c r="M96" s="24"/>
      <c r="N96" s="99"/>
      <c r="O96" s="99"/>
      <c r="P96" s="99"/>
      <c r="Q96" s="99"/>
      <c r="R96" s="99"/>
      <c r="S96" s="24"/>
      <c r="T96" s="24"/>
      <c r="U96" s="24"/>
      <c r="V96" s="24"/>
      <c r="W96" s="24"/>
      <c r="X96" s="24"/>
      <c r="Y96" s="24"/>
      <c r="Z96" s="24"/>
    </row>
    <row r="97" spans="1:26" ht="15.5" x14ac:dyDescent="0.25">
      <c r="A97" s="24"/>
      <c r="B97" s="25"/>
      <c r="C97" s="115"/>
      <c r="D97" s="92"/>
      <c r="E97" s="92"/>
      <c r="F97" s="148"/>
      <c r="G97" s="149"/>
      <c r="H97" s="149"/>
      <c r="I97" s="149"/>
      <c r="J97" s="149"/>
      <c r="K97" s="149"/>
      <c r="L97" s="3"/>
      <c r="M97" s="24"/>
      <c r="N97" s="99"/>
      <c r="O97" s="99"/>
      <c r="P97" s="99"/>
      <c r="Q97" s="99"/>
      <c r="R97" s="99"/>
      <c r="S97" s="24"/>
      <c r="T97" s="24"/>
      <c r="U97" s="24"/>
      <c r="V97" s="24"/>
      <c r="W97" s="24"/>
      <c r="X97" s="24"/>
      <c r="Y97" s="24"/>
      <c r="Z97" s="24"/>
    </row>
    <row r="98" spans="1:26" ht="15.5" outlineLevel="1" x14ac:dyDescent="0.35">
      <c r="A98" s="24" t="s">
        <v>138</v>
      </c>
      <c r="B98" s="118" t="s">
        <v>139</v>
      </c>
      <c r="C98" s="119" t="s">
        <v>140</v>
      </c>
      <c r="D98" s="120">
        <v>1188.8399999999999</v>
      </c>
      <c r="E98" s="120">
        <v>1249.32</v>
      </c>
      <c r="F98" s="98">
        <v>550</v>
      </c>
      <c r="G98" s="35">
        <v>1100</v>
      </c>
      <c r="H98" s="35">
        <f t="shared" ref="H98:K98" si="94">G98*(1+O98)</f>
        <v>1122</v>
      </c>
      <c r="I98" s="35">
        <f t="shared" si="94"/>
        <v>1144.44</v>
      </c>
      <c r="J98" s="35">
        <f t="shared" si="94"/>
        <v>1167.3288</v>
      </c>
      <c r="K98" s="35">
        <f t="shared" si="94"/>
        <v>1190.6753759999999</v>
      </c>
      <c r="L98" s="3"/>
      <c r="M98" s="101"/>
      <c r="N98" s="99">
        <v>0.02</v>
      </c>
      <c r="O98" s="99">
        <v>0.02</v>
      </c>
      <c r="P98" s="99">
        <v>0.02</v>
      </c>
      <c r="Q98" s="99">
        <v>0.02</v>
      </c>
      <c r="R98" s="99">
        <v>0.02</v>
      </c>
      <c r="S98" s="24"/>
      <c r="T98" s="24"/>
      <c r="U98" s="24"/>
      <c r="V98" s="24"/>
      <c r="W98" s="24"/>
      <c r="X98" s="24"/>
      <c r="Y98" s="24"/>
      <c r="Z98" s="24"/>
    </row>
    <row r="99" spans="1:26" ht="15.5" outlineLevel="1" x14ac:dyDescent="0.35">
      <c r="A99" s="24" t="s">
        <v>141</v>
      </c>
      <c r="B99" s="118" t="s">
        <v>142</v>
      </c>
      <c r="C99" s="119" t="s">
        <v>143</v>
      </c>
      <c r="D99" s="120">
        <v>13828.66</v>
      </c>
      <c r="E99" s="120">
        <v>17281.2</v>
      </c>
      <c r="F99" s="98">
        <v>17210.98</v>
      </c>
      <c r="G99" s="35">
        <v>13350</v>
      </c>
      <c r="H99" s="35">
        <f t="shared" ref="H99:K99" si="95">G99*(1+O99)</f>
        <v>13617</v>
      </c>
      <c r="I99" s="35">
        <f t="shared" si="95"/>
        <v>13889.34</v>
      </c>
      <c r="J99" s="35">
        <f t="shared" si="95"/>
        <v>14167.1268</v>
      </c>
      <c r="K99" s="35">
        <f t="shared" si="95"/>
        <v>14450.469336</v>
      </c>
      <c r="L99" s="3"/>
      <c r="M99" s="101"/>
      <c r="N99" s="99">
        <v>0.02</v>
      </c>
      <c r="O99" s="99">
        <v>0.02</v>
      </c>
      <c r="P99" s="99">
        <v>0.02</v>
      </c>
      <c r="Q99" s="99">
        <v>0.02</v>
      </c>
      <c r="R99" s="99">
        <v>0.02</v>
      </c>
      <c r="S99" s="24"/>
      <c r="T99" s="24"/>
      <c r="U99" s="24"/>
      <c r="V99" s="24"/>
      <c r="W99" s="24"/>
      <c r="X99" s="24"/>
      <c r="Y99" s="24"/>
      <c r="Z99" s="24"/>
    </row>
    <row r="100" spans="1:26" ht="15.5" outlineLevel="1" x14ac:dyDescent="0.35">
      <c r="A100" s="24"/>
      <c r="B100" s="118" t="s">
        <v>144</v>
      </c>
      <c r="C100" s="119" t="s">
        <v>145</v>
      </c>
      <c r="D100" s="120">
        <v>1592.9</v>
      </c>
      <c r="E100" s="120">
        <v>1628</v>
      </c>
      <c r="F100" s="98">
        <v>1400</v>
      </c>
      <c r="G100" s="35">
        <v>2000</v>
      </c>
      <c r="H100" s="35">
        <f t="shared" ref="H100:K100" si="96">G100*(1+O100)</f>
        <v>2040</v>
      </c>
      <c r="I100" s="35">
        <f t="shared" si="96"/>
        <v>2080.8000000000002</v>
      </c>
      <c r="J100" s="35">
        <f t="shared" si="96"/>
        <v>2122.4160000000002</v>
      </c>
      <c r="K100" s="35">
        <f t="shared" si="96"/>
        <v>2164.8643200000001</v>
      </c>
      <c r="L100" s="3"/>
      <c r="M100" s="101"/>
      <c r="N100" s="99">
        <v>0.02</v>
      </c>
      <c r="O100" s="99">
        <v>0.02</v>
      </c>
      <c r="P100" s="99">
        <v>0.02</v>
      </c>
      <c r="Q100" s="99">
        <v>0.02</v>
      </c>
      <c r="R100" s="99">
        <v>0.02</v>
      </c>
      <c r="S100" s="24"/>
      <c r="T100" s="24"/>
      <c r="U100" s="24"/>
      <c r="V100" s="24"/>
      <c r="W100" s="24"/>
      <c r="X100" s="24"/>
      <c r="Y100" s="24"/>
      <c r="Z100" s="24"/>
    </row>
    <row r="101" spans="1:26" ht="15.5" outlineLevel="1" x14ac:dyDescent="0.35">
      <c r="A101" s="24"/>
      <c r="B101" s="118" t="s">
        <v>146</v>
      </c>
      <c r="C101" s="119" t="s">
        <v>147</v>
      </c>
      <c r="D101" s="120">
        <v>5183.74</v>
      </c>
      <c r="E101" s="120">
        <v>4458.4799999999996</v>
      </c>
      <c r="F101" s="98">
        <v>2605</v>
      </c>
      <c r="G101" s="35">
        <v>7805</v>
      </c>
      <c r="H101" s="35">
        <f t="shared" ref="H101:K101" si="97">G101*(1+O101)</f>
        <v>7961.1</v>
      </c>
      <c r="I101" s="35">
        <f t="shared" si="97"/>
        <v>8120.3220000000001</v>
      </c>
      <c r="J101" s="35">
        <f t="shared" si="97"/>
        <v>8282.7284400000008</v>
      </c>
      <c r="K101" s="35">
        <f t="shared" si="97"/>
        <v>8448.3830088000013</v>
      </c>
      <c r="L101" s="3"/>
      <c r="M101" s="101"/>
      <c r="N101" s="99">
        <v>0.02</v>
      </c>
      <c r="O101" s="99">
        <v>0.02</v>
      </c>
      <c r="P101" s="99">
        <v>0.02</v>
      </c>
      <c r="Q101" s="99">
        <v>0.02</v>
      </c>
      <c r="R101" s="99">
        <v>0.02</v>
      </c>
      <c r="S101" s="24"/>
      <c r="T101" s="24"/>
      <c r="U101" s="24"/>
      <c r="V101" s="24"/>
      <c r="W101" s="24"/>
      <c r="X101" s="24"/>
      <c r="Y101" s="24"/>
      <c r="Z101" s="24"/>
    </row>
    <row r="102" spans="1:26" ht="15.5" outlineLevel="1" x14ac:dyDescent="0.35">
      <c r="A102" s="24"/>
      <c r="B102" s="118" t="s">
        <v>148</v>
      </c>
      <c r="C102" s="119" t="s">
        <v>149</v>
      </c>
      <c r="D102" s="120">
        <v>10090.950000000001</v>
      </c>
      <c r="E102" s="120">
        <v>4110.8900000000003</v>
      </c>
      <c r="F102" s="98">
        <v>1950</v>
      </c>
      <c r="G102" s="35">
        <v>10500</v>
      </c>
      <c r="H102" s="35">
        <f t="shared" ref="H102:K102" si="98">G102*(1+O102)</f>
        <v>10710</v>
      </c>
      <c r="I102" s="35">
        <f t="shared" si="98"/>
        <v>10924.2</v>
      </c>
      <c r="J102" s="35">
        <f t="shared" si="98"/>
        <v>11142.684000000001</v>
      </c>
      <c r="K102" s="35">
        <f t="shared" si="98"/>
        <v>11365.537680000001</v>
      </c>
      <c r="L102" s="3"/>
      <c r="M102" s="101"/>
      <c r="N102" s="99">
        <v>0.02</v>
      </c>
      <c r="O102" s="99">
        <v>0.02</v>
      </c>
      <c r="P102" s="99">
        <v>0.02</v>
      </c>
      <c r="Q102" s="99">
        <v>0.02</v>
      </c>
      <c r="R102" s="99">
        <v>0.02</v>
      </c>
      <c r="S102" s="24"/>
      <c r="T102" s="24"/>
      <c r="U102" s="24"/>
      <c r="V102" s="24"/>
      <c r="W102" s="24"/>
      <c r="X102" s="24"/>
      <c r="Y102" s="24"/>
      <c r="Z102" s="24"/>
    </row>
    <row r="103" spans="1:26" ht="15.5" outlineLevel="1" x14ac:dyDescent="0.35">
      <c r="A103" s="24"/>
      <c r="B103" s="118" t="s">
        <v>150</v>
      </c>
      <c r="C103" s="119" t="s">
        <v>151</v>
      </c>
      <c r="D103" s="120">
        <v>41282.18</v>
      </c>
      <c r="E103" s="120">
        <v>29516.43</v>
      </c>
      <c r="F103" s="98">
        <v>21400</v>
      </c>
      <c r="G103" s="35">
        <v>43000</v>
      </c>
      <c r="H103" s="35">
        <f t="shared" ref="H103:K103" si="99">G103*(1+O103)</f>
        <v>43860</v>
      </c>
      <c r="I103" s="35">
        <f t="shared" si="99"/>
        <v>44737.200000000004</v>
      </c>
      <c r="J103" s="35">
        <f t="shared" si="99"/>
        <v>45631.944000000003</v>
      </c>
      <c r="K103" s="35">
        <f t="shared" si="99"/>
        <v>46544.582880000002</v>
      </c>
      <c r="L103" s="3"/>
      <c r="M103" s="101"/>
      <c r="N103" s="99">
        <v>0.02</v>
      </c>
      <c r="O103" s="99">
        <v>0.02</v>
      </c>
      <c r="P103" s="99">
        <v>0.02</v>
      </c>
      <c r="Q103" s="99">
        <v>0.02</v>
      </c>
      <c r="R103" s="99">
        <v>0.02</v>
      </c>
      <c r="S103" s="24"/>
      <c r="T103" s="24"/>
      <c r="U103" s="24"/>
      <c r="V103" s="24"/>
      <c r="W103" s="24"/>
      <c r="X103" s="24"/>
      <c r="Y103" s="24"/>
      <c r="Z103" s="24"/>
    </row>
    <row r="104" spans="1:26" ht="15.5" outlineLevel="1" x14ac:dyDescent="0.35">
      <c r="A104" s="24" t="s">
        <v>152</v>
      </c>
      <c r="B104" s="118" t="s">
        <v>153</v>
      </c>
      <c r="C104" s="119" t="s">
        <v>154</v>
      </c>
      <c r="D104" s="120">
        <v>7123</v>
      </c>
      <c r="E104" s="120">
        <v>330</v>
      </c>
      <c r="F104" s="98">
        <v>10000</v>
      </c>
      <c r="G104" s="35">
        <v>5000</v>
      </c>
      <c r="H104" s="35">
        <f t="shared" ref="H104:K104" si="100">G104*(1+O104)</f>
        <v>5100</v>
      </c>
      <c r="I104" s="35">
        <f t="shared" si="100"/>
        <v>5202</v>
      </c>
      <c r="J104" s="35">
        <f t="shared" si="100"/>
        <v>5306.04</v>
      </c>
      <c r="K104" s="35">
        <f t="shared" si="100"/>
        <v>5412.1607999999997</v>
      </c>
      <c r="L104" s="3"/>
      <c r="M104" s="101"/>
      <c r="N104" s="99">
        <v>0.02</v>
      </c>
      <c r="O104" s="99">
        <v>0.02</v>
      </c>
      <c r="P104" s="99">
        <v>0.02</v>
      </c>
      <c r="Q104" s="99">
        <v>0.02</v>
      </c>
      <c r="R104" s="99">
        <v>0.02</v>
      </c>
      <c r="S104" s="24"/>
      <c r="T104" s="24"/>
      <c r="U104" s="24"/>
      <c r="V104" s="24"/>
      <c r="W104" s="24"/>
      <c r="X104" s="24"/>
      <c r="Y104" s="24"/>
      <c r="Z104" s="24"/>
    </row>
    <row r="105" spans="1:26" ht="15.5" outlineLevel="1" x14ac:dyDescent="0.35">
      <c r="A105" s="24" t="s">
        <v>155</v>
      </c>
      <c r="B105" s="118" t="s">
        <v>156</v>
      </c>
      <c r="C105" s="119" t="s">
        <v>157</v>
      </c>
      <c r="D105" s="120">
        <v>880</v>
      </c>
      <c r="E105" s="120">
        <v>630.5</v>
      </c>
      <c r="F105" s="98">
        <v>1100</v>
      </c>
      <c r="G105" s="35">
        <v>1100</v>
      </c>
      <c r="H105" s="35">
        <f t="shared" ref="H105:K105" si="101">G105*(1+O105)</f>
        <v>1122</v>
      </c>
      <c r="I105" s="35">
        <f t="shared" si="101"/>
        <v>1144.44</v>
      </c>
      <c r="J105" s="35">
        <f t="shared" si="101"/>
        <v>1167.3288</v>
      </c>
      <c r="K105" s="35">
        <f t="shared" si="101"/>
        <v>1190.6753759999999</v>
      </c>
      <c r="L105" s="3"/>
      <c r="M105" s="101"/>
      <c r="N105" s="99">
        <v>0.02</v>
      </c>
      <c r="O105" s="99">
        <v>0.02</v>
      </c>
      <c r="P105" s="99">
        <v>0.02</v>
      </c>
      <c r="Q105" s="99">
        <v>0.02</v>
      </c>
      <c r="R105" s="99">
        <v>0.02</v>
      </c>
      <c r="S105" s="24"/>
      <c r="T105" s="24"/>
      <c r="U105" s="24"/>
      <c r="V105" s="24"/>
      <c r="W105" s="24"/>
      <c r="X105" s="24"/>
      <c r="Y105" s="24"/>
      <c r="Z105" s="24"/>
    </row>
    <row r="106" spans="1:26" ht="15.5" outlineLevel="1" x14ac:dyDescent="0.35">
      <c r="A106" s="24"/>
      <c r="B106" s="118" t="s">
        <v>158</v>
      </c>
      <c r="C106" s="119" t="s">
        <v>159</v>
      </c>
      <c r="D106" s="120">
        <v>122239.58</v>
      </c>
      <c r="E106" s="120">
        <v>89473.01</v>
      </c>
      <c r="F106" s="98">
        <v>168990.72</v>
      </c>
      <c r="G106" s="35">
        <v>138395</v>
      </c>
      <c r="H106" s="35">
        <f t="shared" ref="H106:K106" si="102">G106*(1+O106)</f>
        <v>141162.9</v>
      </c>
      <c r="I106" s="35">
        <f t="shared" si="102"/>
        <v>143986.158</v>
      </c>
      <c r="J106" s="35">
        <f t="shared" si="102"/>
        <v>146865.88115999999</v>
      </c>
      <c r="K106" s="35">
        <f t="shared" si="102"/>
        <v>149803.1987832</v>
      </c>
      <c r="L106" s="3"/>
      <c r="M106" s="101"/>
      <c r="N106" s="99">
        <v>0.02</v>
      </c>
      <c r="O106" s="99">
        <v>0.02</v>
      </c>
      <c r="P106" s="99">
        <v>0.02</v>
      </c>
      <c r="Q106" s="99">
        <v>0.02</v>
      </c>
      <c r="R106" s="99">
        <v>0.02</v>
      </c>
      <c r="S106" s="24"/>
      <c r="T106" s="24"/>
      <c r="U106" s="24"/>
      <c r="V106" s="24"/>
      <c r="W106" s="24"/>
      <c r="X106" s="24"/>
      <c r="Y106" s="24"/>
      <c r="Z106" s="24"/>
    </row>
    <row r="107" spans="1:26" ht="15.5" outlineLevel="1" x14ac:dyDescent="0.35">
      <c r="A107" s="24"/>
      <c r="B107" s="118" t="s">
        <v>160</v>
      </c>
      <c r="C107" s="119" t="s">
        <v>161</v>
      </c>
      <c r="D107" s="120">
        <v>1097.99</v>
      </c>
      <c r="E107" s="120">
        <v>367.33</v>
      </c>
      <c r="F107" s="98">
        <v>683</v>
      </c>
      <c r="G107" s="35">
        <v>1500</v>
      </c>
      <c r="H107" s="35">
        <f t="shared" ref="H107:K107" si="103">G107*(1+O107)</f>
        <v>1530</v>
      </c>
      <c r="I107" s="35">
        <f t="shared" si="103"/>
        <v>1560.6000000000001</v>
      </c>
      <c r="J107" s="35">
        <f t="shared" si="103"/>
        <v>1591.8120000000001</v>
      </c>
      <c r="K107" s="35">
        <f t="shared" si="103"/>
        <v>1623.6482400000002</v>
      </c>
      <c r="L107" s="3"/>
      <c r="M107" s="101"/>
      <c r="N107" s="99">
        <v>0.02</v>
      </c>
      <c r="O107" s="99">
        <v>0.02</v>
      </c>
      <c r="P107" s="99">
        <v>0.02</v>
      </c>
      <c r="Q107" s="99">
        <v>0.02</v>
      </c>
      <c r="R107" s="99">
        <v>0.02</v>
      </c>
      <c r="S107" s="24"/>
      <c r="T107" s="24"/>
      <c r="U107" s="24"/>
      <c r="V107" s="24"/>
      <c r="W107" s="24"/>
      <c r="X107" s="24"/>
      <c r="Y107" s="24"/>
      <c r="Z107" s="24"/>
    </row>
    <row r="108" spans="1:26" ht="15.5" outlineLevel="1" x14ac:dyDescent="0.35">
      <c r="A108" s="24"/>
      <c r="B108" s="118" t="s">
        <v>162</v>
      </c>
      <c r="C108" s="119" t="s">
        <v>163</v>
      </c>
      <c r="D108" s="120">
        <v>6918.61</v>
      </c>
      <c r="E108" s="120">
        <v>3150.26</v>
      </c>
      <c r="F108" s="98">
        <v>11600</v>
      </c>
      <c r="G108" s="35">
        <v>10100</v>
      </c>
      <c r="H108" s="35">
        <f t="shared" ref="H108:K108" si="104">G108*(1+O108)</f>
        <v>10302</v>
      </c>
      <c r="I108" s="35">
        <f t="shared" si="104"/>
        <v>10508.04</v>
      </c>
      <c r="J108" s="35">
        <f t="shared" si="104"/>
        <v>10718.200800000001</v>
      </c>
      <c r="K108" s="35">
        <f t="shared" si="104"/>
        <v>10932.564816</v>
      </c>
      <c r="L108" s="3"/>
      <c r="M108" s="101"/>
      <c r="N108" s="99">
        <v>0.02</v>
      </c>
      <c r="O108" s="99">
        <v>0.02</v>
      </c>
      <c r="P108" s="99">
        <v>0.02</v>
      </c>
      <c r="Q108" s="99">
        <v>0.02</v>
      </c>
      <c r="R108" s="99">
        <v>0.02</v>
      </c>
      <c r="S108" s="24"/>
      <c r="T108" s="24"/>
      <c r="U108" s="24"/>
      <c r="V108" s="24"/>
      <c r="W108" s="24"/>
      <c r="X108" s="24"/>
      <c r="Y108" s="24"/>
      <c r="Z108" s="24"/>
    </row>
    <row r="109" spans="1:26" ht="15.5" outlineLevel="1" x14ac:dyDescent="0.35">
      <c r="A109" s="24"/>
      <c r="B109" s="118" t="s">
        <v>164</v>
      </c>
      <c r="C109" s="119" t="s">
        <v>165</v>
      </c>
      <c r="D109" s="120">
        <v>52548.23</v>
      </c>
      <c r="E109" s="120">
        <v>50874.32</v>
      </c>
      <c r="F109" s="98">
        <v>41669</v>
      </c>
      <c r="G109" s="35">
        <v>42530</v>
      </c>
      <c r="H109" s="35">
        <f t="shared" ref="H109:K109" si="105">G109*(1+O109)</f>
        <v>43380.6</v>
      </c>
      <c r="I109" s="35">
        <f t="shared" si="105"/>
        <v>44248.212</v>
      </c>
      <c r="J109" s="35">
        <f t="shared" si="105"/>
        <v>45133.176240000001</v>
      </c>
      <c r="K109" s="35">
        <f t="shared" si="105"/>
        <v>46035.839764800003</v>
      </c>
      <c r="L109" s="3"/>
      <c r="M109" s="101"/>
      <c r="N109" s="99">
        <v>0.02</v>
      </c>
      <c r="O109" s="99">
        <v>0.02</v>
      </c>
      <c r="P109" s="99">
        <v>0.02</v>
      </c>
      <c r="Q109" s="99">
        <v>0.02</v>
      </c>
      <c r="R109" s="99">
        <v>0.02</v>
      </c>
      <c r="S109" s="24"/>
      <c r="T109" s="24"/>
      <c r="U109" s="24"/>
      <c r="V109" s="24"/>
      <c r="W109" s="24"/>
      <c r="X109" s="24"/>
      <c r="Y109" s="24"/>
      <c r="Z109" s="24"/>
    </row>
    <row r="110" spans="1:26" ht="15.5" outlineLevel="1" x14ac:dyDescent="0.35">
      <c r="A110" s="24"/>
      <c r="B110" s="118" t="s">
        <v>166</v>
      </c>
      <c r="C110" s="119" t="s">
        <v>167</v>
      </c>
      <c r="D110" s="120">
        <v>24040.85</v>
      </c>
      <c r="E110" s="120">
        <v>27618.22</v>
      </c>
      <c r="F110" s="98">
        <v>60130</v>
      </c>
      <c r="G110" s="35">
        <v>41200</v>
      </c>
      <c r="H110" s="35">
        <f t="shared" ref="H110:K110" si="106">G110*(1+O110)</f>
        <v>42024</v>
      </c>
      <c r="I110" s="35">
        <f t="shared" si="106"/>
        <v>42864.480000000003</v>
      </c>
      <c r="J110" s="35">
        <f t="shared" si="106"/>
        <v>43721.769600000007</v>
      </c>
      <c r="K110" s="35">
        <f t="shared" si="106"/>
        <v>44596.204992000006</v>
      </c>
      <c r="L110" s="3"/>
      <c r="M110" s="101"/>
      <c r="N110" s="99">
        <v>0.02</v>
      </c>
      <c r="O110" s="99">
        <v>0.02</v>
      </c>
      <c r="P110" s="99">
        <v>0.02</v>
      </c>
      <c r="Q110" s="99">
        <v>0.02</v>
      </c>
      <c r="R110" s="99">
        <v>0.02</v>
      </c>
      <c r="S110" s="24"/>
      <c r="T110" s="24"/>
      <c r="U110" s="24"/>
      <c r="V110" s="24"/>
      <c r="W110" s="24"/>
      <c r="X110" s="24"/>
      <c r="Y110" s="24"/>
      <c r="Z110" s="24"/>
    </row>
    <row r="111" spans="1:26" ht="15.5" outlineLevel="1" x14ac:dyDescent="0.35">
      <c r="A111" s="24"/>
      <c r="B111" s="118" t="s">
        <v>168</v>
      </c>
      <c r="C111" s="119" t="s">
        <v>169</v>
      </c>
      <c r="D111" s="120">
        <v>0</v>
      </c>
      <c r="E111" s="120">
        <v>119.79</v>
      </c>
      <c r="F111" s="98">
        <v>500</v>
      </c>
      <c r="G111" s="35">
        <v>500</v>
      </c>
      <c r="H111" s="35">
        <f t="shared" ref="H111:K111" si="107">G111*(1+O111)</f>
        <v>510</v>
      </c>
      <c r="I111" s="35">
        <f t="shared" si="107"/>
        <v>520.20000000000005</v>
      </c>
      <c r="J111" s="35">
        <f t="shared" si="107"/>
        <v>530.60400000000004</v>
      </c>
      <c r="K111" s="35">
        <f t="shared" si="107"/>
        <v>541.21608000000003</v>
      </c>
      <c r="L111" s="3"/>
      <c r="M111" s="101"/>
      <c r="N111" s="99">
        <v>0.02</v>
      </c>
      <c r="O111" s="99">
        <v>0.02</v>
      </c>
      <c r="P111" s="99">
        <v>0.02</v>
      </c>
      <c r="Q111" s="99">
        <v>0.02</v>
      </c>
      <c r="R111" s="99">
        <v>0.02</v>
      </c>
      <c r="S111" s="24"/>
      <c r="T111" s="24"/>
      <c r="U111" s="24"/>
      <c r="V111" s="24"/>
      <c r="W111" s="24"/>
      <c r="X111" s="24"/>
      <c r="Y111" s="24"/>
      <c r="Z111" s="24"/>
    </row>
    <row r="112" spans="1:26" ht="15.5" outlineLevel="1" x14ac:dyDescent="0.35">
      <c r="A112" s="24"/>
      <c r="B112" s="118" t="s">
        <v>170</v>
      </c>
      <c r="C112" s="119" t="s">
        <v>171</v>
      </c>
      <c r="D112" s="120">
        <v>18957.36</v>
      </c>
      <c r="E112" s="120">
        <v>13294.26</v>
      </c>
      <c r="F112" s="98">
        <v>18000</v>
      </c>
      <c r="G112" s="35">
        <v>18360</v>
      </c>
      <c r="H112" s="35">
        <f t="shared" ref="H112:K112" si="108">G112*(1+O112)</f>
        <v>18727.2</v>
      </c>
      <c r="I112" s="35">
        <f t="shared" si="108"/>
        <v>19101.744000000002</v>
      </c>
      <c r="J112" s="35">
        <f t="shared" si="108"/>
        <v>19483.778880000002</v>
      </c>
      <c r="K112" s="35">
        <f t="shared" si="108"/>
        <v>19873.454457600001</v>
      </c>
      <c r="L112" s="3"/>
      <c r="M112" s="101"/>
      <c r="N112" s="99">
        <v>0.02</v>
      </c>
      <c r="O112" s="99">
        <v>0.02</v>
      </c>
      <c r="P112" s="99">
        <v>0.02</v>
      </c>
      <c r="Q112" s="99">
        <v>0.02</v>
      </c>
      <c r="R112" s="99">
        <v>0.02</v>
      </c>
      <c r="S112" s="24"/>
      <c r="T112" s="24"/>
      <c r="U112" s="24"/>
      <c r="V112" s="24"/>
      <c r="W112" s="24"/>
      <c r="X112" s="24"/>
      <c r="Y112" s="24"/>
      <c r="Z112" s="24"/>
    </row>
    <row r="113" spans="1:26" ht="15.5" outlineLevel="1" x14ac:dyDescent="0.35">
      <c r="A113" s="24"/>
      <c r="B113" s="118" t="s">
        <v>172</v>
      </c>
      <c r="C113" s="119" t="s">
        <v>173</v>
      </c>
      <c r="D113" s="120">
        <v>53306.73</v>
      </c>
      <c r="E113" s="120">
        <v>47798.82</v>
      </c>
      <c r="F113" s="98">
        <v>78500</v>
      </c>
      <c r="G113" s="35">
        <v>78500</v>
      </c>
      <c r="H113" s="35">
        <f t="shared" ref="H113:K113" si="109">G113*(1+O113)</f>
        <v>80070</v>
      </c>
      <c r="I113" s="35">
        <f t="shared" si="109"/>
        <v>81671.399999999994</v>
      </c>
      <c r="J113" s="35">
        <f t="shared" si="109"/>
        <v>83304.827999999994</v>
      </c>
      <c r="K113" s="35">
        <f t="shared" si="109"/>
        <v>84970.924559999999</v>
      </c>
      <c r="L113" s="3"/>
      <c r="M113" s="101"/>
      <c r="N113" s="99">
        <v>0.02</v>
      </c>
      <c r="O113" s="99">
        <v>0.02</v>
      </c>
      <c r="P113" s="99">
        <v>0.02</v>
      </c>
      <c r="Q113" s="99">
        <v>0.02</v>
      </c>
      <c r="R113" s="99">
        <v>0.02</v>
      </c>
      <c r="S113" s="24"/>
      <c r="T113" s="24"/>
      <c r="U113" s="24"/>
      <c r="V113" s="24"/>
      <c r="W113" s="24"/>
      <c r="X113" s="24"/>
      <c r="Y113" s="24"/>
      <c r="Z113" s="24"/>
    </row>
    <row r="114" spans="1:26" ht="15.5" outlineLevel="1" x14ac:dyDescent="0.35">
      <c r="A114" s="24"/>
      <c r="B114" s="118" t="s">
        <v>174</v>
      </c>
      <c r="C114" s="119" t="s">
        <v>175</v>
      </c>
      <c r="D114" s="120">
        <v>12127.7</v>
      </c>
      <c r="E114" s="120">
        <v>13680.13</v>
      </c>
      <c r="F114" s="98">
        <v>13770</v>
      </c>
      <c r="G114" s="35">
        <v>13860</v>
      </c>
      <c r="H114" s="35">
        <f t="shared" ref="H114:K114" si="110">G114*(1+O114)</f>
        <v>14137.2</v>
      </c>
      <c r="I114" s="35">
        <f t="shared" si="110"/>
        <v>14419.944000000001</v>
      </c>
      <c r="J114" s="35">
        <f t="shared" si="110"/>
        <v>14708.342880000002</v>
      </c>
      <c r="K114" s="35">
        <f t="shared" si="110"/>
        <v>15002.509737600003</v>
      </c>
      <c r="L114" s="3"/>
      <c r="M114" s="101"/>
      <c r="N114" s="99">
        <v>0.02</v>
      </c>
      <c r="O114" s="99">
        <v>0.02</v>
      </c>
      <c r="P114" s="99">
        <v>0.02</v>
      </c>
      <c r="Q114" s="99">
        <v>0.02</v>
      </c>
      <c r="R114" s="99">
        <v>0.02</v>
      </c>
      <c r="S114" s="24"/>
      <c r="T114" s="24"/>
      <c r="U114" s="24"/>
      <c r="V114" s="24"/>
      <c r="W114" s="24"/>
      <c r="X114" s="24"/>
      <c r="Y114" s="24"/>
      <c r="Z114" s="24"/>
    </row>
    <row r="115" spans="1:26" ht="15.5" outlineLevel="1" x14ac:dyDescent="0.35">
      <c r="A115" s="24"/>
      <c r="B115" s="118" t="s">
        <v>176</v>
      </c>
      <c r="C115" s="119" t="s">
        <v>177</v>
      </c>
      <c r="D115" s="120">
        <v>17313.509999999998</v>
      </c>
      <c r="E115" s="120">
        <v>19337.05</v>
      </c>
      <c r="F115" s="98">
        <v>17775</v>
      </c>
      <c r="G115" s="35">
        <v>19595</v>
      </c>
      <c r="H115" s="35">
        <f t="shared" ref="H115:K115" si="111">G115*(1+O115)</f>
        <v>19986.900000000001</v>
      </c>
      <c r="I115" s="35">
        <f t="shared" si="111"/>
        <v>20386.638000000003</v>
      </c>
      <c r="J115" s="35">
        <f t="shared" si="111"/>
        <v>20794.370760000002</v>
      </c>
      <c r="K115" s="35">
        <f t="shared" si="111"/>
        <v>21210.258175200001</v>
      </c>
      <c r="L115" s="3"/>
      <c r="M115" s="101"/>
      <c r="N115" s="99">
        <v>0.02</v>
      </c>
      <c r="O115" s="99">
        <v>0.02</v>
      </c>
      <c r="P115" s="99">
        <v>0.02</v>
      </c>
      <c r="Q115" s="99">
        <v>0.02</v>
      </c>
      <c r="R115" s="99">
        <v>0.02</v>
      </c>
      <c r="S115" s="24"/>
      <c r="T115" s="24"/>
      <c r="U115" s="24"/>
      <c r="V115" s="24"/>
      <c r="W115" s="24"/>
      <c r="X115" s="24"/>
      <c r="Y115" s="24"/>
      <c r="Z115" s="24"/>
    </row>
    <row r="116" spans="1:26" ht="15.5" outlineLevel="1" x14ac:dyDescent="0.35">
      <c r="A116" s="24"/>
      <c r="B116" s="118" t="s">
        <v>178</v>
      </c>
      <c r="C116" s="119" t="s">
        <v>179</v>
      </c>
      <c r="D116" s="120">
        <v>543.66</v>
      </c>
      <c r="E116" s="120">
        <v>242.8</v>
      </c>
      <c r="F116" s="98">
        <v>600</v>
      </c>
      <c r="G116" s="35">
        <v>600</v>
      </c>
      <c r="H116" s="35">
        <f t="shared" ref="H116:K116" si="112">G116*(1+O116)</f>
        <v>612</v>
      </c>
      <c r="I116" s="35">
        <f t="shared" si="112"/>
        <v>624.24</v>
      </c>
      <c r="J116" s="35">
        <f t="shared" si="112"/>
        <v>636.72480000000007</v>
      </c>
      <c r="K116" s="35">
        <f t="shared" si="112"/>
        <v>649.45929600000011</v>
      </c>
      <c r="L116" s="3"/>
      <c r="M116" s="101"/>
      <c r="N116" s="99">
        <v>0.02</v>
      </c>
      <c r="O116" s="99">
        <v>0.02</v>
      </c>
      <c r="P116" s="99">
        <v>0.02</v>
      </c>
      <c r="Q116" s="99">
        <v>0.02</v>
      </c>
      <c r="R116" s="99">
        <v>0.02</v>
      </c>
      <c r="S116" s="24"/>
      <c r="T116" s="24"/>
      <c r="U116" s="24"/>
      <c r="V116" s="24"/>
      <c r="W116" s="24"/>
      <c r="X116" s="24"/>
      <c r="Y116" s="24"/>
      <c r="Z116" s="24"/>
    </row>
    <row r="117" spans="1:26" ht="15.5" outlineLevel="1" x14ac:dyDescent="0.35">
      <c r="A117" s="24"/>
      <c r="B117" s="118" t="s">
        <v>180</v>
      </c>
      <c r="C117" s="119" t="s">
        <v>181</v>
      </c>
      <c r="D117" s="120">
        <v>15050.83</v>
      </c>
      <c r="E117" s="120">
        <v>15688.61</v>
      </c>
      <c r="F117" s="98">
        <v>15850</v>
      </c>
      <c r="G117" s="35">
        <v>15830</v>
      </c>
      <c r="H117" s="35">
        <f t="shared" ref="H117:K117" si="113">G117*(1+O117)</f>
        <v>16146.6</v>
      </c>
      <c r="I117" s="35">
        <f t="shared" si="113"/>
        <v>16469.531999999999</v>
      </c>
      <c r="J117" s="35">
        <f t="shared" si="113"/>
        <v>16798.922640000001</v>
      </c>
      <c r="K117" s="35">
        <f t="shared" si="113"/>
        <v>17134.901092800003</v>
      </c>
      <c r="L117" s="3"/>
      <c r="M117" s="101"/>
      <c r="N117" s="99">
        <v>0.02</v>
      </c>
      <c r="O117" s="99">
        <v>0.02</v>
      </c>
      <c r="P117" s="99">
        <v>0.02</v>
      </c>
      <c r="Q117" s="99">
        <v>0.02</v>
      </c>
      <c r="R117" s="99">
        <v>0.02</v>
      </c>
      <c r="S117" s="24"/>
      <c r="T117" s="24"/>
      <c r="U117" s="24"/>
      <c r="V117" s="24"/>
      <c r="W117" s="24"/>
      <c r="X117" s="24"/>
      <c r="Y117" s="24"/>
      <c r="Z117" s="24"/>
    </row>
    <row r="118" spans="1:26" ht="15.5" outlineLevel="1" x14ac:dyDescent="0.35">
      <c r="A118" s="24"/>
      <c r="B118" s="118" t="s">
        <v>182</v>
      </c>
      <c r="C118" s="119" t="s">
        <v>183</v>
      </c>
      <c r="D118" s="120">
        <v>55415.55</v>
      </c>
      <c r="E118" s="120">
        <v>77631.05</v>
      </c>
      <c r="F118" s="98">
        <v>81500</v>
      </c>
      <c r="G118" s="35">
        <v>87943</v>
      </c>
      <c r="H118" s="35">
        <f t="shared" ref="H118:K118" si="114">G118*(1+O118)</f>
        <v>89701.86</v>
      </c>
      <c r="I118" s="35">
        <f t="shared" si="114"/>
        <v>91495.897200000007</v>
      </c>
      <c r="J118" s="35">
        <f t="shared" si="114"/>
        <v>93325.815144000007</v>
      </c>
      <c r="K118" s="35">
        <f t="shared" si="114"/>
        <v>95192.331446880009</v>
      </c>
      <c r="L118" s="3"/>
      <c r="M118" s="101"/>
      <c r="N118" s="99">
        <v>0.02</v>
      </c>
      <c r="O118" s="99">
        <v>0.02</v>
      </c>
      <c r="P118" s="99">
        <v>0.02</v>
      </c>
      <c r="Q118" s="99">
        <v>0.02</v>
      </c>
      <c r="R118" s="99">
        <v>0.02</v>
      </c>
      <c r="S118" s="24"/>
      <c r="T118" s="24"/>
      <c r="U118" s="24"/>
      <c r="V118" s="24"/>
      <c r="W118" s="24"/>
      <c r="X118" s="24"/>
      <c r="Y118" s="24"/>
      <c r="Z118" s="24"/>
    </row>
    <row r="119" spans="1:26" ht="15.5" outlineLevel="1" x14ac:dyDescent="0.35">
      <c r="A119" s="24"/>
      <c r="B119" s="118" t="s">
        <v>184</v>
      </c>
      <c r="C119" s="119" t="s">
        <v>185</v>
      </c>
      <c r="D119" s="120">
        <v>10819.7</v>
      </c>
      <c r="E119" s="120">
        <v>12003.34</v>
      </c>
      <c r="F119" s="98">
        <v>13024</v>
      </c>
      <c r="G119" s="121">
        <v>14210</v>
      </c>
      <c r="H119" s="35">
        <f t="shared" ref="H119:K119" si="115">G119*(1+O119)</f>
        <v>14494.2</v>
      </c>
      <c r="I119" s="35">
        <f t="shared" si="115"/>
        <v>14784.084000000001</v>
      </c>
      <c r="J119" s="35">
        <f t="shared" si="115"/>
        <v>15079.76568</v>
      </c>
      <c r="K119" s="35">
        <f t="shared" si="115"/>
        <v>15381.360993600001</v>
      </c>
      <c r="L119" s="3"/>
      <c r="M119" s="101"/>
      <c r="N119" s="99">
        <v>0.02</v>
      </c>
      <c r="O119" s="99">
        <v>0.02</v>
      </c>
      <c r="P119" s="99">
        <v>0.02</v>
      </c>
      <c r="Q119" s="99">
        <v>0.02</v>
      </c>
      <c r="R119" s="99">
        <v>0.02</v>
      </c>
      <c r="S119" s="24"/>
      <c r="T119" s="24"/>
      <c r="U119" s="24"/>
      <c r="V119" s="24"/>
      <c r="W119" s="24"/>
      <c r="X119" s="24"/>
      <c r="Y119" s="24"/>
      <c r="Z119" s="24"/>
    </row>
    <row r="120" spans="1:26" ht="15.5" outlineLevel="1" x14ac:dyDescent="0.35">
      <c r="A120" s="24"/>
      <c r="B120" s="118" t="s">
        <v>186</v>
      </c>
      <c r="C120" s="119" t="s">
        <v>187</v>
      </c>
      <c r="D120" s="120">
        <v>612490.80000000005</v>
      </c>
      <c r="E120" s="120">
        <v>545054.86</v>
      </c>
      <c r="F120" s="98">
        <v>170000</v>
      </c>
      <c r="G120" s="35">
        <v>180000</v>
      </c>
      <c r="H120" s="35">
        <v>190000</v>
      </c>
      <c r="I120" s="35">
        <v>195000</v>
      </c>
      <c r="J120" s="35">
        <v>205000</v>
      </c>
      <c r="K120" s="35">
        <v>220000</v>
      </c>
      <c r="L120" s="3"/>
      <c r="M120" s="101"/>
      <c r="N120" s="99">
        <v>0.02</v>
      </c>
      <c r="O120" s="99">
        <v>0.02</v>
      </c>
      <c r="P120" s="99">
        <v>0.02</v>
      </c>
      <c r="Q120" s="99">
        <v>0.02</v>
      </c>
      <c r="R120" s="99">
        <v>0.02</v>
      </c>
      <c r="S120" s="24"/>
      <c r="T120" s="24"/>
      <c r="U120" s="24"/>
      <c r="V120" s="24"/>
      <c r="W120" s="24"/>
      <c r="X120" s="24"/>
      <c r="Y120" s="24"/>
      <c r="Z120" s="24"/>
    </row>
    <row r="121" spans="1:26" ht="15.5" outlineLevel="1" x14ac:dyDescent="0.35">
      <c r="A121" s="24"/>
      <c r="B121" s="118" t="s">
        <v>188</v>
      </c>
      <c r="C121" s="119" t="s">
        <v>189</v>
      </c>
      <c r="D121" s="120">
        <v>355892.76</v>
      </c>
      <c r="E121" s="120">
        <v>310143.21999999997</v>
      </c>
      <c r="F121" s="98">
        <v>293127.5</v>
      </c>
      <c r="G121" s="35">
        <v>285392.5</v>
      </c>
      <c r="H121" s="35">
        <v>277202.5</v>
      </c>
      <c r="I121" s="35">
        <v>268557.5</v>
      </c>
      <c r="J121" s="35">
        <v>259705</v>
      </c>
      <c r="K121" s="35">
        <v>250327.5</v>
      </c>
      <c r="L121" s="3"/>
      <c r="M121" s="101"/>
      <c r="N121" s="99">
        <v>0.02</v>
      </c>
      <c r="O121" s="99">
        <v>0.02</v>
      </c>
      <c r="P121" s="99">
        <v>0.02</v>
      </c>
      <c r="Q121" s="99">
        <v>0.02</v>
      </c>
      <c r="R121" s="99">
        <v>0.02</v>
      </c>
      <c r="S121" s="24"/>
      <c r="T121" s="24"/>
      <c r="U121" s="24"/>
      <c r="V121" s="24"/>
      <c r="W121" s="24"/>
      <c r="X121" s="24"/>
      <c r="Y121" s="24"/>
      <c r="Z121" s="24"/>
    </row>
    <row r="122" spans="1:26" ht="15.5" outlineLevel="1" x14ac:dyDescent="0.35">
      <c r="A122" s="24"/>
      <c r="B122" s="118" t="s">
        <v>190</v>
      </c>
      <c r="C122" s="119" t="s">
        <v>191</v>
      </c>
      <c r="D122" s="120">
        <v>703688.52</v>
      </c>
      <c r="E122" s="120">
        <v>756047.32</v>
      </c>
      <c r="F122" s="150">
        <v>753962.09</v>
      </c>
      <c r="G122" s="151">
        <v>795762.69</v>
      </c>
      <c r="H122" s="152">
        <f t="shared" ref="H122:K122" si="116">(G122*N122)+G122</f>
        <v>811677.94379999989</v>
      </c>
      <c r="I122" s="153">
        <f t="shared" si="116"/>
        <v>827911.50267599989</v>
      </c>
      <c r="J122" s="153">
        <f t="shared" si="116"/>
        <v>844469.73272951983</v>
      </c>
      <c r="K122" s="153">
        <f t="shared" si="116"/>
        <v>861359.12738411024</v>
      </c>
      <c r="L122" s="3"/>
      <c r="M122" s="101"/>
      <c r="N122" s="99">
        <v>0.02</v>
      </c>
      <c r="O122" s="99">
        <v>0.02</v>
      </c>
      <c r="P122" s="99">
        <v>0.02</v>
      </c>
      <c r="Q122" s="99">
        <v>0.02</v>
      </c>
      <c r="R122" s="99">
        <v>0.02</v>
      </c>
      <c r="S122" s="24"/>
      <c r="T122" s="24"/>
      <c r="U122" s="24"/>
      <c r="V122" s="24"/>
      <c r="W122" s="24"/>
      <c r="X122" s="24"/>
      <c r="Y122" s="24"/>
      <c r="Z122" s="24"/>
    </row>
    <row r="123" spans="1:26" ht="15.5" x14ac:dyDescent="0.25">
      <c r="A123" s="24"/>
      <c r="B123" s="25"/>
      <c r="C123" s="145" t="s">
        <v>192</v>
      </c>
      <c r="D123" s="146">
        <f t="shared" ref="D123:K123" si="117">SUM(D98:D122)</f>
        <v>2143622.6500000004</v>
      </c>
      <c r="E123" s="146">
        <f t="shared" si="117"/>
        <v>2041729.21</v>
      </c>
      <c r="F123" s="147">
        <f t="shared" si="117"/>
        <v>1795897.29</v>
      </c>
      <c r="G123" s="146">
        <f t="shared" si="117"/>
        <v>1828133.19</v>
      </c>
      <c r="H123" s="146">
        <f t="shared" si="117"/>
        <v>1857198.0037999998</v>
      </c>
      <c r="I123" s="146">
        <f t="shared" si="117"/>
        <v>1881352.9138759999</v>
      </c>
      <c r="J123" s="146">
        <f t="shared" si="117"/>
        <v>1910856.3221535198</v>
      </c>
      <c r="K123" s="146">
        <f t="shared" si="117"/>
        <v>1945401.8485965901</v>
      </c>
      <c r="L123" s="3"/>
      <c r="M123" s="24"/>
      <c r="N123" s="99"/>
      <c r="O123" s="99"/>
      <c r="P123" s="99"/>
      <c r="Q123" s="99"/>
      <c r="R123" s="99"/>
      <c r="S123" s="24"/>
      <c r="T123" s="24"/>
      <c r="U123" s="24"/>
      <c r="V123" s="24"/>
      <c r="W123" s="24"/>
      <c r="X123" s="24"/>
      <c r="Y123" s="24"/>
      <c r="Z123" s="24"/>
    </row>
    <row r="124" spans="1:26" ht="15.5" x14ac:dyDescent="0.25">
      <c r="A124" s="24"/>
      <c r="B124" s="127">
        <v>801000</v>
      </c>
      <c r="C124" s="115"/>
      <c r="D124" s="92"/>
      <c r="E124" s="92"/>
      <c r="F124" s="98"/>
      <c r="G124" s="35"/>
      <c r="H124" s="149"/>
      <c r="I124" s="149"/>
      <c r="J124" s="149"/>
      <c r="K124" s="149"/>
      <c r="L124" s="3"/>
      <c r="M124" s="24"/>
      <c r="N124" s="99"/>
      <c r="O124" s="99"/>
      <c r="P124" s="99"/>
      <c r="Q124" s="99"/>
      <c r="R124" s="99"/>
      <c r="S124" s="24"/>
      <c r="T124" s="24"/>
      <c r="U124" s="24"/>
      <c r="V124" s="24"/>
      <c r="W124" s="24"/>
      <c r="X124" s="24"/>
      <c r="Y124" s="24"/>
      <c r="Z124" s="24"/>
    </row>
    <row r="125" spans="1:26" ht="15.5" x14ac:dyDescent="0.35">
      <c r="A125" s="24"/>
      <c r="B125" s="118" t="s">
        <v>193</v>
      </c>
      <c r="C125" s="119" t="s">
        <v>194</v>
      </c>
      <c r="D125" s="154">
        <v>1125</v>
      </c>
      <c r="E125" s="154">
        <v>0</v>
      </c>
      <c r="F125" s="98">
        <v>1561</v>
      </c>
      <c r="G125" s="35">
        <v>1500</v>
      </c>
      <c r="H125" s="35">
        <f t="shared" ref="H125:K125" si="118">G125*(1+O125)</f>
        <v>1530</v>
      </c>
      <c r="I125" s="35">
        <f t="shared" si="118"/>
        <v>1560.6000000000001</v>
      </c>
      <c r="J125" s="35">
        <f t="shared" si="118"/>
        <v>1591.8120000000001</v>
      </c>
      <c r="K125" s="35">
        <f t="shared" si="118"/>
        <v>1623.6482400000002</v>
      </c>
      <c r="L125" s="3"/>
      <c r="M125" s="101"/>
      <c r="N125" s="99">
        <v>0.02</v>
      </c>
      <c r="O125" s="99">
        <v>0.02</v>
      </c>
      <c r="P125" s="99">
        <v>0.02</v>
      </c>
      <c r="Q125" s="99">
        <v>0.02</v>
      </c>
      <c r="R125" s="99">
        <v>0.02</v>
      </c>
      <c r="S125" s="24"/>
      <c r="T125" s="24"/>
      <c r="U125" s="24"/>
      <c r="V125" s="24"/>
      <c r="W125" s="24"/>
      <c r="X125" s="24"/>
      <c r="Y125" s="24"/>
      <c r="Z125" s="24"/>
    </row>
    <row r="126" spans="1:26" ht="15.5" x14ac:dyDescent="0.35">
      <c r="A126" s="24"/>
      <c r="B126" s="118" t="s">
        <v>195</v>
      </c>
      <c r="C126" s="119" t="s">
        <v>196</v>
      </c>
      <c r="D126" s="154">
        <v>13351.08</v>
      </c>
      <c r="E126" s="154">
        <v>11142.72</v>
      </c>
      <c r="F126" s="98">
        <v>17067</v>
      </c>
      <c r="G126" s="35">
        <v>20575</v>
      </c>
      <c r="H126" s="35">
        <f t="shared" ref="H126:K126" si="119">G126*(1+O126)</f>
        <v>20986.5</v>
      </c>
      <c r="I126" s="35">
        <f t="shared" si="119"/>
        <v>21406.23</v>
      </c>
      <c r="J126" s="35">
        <f t="shared" si="119"/>
        <v>21834.354599999999</v>
      </c>
      <c r="K126" s="35">
        <f t="shared" si="119"/>
        <v>22271.041691999999</v>
      </c>
      <c r="L126" s="3"/>
      <c r="M126" s="101"/>
      <c r="N126" s="99">
        <v>0.02</v>
      </c>
      <c r="O126" s="99">
        <v>0.02</v>
      </c>
      <c r="P126" s="99">
        <v>0.02</v>
      </c>
      <c r="Q126" s="99">
        <v>0.02</v>
      </c>
      <c r="R126" s="99">
        <v>0.02</v>
      </c>
      <c r="S126" s="24"/>
      <c r="T126" s="24"/>
      <c r="U126" s="24"/>
      <c r="V126" s="24"/>
      <c r="W126" s="24"/>
      <c r="X126" s="24"/>
      <c r="Y126" s="24"/>
      <c r="Z126" s="24"/>
    </row>
    <row r="127" spans="1:26" ht="15.5" outlineLevel="1" x14ac:dyDescent="0.35">
      <c r="A127" s="24" t="s">
        <v>197</v>
      </c>
      <c r="B127" s="118" t="s">
        <v>198</v>
      </c>
      <c r="C127" s="119" t="s">
        <v>199</v>
      </c>
      <c r="D127" s="154">
        <v>14340.8</v>
      </c>
      <c r="E127" s="154">
        <v>7876.94</v>
      </c>
      <c r="F127" s="98">
        <v>9500</v>
      </c>
      <c r="G127" s="35">
        <v>20600</v>
      </c>
      <c r="H127" s="35">
        <f t="shared" ref="H127:K127" si="120">G127*(1+O127)</f>
        <v>21012</v>
      </c>
      <c r="I127" s="35">
        <f t="shared" si="120"/>
        <v>21432.240000000002</v>
      </c>
      <c r="J127" s="35">
        <f t="shared" si="120"/>
        <v>21860.884800000003</v>
      </c>
      <c r="K127" s="35">
        <f t="shared" si="120"/>
        <v>22298.102496000003</v>
      </c>
      <c r="L127" s="3"/>
      <c r="M127" s="101"/>
      <c r="N127" s="99">
        <v>0.02</v>
      </c>
      <c r="O127" s="99">
        <v>0.02</v>
      </c>
      <c r="P127" s="99">
        <v>0.02</v>
      </c>
      <c r="Q127" s="99">
        <v>0.02</v>
      </c>
      <c r="R127" s="99">
        <v>0.02</v>
      </c>
      <c r="S127" s="24"/>
      <c r="T127" s="24"/>
      <c r="U127" s="24"/>
      <c r="V127" s="24"/>
      <c r="W127" s="24"/>
      <c r="X127" s="24"/>
      <c r="Y127" s="24"/>
      <c r="Z127" s="24"/>
    </row>
    <row r="128" spans="1:26" ht="15.5" outlineLevel="1" x14ac:dyDescent="0.35">
      <c r="A128" s="24"/>
      <c r="B128" s="118" t="s">
        <v>200</v>
      </c>
      <c r="C128" s="119" t="s">
        <v>201</v>
      </c>
      <c r="D128" s="154">
        <v>1402.54</v>
      </c>
      <c r="E128" s="154">
        <v>1271.56</v>
      </c>
      <c r="F128" s="98">
        <v>3500</v>
      </c>
      <c r="G128" s="35">
        <v>3500</v>
      </c>
      <c r="H128" s="35">
        <f t="shared" ref="H128:K128" si="121">G128*(1+O128)</f>
        <v>3570</v>
      </c>
      <c r="I128" s="35">
        <f t="shared" si="121"/>
        <v>3641.4</v>
      </c>
      <c r="J128" s="35">
        <f t="shared" si="121"/>
        <v>3714.2280000000001</v>
      </c>
      <c r="K128" s="35">
        <f t="shared" si="121"/>
        <v>3788.5125600000001</v>
      </c>
      <c r="L128" s="3"/>
      <c r="M128" s="101"/>
      <c r="N128" s="99">
        <v>0.02</v>
      </c>
      <c r="O128" s="99">
        <v>0.02</v>
      </c>
      <c r="P128" s="99">
        <v>0.02</v>
      </c>
      <c r="Q128" s="99">
        <v>0.02</v>
      </c>
      <c r="R128" s="99">
        <v>0.02</v>
      </c>
      <c r="S128" s="24"/>
      <c r="T128" s="24"/>
      <c r="U128" s="24"/>
      <c r="V128" s="24"/>
      <c r="W128" s="24"/>
      <c r="X128" s="24"/>
      <c r="Y128" s="24"/>
      <c r="Z128" s="24"/>
    </row>
    <row r="129" spans="1:26" ht="15.5" outlineLevel="1" x14ac:dyDescent="0.35">
      <c r="A129" s="24"/>
      <c r="B129" s="118" t="s">
        <v>202</v>
      </c>
      <c r="C129" s="119" t="s">
        <v>203</v>
      </c>
      <c r="D129" s="154">
        <v>12185.04</v>
      </c>
      <c r="E129" s="154">
        <v>11445.34</v>
      </c>
      <c r="F129" s="98">
        <v>5824</v>
      </c>
      <c r="G129" s="35">
        <v>4850</v>
      </c>
      <c r="H129" s="35">
        <f t="shared" ref="H129:K129" si="122">G129*(1+O129)</f>
        <v>4947</v>
      </c>
      <c r="I129" s="35">
        <f t="shared" si="122"/>
        <v>5045.9400000000005</v>
      </c>
      <c r="J129" s="35">
        <f t="shared" si="122"/>
        <v>5146.8588000000009</v>
      </c>
      <c r="K129" s="35">
        <f t="shared" si="122"/>
        <v>5249.7959760000012</v>
      </c>
      <c r="L129" s="3"/>
      <c r="M129" s="101"/>
      <c r="N129" s="99">
        <v>0.02</v>
      </c>
      <c r="O129" s="99">
        <v>0.02</v>
      </c>
      <c r="P129" s="99">
        <v>0.02</v>
      </c>
      <c r="Q129" s="99">
        <v>0.02</v>
      </c>
      <c r="R129" s="99">
        <v>0.02</v>
      </c>
      <c r="S129" s="24"/>
      <c r="T129" s="24"/>
      <c r="U129" s="24"/>
      <c r="V129" s="24"/>
      <c r="W129" s="24"/>
      <c r="X129" s="24"/>
      <c r="Y129" s="24"/>
      <c r="Z129" s="24"/>
    </row>
    <row r="130" spans="1:26" ht="15.5" outlineLevel="1" x14ac:dyDescent="0.35">
      <c r="A130" s="24"/>
      <c r="B130" s="118" t="s">
        <v>204</v>
      </c>
      <c r="C130" s="119" t="s">
        <v>205</v>
      </c>
      <c r="D130" s="154">
        <v>438.12</v>
      </c>
      <c r="E130" s="154">
        <v>522.88</v>
      </c>
      <c r="F130" s="98">
        <v>1250</v>
      </c>
      <c r="G130" s="35">
        <v>1250</v>
      </c>
      <c r="H130" s="35">
        <f t="shared" ref="H130:K130" si="123">G130*(1+O130)</f>
        <v>1275</v>
      </c>
      <c r="I130" s="35">
        <f t="shared" si="123"/>
        <v>1300.5</v>
      </c>
      <c r="J130" s="35">
        <f t="shared" si="123"/>
        <v>1326.51</v>
      </c>
      <c r="K130" s="35">
        <f t="shared" si="123"/>
        <v>1353.0401999999999</v>
      </c>
      <c r="L130" s="3"/>
      <c r="M130" s="101"/>
      <c r="N130" s="99">
        <v>0.02</v>
      </c>
      <c r="O130" s="99">
        <v>0.02</v>
      </c>
      <c r="P130" s="99">
        <v>0.02</v>
      </c>
      <c r="Q130" s="99">
        <v>0.02</v>
      </c>
      <c r="R130" s="99">
        <v>0.02</v>
      </c>
      <c r="S130" s="24"/>
      <c r="T130" s="24"/>
      <c r="U130" s="24"/>
      <c r="V130" s="24"/>
      <c r="W130" s="24"/>
      <c r="X130" s="24"/>
      <c r="Y130" s="24"/>
      <c r="Z130" s="24"/>
    </row>
    <row r="131" spans="1:26" ht="15.5" outlineLevel="1" x14ac:dyDescent="0.35">
      <c r="A131" s="24"/>
      <c r="B131" s="118" t="s">
        <v>206</v>
      </c>
      <c r="C131" s="119" t="s">
        <v>207</v>
      </c>
      <c r="D131" s="154">
        <v>16149.95</v>
      </c>
      <c r="E131" s="154">
        <v>12747.97</v>
      </c>
      <c r="F131" s="98">
        <v>17000</v>
      </c>
      <c r="G131" s="35">
        <v>15200</v>
      </c>
      <c r="H131" s="35">
        <f t="shared" ref="H131:K131" si="124">G131*(1+O131)</f>
        <v>15504</v>
      </c>
      <c r="I131" s="35">
        <f t="shared" si="124"/>
        <v>15814.08</v>
      </c>
      <c r="J131" s="35">
        <f t="shared" si="124"/>
        <v>16130.3616</v>
      </c>
      <c r="K131" s="35">
        <f t="shared" si="124"/>
        <v>16452.968831999999</v>
      </c>
      <c r="L131" s="3"/>
      <c r="M131" s="101"/>
      <c r="N131" s="99">
        <v>0.02</v>
      </c>
      <c r="O131" s="99">
        <v>0.02</v>
      </c>
      <c r="P131" s="99">
        <v>0.02</v>
      </c>
      <c r="Q131" s="99">
        <v>0.02</v>
      </c>
      <c r="R131" s="99">
        <v>0.02</v>
      </c>
      <c r="S131" s="24"/>
      <c r="T131" s="24"/>
      <c r="U131" s="24"/>
      <c r="V131" s="24"/>
      <c r="W131" s="24"/>
      <c r="X131" s="24"/>
      <c r="Y131" s="24"/>
      <c r="Z131" s="24"/>
    </row>
    <row r="132" spans="1:26" ht="15.5" outlineLevel="1" x14ac:dyDescent="0.35">
      <c r="A132" s="24"/>
      <c r="B132" s="118" t="s">
        <v>208</v>
      </c>
      <c r="C132" s="119" t="s">
        <v>209</v>
      </c>
      <c r="D132" s="154">
        <v>168247.2</v>
      </c>
      <c r="E132" s="154">
        <v>82678.13</v>
      </c>
      <c r="F132" s="98">
        <v>100000</v>
      </c>
      <c r="G132" s="35">
        <v>110837</v>
      </c>
      <c r="H132" s="35">
        <f t="shared" ref="H132:K132" si="125">G132*(1+O132)</f>
        <v>113053.74</v>
      </c>
      <c r="I132" s="35">
        <f t="shared" si="125"/>
        <v>115314.81480000001</v>
      </c>
      <c r="J132" s="35">
        <f t="shared" si="125"/>
        <v>117621.11109600001</v>
      </c>
      <c r="K132" s="35">
        <f t="shared" si="125"/>
        <v>119973.53331792001</v>
      </c>
      <c r="L132" s="3"/>
      <c r="M132" s="101"/>
      <c r="N132" s="99">
        <v>0.02</v>
      </c>
      <c r="O132" s="99">
        <v>0.02</v>
      </c>
      <c r="P132" s="99">
        <v>0.02</v>
      </c>
      <c r="Q132" s="99">
        <v>0.02</v>
      </c>
      <c r="R132" s="99">
        <v>0.02</v>
      </c>
      <c r="S132" s="24"/>
      <c r="T132" s="24"/>
      <c r="U132" s="24"/>
      <c r="V132" s="24"/>
      <c r="W132" s="24"/>
      <c r="X132" s="24"/>
      <c r="Y132" s="24"/>
      <c r="Z132" s="24"/>
    </row>
    <row r="133" spans="1:26" ht="15.5" outlineLevel="1" x14ac:dyDescent="0.35">
      <c r="A133" s="24"/>
      <c r="B133" s="118" t="s">
        <v>210</v>
      </c>
      <c r="C133" s="119" t="s">
        <v>211</v>
      </c>
      <c r="D133" s="154">
        <v>184664.6</v>
      </c>
      <c r="E133" s="154">
        <v>31247.45</v>
      </c>
      <c r="F133" s="98">
        <v>135127</v>
      </c>
      <c r="G133" s="35">
        <v>12000</v>
      </c>
      <c r="H133" s="35">
        <f t="shared" ref="H133:K133" si="126">G133*(1+O133)</f>
        <v>12240</v>
      </c>
      <c r="I133" s="35">
        <f t="shared" si="126"/>
        <v>12484.800000000001</v>
      </c>
      <c r="J133" s="35">
        <f t="shared" si="126"/>
        <v>12734.496000000001</v>
      </c>
      <c r="K133" s="35">
        <f t="shared" si="126"/>
        <v>12989.185920000002</v>
      </c>
      <c r="L133" s="3"/>
      <c r="M133" s="101"/>
      <c r="N133" s="99">
        <v>0.02</v>
      </c>
      <c r="O133" s="99">
        <v>0.02</v>
      </c>
      <c r="P133" s="99">
        <v>0.02</v>
      </c>
      <c r="Q133" s="99">
        <v>0.02</v>
      </c>
      <c r="R133" s="99">
        <v>0.02</v>
      </c>
      <c r="S133" s="24"/>
      <c r="T133" s="24"/>
      <c r="U133" s="24"/>
      <c r="V133" s="24"/>
      <c r="W133" s="24"/>
      <c r="X133" s="24"/>
      <c r="Y133" s="24"/>
      <c r="Z133" s="24"/>
    </row>
    <row r="134" spans="1:26" ht="15.5" outlineLevel="1" x14ac:dyDescent="0.35">
      <c r="A134" s="24" t="s">
        <v>212</v>
      </c>
      <c r="B134" s="118" t="s">
        <v>213</v>
      </c>
      <c r="C134" s="119" t="s">
        <v>214</v>
      </c>
      <c r="D134" s="154">
        <v>20364.45</v>
      </c>
      <c r="E134" s="154">
        <v>23007.82</v>
      </c>
      <c r="F134" s="98">
        <v>18710</v>
      </c>
      <c r="G134" s="35">
        <v>5000</v>
      </c>
      <c r="H134" s="35">
        <v>20000</v>
      </c>
      <c r="I134" s="35">
        <f t="shared" ref="I134:K134" si="127">H134*(1+P134)</f>
        <v>20400</v>
      </c>
      <c r="J134" s="35">
        <f t="shared" si="127"/>
        <v>20808</v>
      </c>
      <c r="K134" s="35">
        <f t="shared" si="127"/>
        <v>21224.16</v>
      </c>
      <c r="L134" s="3"/>
      <c r="M134" s="101"/>
      <c r="N134" s="99">
        <v>0.02</v>
      </c>
      <c r="O134" s="99">
        <v>0.02</v>
      </c>
      <c r="P134" s="99">
        <v>0.02</v>
      </c>
      <c r="Q134" s="99">
        <v>0.02</v>
      </c>
      <c r="R134" s="99">
        <v>0.02</v>
      </c>
      <c r="S134" s="24"/>
      <c r="T134" s="24"/>
      <c r="U134" s="24"/>
      <c r="V134" s="24"/>
      <c r="W134" s="24"/>
      <c r="X134" s="24"/>
      <c r="Y134" s="24"/>
      <c r="Z134" s="24"/>
    </row>
    <row r="135" spans="1:26" ht="15.5" outlineLevel="1" x14ac:dyDescent="0.35">
      <c r="A135" s="24" t="s">
        <v>215</v>
      </c>
      <c r="B135" s="118" t="s">
        <v>216</v>
      </c>
      <c r="C135" s="119" t="s">
        <v>217</v>
      </c>
      <c r="D135" s="154">
        <v>17762.48</v>
      </c>
      <c r="E135" s="154">
        <v>13758.84</v>
      </c>
      <c r="F135" s="98">
        <v>19000</v>
      </c>
      <c r="G135" s="35">
        <v>20100</v>
      </c>
      <c r="H135" s="35">
        <f t="shared" ref="H135:K135" si="128">G135*(1+O135)</f>
        <v>20502</v>
      </c>
      <c r="I135" s="35">
        <f t="shared" si="128"/>
        <v>20912.04</v>
      </c>
      <c r="J135" s="35">
        <f t="shared" si="128"/>
        <v>21330.2808</v>
      </c>
      <c r="K135" s="35">
        <f t="shared" si="128"/>
        <v>21756.886416000001</v>
      </c>
      <c r="L135" s="3"/>
      <c r="M135" s="101"/>
      <c r="N135" s="99">
        <v>0.02</v>
      </c>
      <c r="O135" s="99">
        <v>0.02</v>
      </c>
      <c r="P135" s="99">
        <v>0.02</v>
      </c>
      <c r="Q135" s="99">
        <v>0.02</v>
      </c>
      <c r="R135" s="99">
        <v>0.02</v>
      </c>
      <c r="S135" s="24"/>
      <c r="T135" s="24"/>
      <c r="U135" s="24"/>
      <c r="V135" s="24"/>
      <c r="W135" s="24"/>
      <c r="X135" s="24"/>
      <c r="Y135" s="24"/>
      <c r="Z135" s="24"/>
    </row>
    <row r="136" spans="1:26" ht="15.5" outlineLevel="1" x14ac:dyDescent="0.35">
      <c r="A136" s="24" t="s">
        <v>218</v>
      </c>
      <c r="B136" s="118" t="s">
        <v>219</v>
      </c>
      <c r="C136" s="119" t="s">
        <v>220</v>
      </c>
      <c r="D136" s="154">
        <v>521.49</v>
      </c>
      <c r="E136" s="154">
        <v>1021.41</v>
      </c>
      <c r="F136" s="98">
        <v>1935</v>
      </c>
      <c r="G136" s="35">
        <v>1000</v>
      </c>
      <c r="H136" s="35">
        <f t="shared" ref="H136:K136" si="129">G136*(1+O136)</f>
        <v>1020</v>
      </c>
      <c r="I136" s="35">
        <f t="shared" si="129"/>
        <v>1040.4000000000001</v>
      </c>
      <c r="J136" s="35">
        <f t="shared" si="129"/>
        <v>1061.2080000000001</v>
      </c>
      <c r="K136" s="35">
        <f t="shared" si="129"/>
        <v>1082.4321600000001</v>
      </c>
      <c r="L136" s="3"/>
      <c r="M136" s="101"/>
      <c r="N136" s="99">
        <v>0.02</v>
      </c>
      <c r="O136" s="99">
        <v>0.02</v>
      </c>
      <c r="P136" s="99">
        <v>0.02</v>
      </c>
      <c r="Q136" s="99">
        <v>0.02</v>
      </c>
      <c r="R136" s="99">
        <v>0.02</v>
      </c>
      <c r="S136" s="24"/>
      <c r="T136" s="24"/>
      <c r="U136" s="24"/>
      <c r="V136" s="24"/>
      <c r="W136" s="24"/>
      <c r="X136" s="24"/>
      <c r="Y136" s="24"/>
      <c r="Z136" s="24"/>
    </row>
    <row r="137" spans="1:26" ht="15.5" outlineLevel="1" x14ac:dyDescent="0.35">
      <c r="A137" s="24"/>
      <c r="B137" s="118" t="s">
        <v>221</v>
      </c>
      <c r="C137" s="119" t="s">
        <v>222</v>
      </c>
      <c r="D137" s="154">
        <v>58.36</v>
      </c>
      <c r="E137" s="154">
        <v>0</v>
      </c>
      <c r="F137" s="98">
        <v>500</v>
      </c>
      <c r="G137" s="35">
        <v>500</v>
      </c>
      <c r="H137" s="35">
        <f t="shared" ref="H137:K137" si="130">G137*(1+O137)</f>
        <v>510</v>
      </c>
      <c r="I137" s="35">
        <f t="shared" si="130"/>
        <v>520.20000000000005</v>
      </c>
      <c r="J137" s="35">
        <f t="shared" si="130"/>
        <v>530.60400000000004</v>
      </c>
      <c r="K137" s="35">
        <f t="shared" si="130"/>
        <v>541.21608000000003</v>
      </c>
      <c r="L137" s="3"/>
      <c r="M137" s="101"/>
      <c r="N137" s="99">
        <v>0.02</v>
      </c>
      <c r="O137" s="99">
        <v>0.02</v>
      </c>
      <c r="P137" s="99">
        <v>0.02</v>
      </c>
      <c r="Q137" s="99">
        <v>0.02</v>
      </c>
      <c r="R137" s="99">
        <v>0.02</v>
      </c>
      <c r="S137" s="24"/>
      <c r="T137" s="24"/>
      <c r="U137" s="24"/>
      <c r="V137" s="24"/>
      <c r="W137" s="24"/>
      <c r="X137" s="24"/>
      <c r="Y137" s="24"/>
      <c r="Z137" s="24"/>
    </row>
    <row r="138" spans="1:26" ht="15.5" outlineLevel="1" x14ac:dyDescent="0.35">
      <c r="A138" s="24" t="s">
        <v>223</v>
      </c>
      <c r="B138" s="118" t="s">
        <v>224</v>
      </c>
      <c r="C138" s="119" t="s">
        <v>225</v>
      </c>
      <c r="D138" s="154">
        <v>18779.12</v>
      </c>
      <c r="E138" s="154">
        <v>24048.42</v>
      </c>
      <c r="F138" s="98">
        <v>19600</v>
      </c>
      <c r="G138" s="35">
        <v>20500</v>
      </c>
      <c r="H138" s="35">
        <f t="shared" ref="H138:K138" si="131">G138*(1+O138)</f>
        <v>20910</v>
      </c>
      <c r="I138" s="35">
        <f t="shared" si="131"/>
        <v>21328.2</v>
      </c>
      <c r="J138" s="35">
        <f t="shared" si="131"/>
        <v>21754.764000000003</v>
      </c>
      <c r="K138" s="35">
        <f t="shared" si="131"/>
        <v>22189.859280000004</v>
      </c>
      <c r="L138" s="3"/>
      <c r="M138" s="101"/>
      <c r="N138" s="99">
        <v>0.02</v>
      </c>
      <c r="O138" s="99">
        <v>0.02</v>
      </c>
      <c r="P138" s="99">
        <v>0.02</v>
      </c>
      <c r="Q138" s="99">
        <v>0.02</v>
      </c>
      <c r="R138" s="99">
        <v>0.02</v>
      </c>
      <c r="S138" s="24"/>
      <c r="T138" s="24"/>
      <c r="U138" s="24"/>
      <c r="V138" s="24"/>
      <c r="W138" s="24"/>
      <c r="X138" s="24"/>
      <c r="Y138" s="24"/>
      <c r="Z138" s="24"/>
    </row>
    <row r="139" spans="1:26" ht="15.5" outlineLevel="1" x14ac:dyDescent="0.35">
      <c r="A139" s="24" t="s">
        <v>226</v>
      </c>
      <c r="B139" s="118" t="s">
        <v>227</v>
      </c>
      <c r="C139" s="119" t="s">
        <v>228</v>
      </c>
      <c r="D139" s="154">
        <v>4925.8500000000004</v>
      </c>
      <c r="E139" s="154">
        <v>2868.54</v>
      </c>
      <c r="F139" s="98">
        <v>3200</v>
      </c>
      <c r="G139" s="35">
        <v>3200</v>
      </c>
      <c r="H139" s="35">
        <f t="shared" ref="H139:K139" si="132">G139*(1+O139)</f>
        <v>3264</v>
      </c>
      <c r="I139" s="35">
        <f t="shared" si="132"/>
        <v>3329.28</v>
      </c>
      <c r="J139" s="35">
        <f t="shared" si="132"/>
        <v>3395.8656000000001</v>
      </c>
      <c r="K139" s="35">
        <f t="shared" si="132"/>
        <v>3463.7829120000001</v>
      </c>
      <c r="L139" s="3"/>
      <c r="M139" s="101"/>
      <c r="N139" s="99">
        <v>0.02</v>
      </c>
      <c r="O139" s="99">
        <v>0.02</v>
      </c>
      <c r="P139" s="99">
        <v>0.02</v>
      </c>
      <c r="Q139" s="99">
        <v>0.02</v>
      </c>
      <c r="R139" s="99">
        <v>0.02</v>
      </c>
      <c r="S139" s="24"/>
      <c r="T139" s="24"/>
      <c r="U139" s="24"/>
      <c r="V139" s="24"/>
      <c r="W139" s="24"/>
      <c r="X139" s="24"/>
      <c r="Y139" s="24"/>
      <c r="Z139" s="24"/>
    </row>
    <row r="140" spans="1:26" ht="15.5" outlineLevel="1" x14ac:dyDescent="0.35">
      <c r="A140" s="24" t="s">
        <v>229</v>
      </c>
      <c r="B140" s="118" t="s">
        <v>230</v>
      </c>
      <c r="C140" s="119" t="s">
        <v>231</v>
      </c>
      <c r="D140" s="154">
        <v>0</v>
      </c>
      <c r="E140" s="154">
        <v>0</v>
      </c>
      <c r="F140" s="98">
        <v>500</v>
      </c>
      <c r="G140" s="35">
        <v>500</v>
      </c>
      <c r="H140" s="35">
        <f t="shared" ref="H140:K140" si="133">G140*(1+O140)</f>
        <v>510</v>
      </c>
      <c r="I140" s="35">
        <f t="shared" si="133"/>
        <v>520.20000000000005</v>
      </c>
      <c r="J140" s="35">
        <f t="shared" si="133"/>
        <v>530.60400000000004</v>
      </c>
      <c r="K140" s="35">
        <f t="shared" si="133"/>
        <v>541.21608000000003</v>
      </c>
      <c r="L140" s="3"/>
      <c r="M140" s="101"/>
      <c r="N140" s="99">
        <v>0.02</v>
      </c>
      <c r="O140" s="99">
        <v>0.02</v>
      </c>
      <c r="P140" s="99">
        <v>0.02</v>
      </c>
      <c r="Q140" s="99">
        <v>0.02</v>
      </c>
      <c r="R140" s="99">
        <v>0.02</v>
      </c>
      <c r="S140" s="24"/>
      <c r="T140" s="24"/>
      <c r="U140" s="24"/>
      <c r="V140" s="24"/>
      <c r="W140" s="24"/>
      <c r="X140" s="24"/>
      <c r="Y140" s="24"/>
      <c r="Z140" s="24"/>
    </row>
    <row r="141" spans="1:26" ht="15.5" outlineLevel="1" x14ac:dyDescent="0.35">
      <c r="A141" s="24"/>
      <c r="B141" s="118" t="s">
        <v>232</v>
      </c>
      <c r="C141" s="119" t="s">
        <v>233</v>
      </c>
      <c r="D141" s="154">
        <v>213.63</v>
      </c>
      <c r="E141" s="154">
        <v>67.099999999999994</v>
      </c>
      <c r="F141" s="98">
        <v>510</v>
      </c>
      <c r="G141" s="35">
        <v>500</v>
      </c>
      <c r="H141" s="35">
        <f t="shared" ref="H141:K141" si="134">G141*(1+O141)</f>
        <v>510</v>
      </c>
      <c r="I141" s="35">
        <f t="shared" si="134"/>
        <v>520.20000000000005</v>
      </c>
      <c r="J141" s="35">
        <f t="shared" si="134"/>
        <v>530.60400000000004</v>
      </c>
      <c r="K141" s="35">
        <f t="shared" si="134"/>
        <v>541.21608000000003</v>
      </c>
      <c r="L141" s="3"/>
      <c r="M141" s="101"/>
      <c r="N141" s="99">
        <v>0.02</v>
      </c>
      <c r="O141" s="99">
        <v>0.02</v>
      </c>
      <c r="P141" s="99">
        <v>0.02</v>
      </c>
      <c r="Q141" s="99">
        <v>0.02</v>
      </c>
      <c r="R141" s="99">
        <v>0.02</v>
      </c>
      <c r="S141" s="24"/>
      <c r="T141" s="24"/>
      <c r="U141" s="24"/>
      <c r="V141" s="24"/>
      <c r="W141" s="24"/>
      <c r="X141" s="24"/>
      <c r="Y141" s="24"/>
      <c r="Z141" s="24"/>
    </row>
    <row r="142" spans="1:26" ht="15.5" outlineLevel="1" x14ac:dyDescent="0.25">
      <c r="A142" s="24"/>
      <c r="B142" s="25"/>
      <c r="C142" s="145" t="s">
        <v>234</v>
      </c>
      <c r="D142" s="146">
        <f t="shared" ref="D142:F142" si="135">SUM(D124:D141)</f>
        <v>474529.70999999996</v>
      </c>
      <c r="E142" s="146">
        <f t="shared" si="135"/>
        <v>223705.12000000005</v>
      </c>
      <c r="F142" s="147">
        <f t="shared" si="135"/>
        <v>354784</v>
      </c>
      <c r="G142" s="146">
        <f t="shared" ref="G142:K142" si="136">SUM(G125:G141)</f>
        <v>241612</v>
      </c>
      <c r="H142" s="146">
        <f t="shared" si="136"/>
        <v>261344.24</v>
      </c>
      <c r="I142" s="146">
        <f t="shared" si="136"/>
        <v>266571.12480000005</v>
      </c>
      <c r="J142" s="146">
        <f t="shared" si="136"/>
        <v>271902.54729600006</v>
      </c>
      <c r="K142" s="146">
        <f t="shared" si="136"/>
        <v>277340.59824192</v>
      </c>
      <c r="L142" s="3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5" outlineLevel="1" x14ac:dyDescent="0.25">
      <c r="A143" s="24"/>
      <c r="B143" s="25"/>
      <c r="C143" s="129"/>
      <c r="D143" s="130"/>
      <c r="E143" s="130"/>
      <c r="F143" s="144"/>
      <c r="G143" s="141"/>
      <c r="H143" s="141"/>
      <c r="I143" s="141"/>
      <c r="J143" s="141"/>
      <c r="K143" s="141"/>
      <c r="L143" s="3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5" outlineLevel="1" x14ac:dyDescent="0.25">
      <c r="A144" s="24" t="s">
        <v>235</v>
      </c>
      <c r="B144" s="155">
        <v>910000</v>
      </c>
      <c r="C144" s="115" t="s">
        <v>236</v>
      </c>
      <c r="D144" s="97"/>
      <c r="E144" s="97"/>
      <c r="F144" s="140"/>
      <c r="G144" s="35">
        <f t="shared" ref="G144:K144" si="137">F144*(1+N144)</f>
        <v>0</v>
      </c>
      <c r="H144" s="35">
        <f t="shared" si="137"/>
        <v>0</v>
      </c>
      <c r="I144" s="35">
        <f t="shared" si="137"/>
        <v>0</v>
      </c>
      <c r="J144" s="35">
        <f t="shared" si="137"/>
        <v>0</v>
      </c>
      <c r="K144" s="35">
        <f t="shared" si="137"/>
        <v>0</v>
      </c>
      <c r="L144" s="3"/>
      <c r="M144" s="24"/>
      <c r="N144" s="99">
        <v>0.02</v>
      </c>
      <c r="O144" s="99">
        <v>0.02</v>
      </c>
      <c r="P144" s="99">
        <v>0.02</v>
      </c>
      <c r="Q144" s="99">
        <v>0.02</v>
      </c>
      <c r="R144" s="99">
        <v>0.02</v>
      </c>
      <c r="S144" s="24"/>
      <c r="T144" s="24"/>
      <c r="U144" s="24"/>
      <c r="V144" s="24"/>
      <c r="W144" s="24"/>
      <c r="X144" s="24"/>
      <c r="Y144" s="24"/>
      <c r="Z144" s="24"/>
    </row>
    <row r="145" spans="1:26" ht="15.5" outlineLevel="1" x14ac:dyDescent="0.25">
      <c r="A145" s="24" t="s">
        <v>237</v>
      </c>
      <c r="B145" s="155">
        <v>918000</v>
      </c>
      <c r="C145" s="115" t="s">
        <v>238</v>
      </c>
      <c r="D145" s="97"/>
      <c r="E145" s="97"/>
      <c r="F145" s="140"/>
      <c r="G145" s="35">
        <f t="shared" ref="G145:K145" si="138">F145*(1+N145)</f>
        <v>0</v>
      </c>
      <c r="H145" s="35">
        <f t="shared" si="138"/>
        <v>0</v>
      </c>
      <c r="I145" s="35">
        <f t="shared" si="138"/>
        <v>0</v>
      </c>
      <c r="J145" s="35">
        <f t="shared" si="138"/>
        <v>0</v>
      </c>
      <c r="K145" s="35">
        <f t="shared" si="138"/>
        <v>0</v>
      </c>
      <c r="L145" s="3"/>
      <c r="M145" s="24"/>
      <c r="N145" s="99">
        <v>0.02</v>
      </c>
      <c r="O145" s="99">
        <v>0.02</v>
      </c>
      <c r="P145" s="99">
        <v>0.02</v>
      </c>
      <c r="Q145" s="99">
        <v>0.02</v>
      </c>
      <c r="R145" s="99">
        <v>0.02</v>
      </c>
      <c r="S145" s="24"/>
      <c r="T145" s="24"/>
      <c r="U145" s="24"/>
      <c r="V145" s="24"/>
      <c r="W145" s="24"/>
      <c r="X145" s="24"/>
      <c r="Y145" s="24"/>
      <c r="Z145" s="24"/>
    </row>
    <row r="146" spans="1:26" ht="15.5" outlineLevel="1" x14ac:dyDescent="0.25">
      <c r="A146" s="24" t="s">
        <v>239</v>
      </c>
      <c r="B146" s="155">
        <v>920000</v>
      </c>
      <c r="C146" s="115" t="s">
        <v>240</v>
      </c>
      <c r="D146" s="97"/>
      <c r="E146" s="97"/>
      <c r="F146" s="140"/>
      <c r="G146" s="35">
        <f t="shared" ref="G146:K146" si="139">F146*(1+N146)</f>
        <v>0</v>
      </c>
      <c r="H146" s="35">
        <f t="shared" si="139"/>
        <v>0</v>
      </c>
      <c r="I146" s="35">
        <f t="shared" si="139"/>
        <v>0</v>
      </c>
      <c r="J146" s="35">
        <f t="shared" si="139"/>
        <v>0</v>
      </c>
      <c r="K146" s="35">
        <f t="shared" si="139"/>
        <v>0</v>
      </c>
      <c r="L146" s="3"/>
      <c r="M146" s="24"/>
      <c r="N146" s="99">
        <v>0.02</v>
      </c>
      <c r="O146" s="99">
        <v>0.02</v>
      </c>
      <c r="P146" s="99">
        <v>0.02</v>
      </c>
      <c r="Q146" s="99">
        <v>0.02</v>
      </c>
      <c r="R146" s="99">
        <v>0.02</v>
      </c>
      <c r="S146" s="24"/>
      <c r="T146" s="24"/>
      <c r="U146" s="24"/>
      <c r="V146" s="24"/>
      <c r="W146" s="24"/>
      <c r="X146" s="24"/>
      <c r="Y146" s="24"/>
      <c r="Z146" s="24"/>
    </row>
    <row r="147" spans="1:26" ht="15.5" outlineLevel="1" x14ac:dyDescent="0.25">
      <c r="A147" s="24"/>
      <c r="B147" s="155" t="s">
        <v>241</v>
      </c>
      <c r="C147" s="115" t="s">
        <v>242</v>
      </c>
      <c r="D147" s="97"/>
      <c r="E147" s="97"/>
      <c r="F147" s="140"/>
      <c r="G147" s="35">
        <f t="shared" ref="G147:K147" si="140">F147*(1+N147)</f>
        <v>0</v>
      </c>
      <c r="H147" s="35">
        <f t="shared" si="140"/>
        <v>0</v>
      </c>
      <c r="I147" s="35">
        <f t="shared" si="140"/>
        <v>0</v>
      </c>
      <c r="J147" s="35">
        <f t="shared" si="140"/>
        <v>0</v>
      </c>
      <c r="K147" s="35">
        <f t="shared" si="140"/>
        <v>0</v>
      </c>
      <c r="L147" s="3"/>
      <c r="M147" s="24"/>
      <c r="N147" s="99">
        <v>0.02</v>
      </c>
      <c r="O147" s="99">
        <v>0.02</v>
      </c>
      <c r="P147" s="99">
        <v>0.02</v>
      </c>
      <c r="Q147" s="99">
        <v>0.02</v>
      </c>
      <c r="R147" s="99">
        <v>0.02</v>
      </c>
      <c r="S147" s="24"/>
      <c r="T147" s="24"/>
      <c r="U147" s="24"/>
      <c r="V147" s="24"/>
      <c r="W147" s="24"/>
      <c r="X147" s="24"/>
      <c r="Y147" s="24"/>
      <c r="Z147" s="24"/>
    </row>
    <row r="148" spans="1:26" ht="15.5" outlineLevel="1" x14ac:dyDescent="0.25">
      <c r="A148" s="24"/>
      <c r="B148" s="155">
        <v>930000</v>
      </c>
      <c r="C148" s="115" t="s">
        <v>243</v>
      </c>
      <c r="D148" s="97">
        <v>252055.5</v>
      </c>
      <c r="E148" s="97">
        <v>201822.6</v>
      </c>
      <c r="F148" s="98">
        <f>672000-635000</f>
        <v>37000</v>
      </c>
      <c r="G148" s="35">
        <v>0</v>
      </c>
      <c r="H148" s="35">
        <v>50000</v>
      </c>
      <c r="I148" s="35">
        <v>50000</v>
      </c>
      <c r="J148" s="35">
        <v>50000</v>
      </c>
      <c r="K148" s="35">
        <v>50000</v>
      </c>
      <c r="L148" s="3"/>
      <c r="M148" s="24"/>
      <c r="N148" s="99">
        <v>0.02</v>
      </c>
      <c r="O148" s="99">
        <v>0.02</v>
      </c>
      <c r="P148" s="99">
        <v>0.02</v>
      </c>
      <c r="Q148" s="99">
        <v>0.02</v>
      </c>
      <c r="R148" s="99">
        <v>0.02</v>
      </c>
      <c r="S148" s="24"/>
      <c r="T148" s="24"/>
      <c r="U148" s="24"/>
      <c r="V148" s="24"/>
      <c r="W148" s="24"/>
      <c r="X148" s="24"/>
      <c r="Y148" s="24"/>
      <c r="Z148" s="24"/>
    </row>
    <row r="149" spans="1:26" ht="15.5" x14ac:dyDescent="0.25">
      <c r="A149" s="106" t="s">
        <v>244</v>
      </c>
      <c r="B149" s="156" t="s">
        <v>245</v>
      </c>
      <c r="C149" s="115" t="s">
        <v>246</v>
      </c>
      <c r="D149" s="97"/>
      <c r="E149" s="97"/>
      <c r="F149" s="98"/>
      <c r="G149" s="35">
        <f t="shared" ref="G149:K149" si="141">F149*(1+N149)</f>
        <v>0</v>
      </c>
      <c r="H149" s="35">
        <f t="shared" si="141"/>
        <v>0</v>
      </c>
      <c r="I149" s="35">
        <f t="shared" si="141"/>
        <v>0</v>
      </c>
      <c r="J149" s="35">
        <f t="shared" si="141"/>
        <v>0</v>
      </c>
      <c r="K149" s="35">
        <f t="shared" si="141"/>
        <v>0</v>
      </c>
      <c r="L149" s="3"/>
      <c r="M149" s="24"/>
      <c r="N149" s="99">
        <v>0.02</v>
      </c>
      <c r="O149" s="99">
        <v>0.02</v>
      </c>
      <c r="P149" s="99">
        <v>0.02</v>
      </c>
      <c r="Q149" s="99">
        <v>0.02</v>
      </c>
      <c r="R149" s="99">
        <v>0.02</v>
      </c>
      <c r="S149" s="24"/>
      <c r="T149" s="24"/>
      <c r="U149" s="24"/>
      <c r="V149" s="24"/>
      <c r="W149" s="24"/>
      <c r="X149" s="24"/>
      <c r="Y149" s="24"/>
      <c r="Z149" s="24"/>
    </row>
    <row r="150" spans="1:26" ht="15.5" x14ac:dyDescent="0.25">
      <c r="A150" s="24"/>
      <c r="B150" s="25"/>
      <c r="C150" s="145" t="s">
        <v>247</v>
      </c>
      <c r="D150" s="157">
        <f t="shared" ref="D150:F150" si="142">SUM(D144:D149)</f>
        <v>252055.5</v>
      </c>
      <c r="E150" s="157">
        <f t="shared" si="142"/>
        <v>201822.6</v>
      </c>
      <c r="F150" s="158">
        <f t="shared" si="142"/>
        <v>37000</v>
      </c>
      <c r="G150" s="159">
        <v>0</v>
      </c>
      <c r="H150" s="157">
        <f t="shared" ref="H150:K150" si="143">SUM(H144:H149)</f>
        <v>50000</v>
      </c>
      <c r="I150" s="157">
        <f t="shared" si="143"/>
        <v>50000</v>
      </c>
      <c r="J150" s="157">
        <f t="shared" si="143"/>
        <v>50000</v>
      </c>
      <c r="K150" s="157">
        <f t="shared" si="143"/>
        <v>50000</v>
      </c>
      <c r="L150" s="160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5" x14ac:dyDescent="0.25">
      <c r="A151" s="24"/>
      <c r="B151" s="25"/>
      <c r="C151" s="115"/>
      <c r="D151" s="92"/>
      <c r="E151" s="92"/>
      <c r="F151" s="112"/>
      <c r="G151" s="35"/>
      <c r="H151" s="35"/>
      <c r="I151" s="35"/>
      <c r="J151" s="35"/>
      <c r="K151" s="35"/>
      <c r="L151" s="3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5" x14ac:dyDescent="0.25">
      <c r="A152" s="24"/>
      <c r="B152" s="25"/>
      <c r="C152" s="145" t="s">
        <v>248</v>
      </c>
      <c r="D152" s="157">
        <f t="shared" ref="D152:K152" si="144">SUM(D96+D123+D142+D150)</f>
        <v>7617192.5600000015</v>
      </c>
      <c r="E152" s="157">
        <f t="shared" si="144"/>
        <v>7779046.0999999996</v>
      </c>
      <c r="F152" s="158">
        <f t="shared" si="144"/>
        <v>7644803.6661767047</v>
      </c>
      <c r="G152" s="157">
        <f t="shared" si="144"/>
        <v>8242850.4932157621</v>
      </c>
      <c r="H152" s="157">
        <f t="shared" si="144"/>
        <v>8660876.3201804627</v>
      </c>
      <c r="I152" s="157">
        <f t="shared" si="144"/>
        <v>9026043.1086742245</v>
      </c>
      <c r="J152" s="157">
        <f t="shared" si="144"/>
        <v>9414077.1587269437</v>
      </c>
      <c r="K152" s="157">
        <f t="shared" si="144"/>
        <v>9825576.6071910821</v>
      </c>
      <c r="L152" s="3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5" outlineLevel="1" x14ac:dyDescent="0.25">
      <c r="A153" s="24"/>
      <c r="B153" s="155"/>
      <c r="C153" s="115" t="s">
        <v>249</v>
      </c>
      <c r="D153" s="92"/>
      <c r="E153" s="92"/>
      <c r="F153" s="98"/>
      <c r="G153" s="35"/>
      <c r="H153" s="35"/>
      <c r="I153" s="35"/>
      <c r="J153" s="35"/>
      <c r="K153" s="35"/>
      <c r="L153" s="3"/>
      <c r="M153" s="24"/>
      <c r="N153" s="99"/>
      <c r="O153" s="99"/>
      <c r="P153" s="99"/>
      <c r="Q153" s="99"/>
      <c r="R153" s="99"/>
      <c r="S153" s="24"/>
      <c r="T153" s="24"/>
      <c r="U153" s="24"/>
      <c r="V153" s="24"/>
      <c r="W153" s="24"/>
      <c r="X153" s="24"/>
      <c r="Y153" s="24"/>
      <c r="Z153" s="24"/>
    </row>
    <row r="154" spans="1:26" ht="15.5" x14ac:dyDescent="0.25">
      <c r="A154" s="24"/>
      <c r="B154" s="25"/>
      <c r="C154" s="161" t="s">
        <v>250</v>
      </c>
      <c r="D154" s="162">
        <f t="shared" ref="D154:K154" si="145">SUM(D65-D152-D153)</f>
        <v>-2546.5400000009686</v>
      </c>
      <c r="E154" s="162">
        <f t="shared" si="145"/>
        <v>285929.41000000015</v>
      </c>
      <c r="F154" s="163">
        <f t="shared" si="145"/>
        <v>66502.933823294938</v>
      </c>
      <c r="G154" s="162">
        <f t="shared" si="145"/>
        <v>-57766.703315761872</v>
      </c>
      <c r="H154" s="162">
        <f t="shared" si="145"/>
        <v>-205682.54374846444</v>
      </c>
      <c r="I154" s="162">
        <f t="shared" si="145"/>
        <v>-293604.19428836741</v>
      </c>
      <c r="J154" s="162">
        <f t="shared" si="145"/>
        <v>-394977.65666048042</v>
      </c>
      <c r="K154" s="162">
        <f t="shared" si="145"/>
        <v>-510080.17087987624</v>
      </c>
      <c r="L154" s="3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5" outlineLevel="1" x14ac:dyDescent="0.25">
      <c r="A155" s="24"/>
      <c r="B155" s="155"/>
      <c r="C155" s="115"/>
      <c r="D155" s="164"/>
      <c r="E155" s="164"/>
      <c r="F155" s="144"/>
      <c r="G155" s="141"/>
      <c r="H155" s="141"/>
      <c r="I155" s="141"/>
      <c r="J155" s="141"/>
      <c r="K155" s="141"/>
      <c r="L155" s="3"/>
      <c r="M155" s="24"/>
      <c r="N155" s="99"/>
      <c r="O155" s="99"/>
      <c r="P155" s="99"/>
      <c r="Q155" s="99"/>
      <c r="R155" s="99"/>
      <c r="S155" s="24"/>
      <c r="T155" s="24"/>
      <c r="U155" s="24"/>
      <c r="V155" s="24"/>
      <c r="W155" s="24"/>
      <c r="X155" s="24"/>
      <c r="Y155" s="24"/>
      <c r="Z155" s="24"/>
    </row>
    <row r="156" spans="1:26" ht="15.5" x14ac:dyDescent="0.25">
      <c r="A156" s="24"/>
      <c r="B156" s="25"/>
      <c r="C156" s="165" t="s">
        <v>251</v>
      </c>
      <c r="D156" s="164"/>
      <c r="E156" s="164"/>
      <c r="F156" s="98">
        <v>2500000</v>
      </c>
      <c r="G156" s="166">
        <f t="shared" ref="G156:K156" si="146">SUM(F36+G154)</f>
        <v>3486101.5566842384</v>
      </c>
      <c r="H156" s="166">
        <f t="shared" si="146"/>
        <v>3280419.0129357739</v>
      </c>
      <c r="I156" s="166">
        <f t="shared" si="146"/>
        <v>2986814.8186474065</v>
      </c>
      <c r="J156" s="166">
        <f t="shared" si="146"/>
        <v>2591837.1619869261</v>
      </c>
      <c r="K156" s="166">
        <f t="shared" si="146"/>
        <v>2081756.9911070499</v>
      </c>
      <c r="L156" s="3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5" x14ac:dyDescent="0.25">
      <c r="A157" s="4"/>
      <c r="B157" s="25"/>
      <c r="C157" s="165" t="s">
        <v>252</v>
      </c>
      <c r="D157" s="167"/>
      <c r="E157" s="167"/>
      <c r="F157" s="168"/>
      <c r="G157" s="166"/>
      <c r="H157" s="166"/>
      <c r="I157" s="166"/>
      <c r="J157" s="166"/>
      <c r="K157" s="166"/>
      <c r="L157" s="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5" x14ac:dyDescent="0.25">
      <c r="A158" s="4"/>
      <c r="B158" s="25"/>
      <c r="C158" s="25"/>
      <c r="D158" s="169"/>
      <c r="E158" s="169"/>
      <c r="F158" s="170"/>
      <c r="G158" s="171"/>
      <c r="H158" s="171"/>
      <c r="I158" s="171"/>
      <c r="J158" s="171"/>
      <c r="K158" s="171"/>
      <c r="L158" s="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5" x14ac:dyDescent="0.25">
      <c r="A159" s="24"/>
      <c r="B159" s="25"/>
      <c r="C159" s="172" t="s">
        <v>253</v>
      </c>
      <c r="D159" s="173"/>
      <c r="E159" s="173"/>
      <c r="F159" s="174"/>
      <c r="G159" s="175"/>
      <c r="H159" s="175"/>
      <c r="I159" s="175"/>
      <c r="J159" s="175"/>
      <c r="K159" s="175"/>
      <c r="L159" s="3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5" x14ac:dyDescent="0.25">
      <c r="A160" s="4"/>
      <c r="B160" s="25"/>
      <c r="C160" s="25" t="s">
        <v>254</v>
      </c>
      <c r="D160" s="171">
        <f t="shared" ref="D160:K160" si="147">0.03*D63</f>
        <v>228439.3806</v>
      </c>
      <c r="E160" s="171">
        <f t="shared" si="147"/>
        <v>241949.26529999997</v>
      </c>
      <c r="F160" s="170">
        <f t="shared" si="147"/>
        <v>231339.19799999997</v>
      </c>
      <c r="G160" s="171">
        <f t="shared" si="147"/>
        <v>245552.51369699999</v>
      </c>
      <c r="H160" s="171">
        <f t="shared" si="147"/>
        <v>253655.81329295994</v>
      </c>
      <c r="I160" s="171">
        <f t="shared" si="147"/>
        <v>261973.16743157571</v>
      </c>
      <c r="J160" s="171">
        <f t="shared" si="147"/>
        <v>270572.98506199388</v>
      </c>
      <c r="K160" s="171">
        <f t="shared" si="147"/>
        <v>279464.89308933617</v>
      </c>
      <c r="L160" s="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5" x14ac:dyDescent="0.25">
      <c r="A161" s="4"/>
      <c r="B161" s="25"/>
      <c r="C161" s="25" t="s">
        <v>255</v>
      </c>
      <c r="D161" s="171">
        <f t="shared" ref="D161:K161" si="148">40*(D63/365)</f>
        <v>834481.75561643846</v>
      </c>
      <c r="E161" s="171">
        <f t="shared" si="148"/>
        <v>883832.93260273978</v>
      </c>
      <c r="F161" s="170">
        <f t="shared" si="148"/>
        <v>845074.69589041092</v>
      </c>
      <c r="G161" s="171">
        <f t="shared" si="148"/>
        <v>896995.48382465751</v>
      </c>
      <c r="H161" s="171">
        <f t="shared" si="148"/>
        <v>926596.5782391231</v>
      </c>
      <c r="I161" s="171">
        <f t="shared" si="148"/>
        <v>956979.60705598444</v>
      </c>
      <c r="J161" s="171">
        <f t="shared" si="148"/>
        <v>988394.46597988647</v>
      </c>
      <c r="K161" s="171">
        <f t="shared" si="148"/>
        <v>1020876.3217875294</v>
      </c>
      <c r="L161" s="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5" x14ac:dyDescent="0.25">
      <c r="A162" s="4"/>
      <c r="B162" s="25"/>
      <c r="C162" s="25" t="s">
        <v>256</v>
      </c>
      <c r="D162" s="171">
        <f t="shared" ref="D162:K162" si="149">(D152-D150)/365</f>
        <v>20178.45769863014</v>
      </c>
      <c r="E162" s="171">
        <f t="shared" si="149"/>
        <v>20759.516438356164</v>
      </c>
      <c r="F162" s="170">
        <f t="shared" si="149"/>
        <v>20843.297715552617</v>
      </c>
      <c r="G162" s="171">
        <f t="shared" si="149"/>
        <v>22583.152036207568</v>
      </c>
      <c r="H162" s="171">
        <f t="shared" si="149"/>
        <v>23591.441973097157</v>
      </c>
      <c r="I162" s="171">
        <f t="shared" si="149"/>
        <v>24591.898927874587</v>
      </c>
      <c r="J162" s="171">
        <f t="shared" si="149"/>
        <v>25655.005914320394</v>
      </c>
      <c r="K162" s="171">
        <f t="shared" si="149"/>
        <v>26782.40166353721</v>
      </c>
      <c r="L162" s="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5" x14ac:dyDescent="0.25">
      <c r="A163" s="4"/>
      <c r="B163" s="25"/>
      <c r="C163" s="25" t="s">
        <v>257</v>
      </c>
      <c r="D163" s="171"/>
      <c r="E163" s="171"/>
      <c r="F163" s="170"/>
      <c r="G163" s="171"/>
      <c r="H163" s="171"/>
      <c r="I163" s="171"/>
      <c r="J163" s="171"/>
      <c r="K163" s="171"/>
      <c r="L163" s="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5" x14ac:dyDescent="0.25">
      <c r="A164" s="4"/>
      <c r="B164" s="25"/>
      <c r="C164" s="25" t="s">
        <v>258</v>
      </c>
      <c r="D164" s="171">
        <f t="shared" ref="D164:K164" si="150">D154+SUM(D120:D121)</f>
        <v>965837.01999999909</v>
      </c>
      <c r="E164" s="171">
        <f t="shared" si="150"/>
        <v>1141127.4900000002</v>
      </c>
      <c r="F164" s="170">
        <f t="shared" si="150"/>
        <v>529630.43382329494</v>
      </c>
      <c r="G164" s="171">
        <f t="shared" si="150"/>
        <v>407625.79668423813</v>
      </c>
      <c r="H164" s="171">
        <f t="shared" si="150"/>
        <v>261519.95625153556</v>
      </c>
      <c r="I164" s="171">
        <f t="shared" si="150"/>
        <v>169953.30571163259</v>
      </c>
      <c r="J164" s="171">
        <f t="shared" si="150"/>
        <v>69727.343339519575</v>
      </c>
      <c r="K164" s="171">
        <f t="shared" si="150"/>
        <v>-39752.670879876241</v>
      </c>
      <c r="L164" s="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5" x14ac:dyDescent="0.25">
      <c r="A165" s="4"/>
      <c r="B165" s="25"/>
      <c r="C165" s="25"/>
      <c r="D165" s="25"/>
      <c r="E165" s="169"/>
      <c r="F165" s="170"/>
      <c r="G165" s="171"/>
      <c r="H165" s="171"/>
      <c r="I165" s="171"/>
      <c r="J165" s="171"/>
      <c r="K165" s="171"/>
      <c r="L165" s="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5" x14ac:dyDescent="0.25">
      <c r="A166" s="4"/>
      <c r="B166" s="25"/>
      <c r="C166" s="25"/>
      <c r="D166" s="25"/>
      <c r="E166" s="169"/>
      <c r="F166" s="170"/>
      <c r="G166" s="171"/>
      <c r="H166" s="171"/>
      <c r="I166" s="171"/>
      <c r="J166" s="171"/>
      <c r="K166" s="171"/>
      <c r="L166" s="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5" x14ac:dyDescent="0.25">
      <c r="A167" s="4"/>
      <c r="B167" s="25"/>
      <c r="C167" s="79" t="s">
        <v>83</v>
      </c>
      <c r="D167" s="176"/>
      <c r="E167" s="177">
        <f t="shared" ref="E167:K167" si="151">E25/E$31</f>
        <v>1.0367563588548472</v>
      </c>
      <c r="F167" s="178">
        <f t="shared" si="151"/>
        <v>1.050484084342312</v>
      </c>
      <c r="G167" s="177">
        <f t="shared" si="151"/>
        <v>0.99299190208977994</v>
      </c>
      <c r="H167" s="177">
        <f t="shared" si="151"/>
        <v>0.97625153204541104</v>
      </c>
      <c r="I167" s="177">
        <f t="shared" si="151"/>
        <v>0.96747143895133769</v>
      </c>
      <c r="J167" s="177">
        <f t="shared" si="151"/>
        <v>0.95804393250650888</v>
      </c>
      <c r="K167" s="177">
        <f t="shared" si="151"/>
        <v>0.94808648985479771</v>
      </c>
      <c r="L167" s="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5" x14ac:dyDescent="0.25">
      <c r="A168" s="4"/>
      <c r="B168" s="25"/>
      <c r="C168" s="79" t="s">
        <v>131</v>
      </c>
      <c r="D168" s="176"/>
      <c r="E168" s="179">
        <f t="shared" ref="E168:K168" si="152">E26/E$25</f>
        <v>0.51927825134834171</v>
      </c>
      <c r="F168" s="180">
        <f t="shared" si="152"/>
        <v>0.52305848764960805</v>
      </c>
      <c r="G168" s="179">
        <f t="shared" si="152"/>
        <v>0.57871429561234478</v>
      </c>
      <c r="H168" s="179">
        <f t="shared" si="152"/>
        <v>0.58806946138356075</v>
      </c>
      <c r="I168" s="179">
        <f t="shared" si="152"/>
        <v>0.59770395918848229</v>
      </c>
      <c r="J168" s="179">
        <f t="shared" si="152"/>
        <v>0.60748066110920096</v>
      </c>
      <c r="K168" s="179">
        <f t="shared" si="152"/>
        <v>0.61740172736394894</v>
      </c>
      <c r="L168" s="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5" x14ac:dyDescent="0.25">
      <c r="A169" s="4"/>
      <c r="B169" s="25"/>
      <c r="C169" s="79" t="s">
        <v>136</v>
      </c>
      <c r="D169" s="176"/>
      <c r="E169" s="179">
        <f t="shared" ref="E169:K169" si="153">E27/E$25</f>
        <v>0.13934608835532597</v>
      </c>
      <c r="F169" s="180">
        <f t="shared" si="153"/>
        <v>0.1549893988277673</v>
      </c>
      <c r="G169" s="179">
        <f t="shared" si="153"/>
        <v>0.17547533294504114</v>
      </c>
      <c r="H169" s="179">
        <f t="shared" si="153"/>
        <v>0.17978213942506788</v>
      </c>
      <c r="I169" s="179">
        <f t="shared" si="153"/>
        <v>0.18422181629556411</v>
      </c>
      <c r="J169" s="179">
        <f t="shared" si="153"/>
        <v>0.1887538507322567</v>
      </c>
      <c r="K169" s="179">
        <f t="shared" si="153"/>
        <v>0.19337998588024394</v>
      </c>
      <c r="L169" s="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5" x14ac:dyDescent="0.25">
      <c r="A170" s="4"/>
      <c r="B170" s="25"/>
      <c r="C170" s="79" t="s">
        <v>192</v>
      </c>
      <c r="D170" s="176"/>
      <c r="E170" s="179">
        <f t="shared" ref="E170:K170" si="154">E28/E$25</f>
        <v>0.25316000122609178</v>
      </c>
      <c r="F170" s="180">
        <f t="shared" si="154"/>
        <v>0.23884093227253381</v>
      </c>
      <c r="G170" s="179">
        <f t="shared" si="154"/>
        <v>0.22334935559924607</v>
      </c>
      <c r="H170" s="179">
        <f t="shared" si="154"/>
        <v>0.21965173748906291</v>
      </c>
      <c r="I170" s="179">
        <f t="shared" si="154"/>
        <v>0.21544415395527716</v>
      </c>
      <c r="J170" s="179">
        <f t="shared" si="154"/>
        <v>0.21186775040187802</v>
      </c>
      <c r="K170" s="179">
        <f t="shared" si="154"/>
        <v>0.20883501613650335</v>
      </c>
      <c r="L170" s="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5" x14ac:dyDescent="0.25">
      <c r="A171" s="4"/>
      <c r="B171" s="25"/>
      <c r="C171" s="79" t="s">
        <v>234</v>
      </c>
      <c r="D171" s="176"/>
      <c r="E171" s="179">
        <f t="shared" ref="E171:K171" si="155">E29/E$25</f>
        <v>2.7737854841917563E-2</v>
      </c>
      <c r="F171" s="180">
        <f t="shared" si="155"/>
        <v>3.0321589473309516E-2</v>
      </c>
      <c r="G171" s="179">
        <f t="shared" si="155"/>
        <v>2.9518573810831061E-2</v>
      </c>
      <c r="H171" s="179">
        <f t="shared" si="155"/>
        <v>3.0909314074914613E-2</v>
      </c>
      <c r="I171" s="179">
        <f t="shared" si="155"/>
        <v>3.0526537593163077E-2</v>
      </c>
      <c r="J171" s="179">
        <f t="shared" si="155"/>
        <v>3.0147416295130298E-2</v>
      </c>
      <c r="K171" s="179">
        <f t="shared" si="155"/>
        <v>2.977196117652562E-2</v>
      </c>
      <c r="L171" s="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5" x14ac:dyDescent="0.25">
      <c r="A172" s="4"/>
      <c r="B172" s="25"/>
      <c r="C172" s="79" t="s">
        <v>247</v>
      </c>
      <c r="D172" s="176"/>
      <c r="E172" s="179">
        <f t="shared" ref="E172:K172" si="156">E30/E$25</f>
        <v>2.5024576919019065E-2</v>
      </c>
      <c r="F172" s="180">
        <f t="shared" si="156"/>
        <v>4.7316677255863689E-3</v>
      </c>
      <c r="G172" s="179">
        <f t="shared" si="156"/>
        <v>0</v>
      </c>
      <c r="H172" s="179">
        <f t="shared" si="156"/>
        <v>5.9135250264009285E-3</v>
      </c>
      <c r="I172" s="179">
        <f t="shared" si="156"/>
        <v>5.7257772416397651E-3</v>
      </c>
      <c r="J172" s="179">
        <f t="shared" si="156"/>
        <v>5.5437907064384822E-3</v>
      </c>
      <c r="K172" s="179">
        <f t="shared" si="156"/>
        <v>5.3674004753094225E-3</v>
      </c>
      <c r="L172" s="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5" x14ac:dyDescent="0.25">
      <c r="A173" s="4"/>
      <c r="B173" s="25"/>
      <c r="C173" s="176" t="s">
        <v>252</v>
      </c>
      <c r="D173" s="176"/>
      <c r="E173" s="179">
        <f t="shared" ref="E173:K173" si="157">E32/E$25</f>
        <v>0</v>
      </c>
      <c r="F173" s="180">
        <f t="shared" si="157"/>
        <v>0</v>
      </c>
      <c r="G173" s="179">
        <f t="shared" si="157"/>
        <v>0</v>
      </c>
      <c r="H173" s="179">
        <f t="shared" si="157"/>
        <v>0</v>
      </c>
      <c r="I173" s="179">
        <f t="shared" si="157"/>
        <v>0</v>
      </c>
      <c r="J173" s="179">
        <f t="shared" si="157"/>
        <v>0</v>
      </c>
      <c r="K173" s="179">
        <f t="shared" si="157"/>
        <v>0</v>
      </c>
      <c r="L173" s="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5" x14ac:dyDescent="0.25">
      <c r="A174" s="4"/>
      <c r="B174" s="25"/>
      <c r="C174" s="181" t="s">
        <v>259</v>
      </c>
      <c r="D174" s="181"/>
      <c r="E174" s="182">
        <f t="shared" ref="E174:K174" si="158">SUM(E168:E173)</f>
        <v>0.96454677269069611</v>
      </c>
      <c r="F174" s="183">
        <f t="shared" si="158"/>
        <v>0.95194207594880509</v>
      </c>
      <c r="G174" s="182">
        <f t="shared" si="158"/>
        <v>1.007057557967463</v>
      </c>
      <c r="H174" s="182">
        <f t="shared" si="158"/>
        <v>1.0243261773990071</v>
      </c>
      <c r="I174" s="182">
        <f t="shared" si="158"/>
        <v>1.0336222442741263</v>
      </c>
      <c r="J174" s="182">
        <f t="shared" si="158"/>
        <v>1.0437934692449045</v>
      </c>
      <c r="K174" s="182">
        <f t="shared" si="158"/>
        <v>1.0547560910325315</v>
      </c>
      <c r="L174" s="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5" x14ac:dyDescent="0.25">
      <c r="A175" s="4"/>
      <c r="B175" s="25"/>
      <c r="C175" s="25"/>
      <c r="D175" s="25"/>
      <c r="E175" s="25"/>
      <c r="F175" s="170"/>
      <c r="G175" s="171"/>
      <c r="H175" s="171"/>
      <c r="I175" s="171"/>
      <c r="J175" s="171"/>
      <c r="K175" s="171"/>
      <c r="L175" s="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5" x14ac:dyDescent="0.25">
      <c r="A176" s="4"/>
      <c r="B176" s="25"/>
      <c r="C176" s="25" t="s">
        <v>260</v>
      </c>
      <c r="D176" s="25"/>
      <c r="E176" s="25"/>
      <c r="F176" s="171">
        <f t="shared" ref="F176:K176" si="159">F63/E9</f>
        <v>10408.307148256128</v>
      </c>
      <c r="G176" s="171">
        <f t="shared" si="159"/>
        <v>11353.034551015313</v>
      </c>
      <c r="H176" s="171">
        <f t="shared" si="159"/>
        <v>11198.932154214568</v>
      </c>
      <c r="I176" s="171">
        <f t="shared" si="159"/>
        <v>11490.051203139286</v>
      </c>
      <c r="J176" s="171">
        <f t="shared" si="159"/>
        <v>11867.236186929556</v>
      </c>
      <c r="K176" s="171">
        <f t="shared" si="159"/>
        <v>12257.232153041061</v>
      </c>
      <c r="L176" s="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5" x14ac:dyDescent="0.25">
      <c r="A177" s="4"/>
      <c r="B177" s="25"/>
      <c r="C177" s="25"/>
      <c r="D177" s="25"/>
      <c r="E177" s="25"/>
      <c r="F177" s="184" t="e">
        <f t="shared" ref="F177:K177" si="160">(F176-E176)/E176</f>
        <v>#DIV/0!</v>
      </c>
      <c r="G177" s="184">
        <f t="shared" si="160"/>
        <v>9.0766672168919441E-2</v>
      </c>
      <c r="H177" s="184">
        <f t="shared" si="160"/>
        <v>-1.3573674607284912E-2</v>
      </c>
      <c r="I177" s="184">
        <f t="shared" si="160"/>
        <v>2.5995250700323203E-2</v>
      </c>
      <c r="J177" s="184">
        <f t="shared" si="160"/>
        <v>3.2827093380333801E-2</v>
      </c>
      <c r="K177" s="184">
        <f t="shared" si="160"/>
        <v>3.2863251389657323E-2</v>
      </c>
      <c r="L177" s="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5" x14ac:dyDescent="0.25">
      <c r="A178" s="4"/>
      <c r="B178" s="25"/>
      <c r="C178" s="25" t="s">
        <v>261</v>
      </c>
      <c r="D178" s="25"/>
      <c r="E178" s="171">
        <f t="shared" ref="E178:K178" si="161">E152/E9</f>
        <v>10499.738284202569</v>
      </c>
      <c r="F178" s="171">
        <f t="shared" si="161"/>
        <v>10603.644676787484</v>
      </c>
      <c r="G178" s="171">
        <f t="shared" si="161"/>
        <v>10917.682772471207</v>
      </c>
      <c r="H178" s="171">
        <f t="shared" si="161"/>
        <v>11395.889894974292</v>
      </c>
      <c r="I178" s="171">
        <f t="shared" si="161"/>
        <v>11876.372511413454</v>
      </c>
      <c r="J178" s="171">
        <f t="shared" si="161"/>
        <v>12386.943629903873</v>
      </c>
      <c r="K178" s="171">
        <f t="shared" si="161"/>
        <v>12928.390272619845</v>
      </c>
      <c r="L178" s="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5" x14ac:dyDescent="0.25">
      <c r="A179" s="4"/>
      <c r="B179" s="25"/>
      <c r="C179" s="25"/>
      <c r="D179" s="25"/>
      <c r="E179" s="184" t="e">
        <f>(E178-#REF!)/#REF!</f>
        <v>#REF!</v>
      </c>
      <c r="F179" s="184">
        <f t="shared" ref="F179:K179" si="162">(F178-E178)/E178</f>
        <v>9.8960935760892127E-3</v>
      </c>
      <c r="G179" s="184">
        <f t="shared" si="162"/>
        <v>2.96160523344569E-2</v>
      </c>
      <c r="H179" s="184">
        <f t="shared" si="162"/>
        <v>4.380115565446524E-2</v>
      </c>
      <c r="I179" s="184">
        <f t="shared" si="162"/>
        <v>4.2162799120326659E-2</v>
      </c>
      <c r="J179" s="184">
        <f t="shared" si="162"/>
        <v>4.2990493772382884E-2</v>
      </c>
      <c r="K179" s="184">
        <f t="shared" si="162"/>
        <v>4.3711076670183667E-2</v>
      </c>
      <c r="L179" s="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5" x14ac:dyDescent="0.25">
      <c r="A180" s="4"/>
      <c r="B180" s="25"/>
      <c r="C180" s="25"/>
      <c r="D180" s="25"/>
      <c r="E180" s="171" t="e">
        <f>E154/#REF!</f>
        <v>#REF!</v>
      </c>
      <c r="F180" s="170">
        <f t="shared" ref="F180:K180" si="163">F176-F178</f>
        <v>-195.33752853135593</v>
      </c>
      <c r="G180" s="171">
        <f t="shared" si="163"/>
        <v>435.3517785441054</v>
      </c>
      <c r="H180" s="171">
        <f t="shared" si="163"/>
        <v>-196.9577407597244</v>
      </c>
      <c r="I180" s="171">
        <f t="shared" si="163"/>
        <v>-386.32130827416768</v>
      </c>
      <c r="J180" s="171">
        <f t="shared" si="163"/>
        <v>-519.70744297431702</v>
      </c>
      <c r="K180" s="171">
        <f t="shared" si="163"/>
        <v>-671.15811957878395</v>
      </c>
      <c r="L180" s="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5" x14ac:dyDescent="0.25">
      <c r="A181" s="4"/>
      <c r="B181" s="25"/>
      <c r="C181" s="25"/>
      <c r="D181" s="25"/>
      <c r="E181" s="184" t="e">
        <f>(E180-#REF!)/#REF!</f>
        <v>#REF!</v>
      </c>
      <c r="F181" s="185">
        <f t="shared" ref="F181:K181" si="164">F180/F176</f>
        <v>-1.8767463887159015E-2</v>
      </c>
      <c r="G181" s="184">
        <f t="shared" si="164"/>
        <v>3.8346732460632867E-2</v>
      </c>
      <c r="H181" s="184">
        <f t="shared" si="164"/>
        <v>-1.7587189389802849E-2</v>
      </c>
      <c r="I181" s="184">
        <f t="shared" si="164"/>
        <v>-3.362224427412628E-2</v>
      </c>
      <c r="J181" s="184">
        <f t="shared" si="164"/>
        <v>-4.379346924490448E-2</v>
      </c>
      <c r="K181" s="184">
        <f t="shared" si="164"/>
        <v>-5.4756091032531137E-2</v>
      </c>
      <c r="L181" s="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5" x14ac:dyDescent="0.25">
      <c r="A182" s="4"/>
      <c r="B182" s="25"/>
      <c r="C182" s="25"/>
      <c r="D182" s="25"/>
      <c r="E182" s="171" t="e">
        <f>E178-E180</f>
        <v>#REF!</v>
      </c>
      <c r="F182" s="170"/>
      <c r="G182" s="171"/>
      <c r="H182" s="171"/>
      <c r="I182" s="171"/>
      <c r="J182" s="171"/>
      <c r="K182" s="171"/>
      <c r="L182" s="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5" x14ac:dyDescent="0.25">
      <c r="A183" s="4"/>
      <c r="B183" s="25"/>
      <c r="C183" s="25" t="s">
        <v>262</v>
      </c>
      <c r="D183" s="25"/>
      <c r="E183" s="184" t="e">
        <f>E182/E178</f>
        <v>#REF!</v>
      </c>
      <c r="F183" s="186">
        <f t="shared" ref="F183:K183" si="165">F26/F31</f>
        <v>0.54946461645607303</v>
      </c>
      <c r="G183" s="187">
        <f t="shared" si="165"/>
        <v>0.57465860916664946</v>
      </c>
      <c r="H183" s="187">
        <f t="shared" si="165"/>
        <v>0.57410371262482085</v>
      </c>
      <c r="I183" s="187">
        <f t="shared" si="165"/>
        <v>0.5782615094629926</v>
      </c>
      <c r="J183" s="187">
        <f t="shared" si="165"/>
        <v>0.58199316149071278</v>
      </c>
      <c r="K183" s="187">
        <f t="shared" si="165"/>
        <v>0.58535023652677509</v>
      </c>
      <c r="L183" s="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5" x14ac:dyDescent="0.25">
      <c r="A184" s="4"/>
      <c r="B184" s="25"/>
      <c r="C184" s="25" t="s">
        <v>263</v>
      </c>
      <c r="D184" s="25"/>
      <c r="E184" s="171"/>
      <c r="F184" s="170">
        <f t="shared" ref="F184:K184" si="166">SUM(F120:F121)</f>
        <v>463127.5</v>
      </c>
      <c r="G184" s="171">
        <f t="shared" si="166"/>
        <v>465392.5</v>
      </c>
      <c r="H184" s="171">
        <f t="shared" si="166"/>
        <v>467202.5</v>
      </c>
      <c r="I184" s="171">
        <f t="shared" si="166"/>
        <v>463557.5</v>
      </c>
      <c r="J184" s="171">
        <f t="shared" si="166"/>
        <v>464705</v>
      </c>
      <c r="K184" s="171">
        <f t="shared" si="166"/>
        <v>470327.5</v>
      </c>
      <c r="L184" s="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5" x14ac:dyDescent="0.25">
      <c r="A185" s="4"/>
      <c r="B185" s="25"/>
      <c r="C185" s="25" t="s">
        <v>264</v>
      </c>
      <c r="D185" s="25"/>
      <c r="E185" s="187">
        <f>E28/E33</f>
        <v>7.1406757702888939</v>
      </c>
      <c r="F185" s="186">
        <f t="shared" ref="F185:K185" si="167">F184/F25</f>
        <v>5.9613548941376306E-2</v>
      </c>
      <c r="G185" s="187">
        <f t="shared" si="167"/>
        <v>5.6858611584926222E-2</v>
      </c>
      <c r="H185" s="187">
        <f t="shared" si="167"/>
        <v>5.5256273522941594E-2</v>
      </c>
      <c r="I185" s="187">
        <f t="shared" si="167"/>
        <v>5.3084539673828514E-2</v>
      </c>
      <c r="J185" s="187">
        <f t="shared" si="167"/>
        <v>5.1524545204709893E-2</v>
      </c>
      <c r="K185" s="187">
        <f t="shared" si="167"/>
        <v>5.0488720941021852E-2</v>
      </c>
      <c r="L185" s="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5" x14ac:dyDescent="0.25">
      <c r="A186" s="4"/>
      <c r="B186" s="25"/>
      <c r="C186" s="25" t="s">
        <v>265</v>
      </c>
      <c r="D186" s="25"/>
      <c r="E186" s="171">
        <f>SUM(E122:E123)</f>
        <v>2797776.53</v>
      </c>
      <c r="F186" s="170">
        <f t="shared" ref="F186:K186" si="168">F108+F107+F112+F113+F115+F110+F106</f>
        <v>355678.71999999997</v>
      </c>
      <c r="G186" s="171">
        <f t="shared" si="168"/>
        <v>307650</v>
      </c>
      <c r="H186" s="171">
        <f t="shared" si="168"/>
        <v>313803</v>
      </c>
      <c r="I186" s="171">
        <f t="shared" si="168"/>
        <v>320079.06</v>
      </c>
      <c r="J186" s="171">
        <f t="shared" si="168"/>
        <v>326480.64119999995</v>
      </c>
      <c r="K186" s="171">
        <f t="shared" si="168"/>
        <v>333010.25402400002</v>
      </c>
      <c r="L186" s="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5" x14ac:dyDescent="0.25">
      <c r="A187" s="4"/>
      <c r="B187" s="25"/>
      <c r="C187" s="25" t="s">
        <v>266</v>
      </c>
      <c r="D187" s="25"/>
      <c r="E187" s="187">
        <f>E186/E27</f>
        <v>2.4895175243776642</v>
      </c>
      <c r="F187" s="188">
        <f t="shared" ref="F187:K187" si="169">(F186+F184)/F25</f>
        <v>0.10539634262589316</v>
      </c>
      <c r="G187" s="189">
        <f t="shared" si="169"/>
        <v>9.4445276290744548E-2</v>
      </c>
      <c r="H187" s="189">
        <f t="shared" si="169"/>
        <v>9.236991140013541E-2</v>
      </c>
      <c r="I187" s="189">
        <f t="shared" si="169"/>
        <v>8.9738567619297493E-2</v>
      </c>
      <c r="J187" s="189">
        <f t="shared" si="169"/>
        <v>8.7723352095042617E-2</v>
      </c>
      <c r="K187" s="189">
        <f t="shared" si="169"/>
        <v>8.6236708855648436E-2</v>
      </c>
      <c r="L187" s="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5" x14ac:dyDescent="0.25">
      <c r="A188" s="4"/>
      <c r="B188" s="25"/>
      <c r="C188" s="25"/>
      <c r="D188" s="25"/>
      <c r="E188" s="171">
        <f>E110+E109+E114+E115+E117+E112+E108</f>
        <v>143642.85000000003</v>
      </c>
      <c r="F188" s="170"/>
      <c r="G188" s="171"/>
      <c r="H188" s="171"/>
      <c r="I188" s="171"/>
      <c r="J188" s="171"/>
      <c r="K188" s="171"/>
      <c r="L188" s="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5" x14ac:dyDescent="0.25">
      <c r="A189" s="4"/>
      <c r="B189" s="25"/>
      <c r="C189" s="25" t="s">
        <v>267</v>
      </c>
      <c r="D189" s="25"/>
      <c r="E189" s="189">
        <f>(E188+E186)/E27</f>
        <v>2.617333805804027</v>
      </c>
      <c r="F189" s="170">
        <f t="shared" ref="F189:K189" si="170">F156-(F162*40)</f>
        <v>1666268.0913778953</v>
      </c>
      <c r="G189" s="171">
        <f t="shared" si="170"/>
        <v>2582775.4752359358</v>
      </c>
      <c r="H189" s="171">
        <f t="shared" si="170"/>
        <v>2336761.3340118877</v>
      </c>
      <c r="I189" s="171">
        <f t="shared" si="170"/>
        <v>2003138.8615324232</v>
      </c>
      <c r="J189" s="171">
        <f t="shared" si="170"/>
        <v>1565636.9254141103</v>
      </c>
      <c r="K189" s="171">
        <f t="shared" si="170"/>
        <v>1010460.9245655616</v>
      </c>
      <c r="L189" s="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5" x14ac:dyDescent="0.25">
      <c r="A190" s="4"/>
      <c r="B190" s="25"/>
      <c r="C190" s="25"/>
      <c r="D190" s="25"/>
      <c r="E190" s="171"/>
      <c r="F190" s="170"/>
      <c r="G190" s="171"/>
      <c r="H190" s="171"/>
      <c r="I190" s="171"/>
      <c r="J190" s="171"/>
      <c r="K190" s="171"/>
      <c r="L190" s="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5" x14ac:dyDescent="0.25">
      <c r="A191" s="4"/>
      <c r="B191" s="25"/>
      <c r="C191" s="25" t="s">
        <v>268</v>
      </c>
      <c r="D191" s="25"/>
      <c r="E191" s="171">
        <f>E158-(E164*40)</f>
        <v>-45645099.600000009</v>
      </c>
      <c r="F191" s="170">
        <f t="shared" ref="F191:K191" si="171">(F156-F161)/1000</f>
        <v>1654.9253041095892</v>
      </c>
      <c r="G191" s="171">
        <f t="shared" si="171"/>
        <v>2589.1060728595808</v>
      </c>
      <c r="H191" s="171">
        <f t="shared" si="171"/>
        <v>2353.8224346966513</v>
      </c>
      <c r="I191" s="171">
        <f t="shared" si="171"/>
        <v>2029.8352115914222</v>
      </c>
      <c r="J191" s="171">
        <f t="shared" si="171"/>
        <v>1603.4426960070396</v>
      </c>
      <c r="K191" s="171">
        <f t="shared" si="171"/>
        <v>1060.8806693195204</v>
      </c>
      <c r="L191" s="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5" x14ac:dyDescent="0.25">
      <c r="A192" s="4"/>
      <c r="B192" s="25"/>
      <c r="C192" s="25"/>
      <c r="D192" s="25"/>
      <c r="E192" s="190"/>
      <c r="F192" s="191"/>
      <c r="G192" s="190"/>
      <c r="H192" s="190"/>
      <c r="I192" s="190"/>
      <c r="J192" s="190"/>
      <c r="K192" s="190"/>
      <c r="L192" s="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5" x14ac:dyDescent="0.25">
      <c r="A193" s="4"/>
      <c r="B193" s="25"/>
      <c r="C193" s="192" t="s">
        <v>269</v>
      </c>
      <c r="D193" s="25"/>
      <c r="E193" s="190">
        <f t="shared" ref="E193:K193" si="172">E10-D10</f>
        <v>368.18000000000029</v>
      </c>
      <c r="F193" s="190">
        <f t="shared" si="172"/>
        <v>-360.27000000000044</v>
      </c>
      <c r="G193" s="190">
        <f t="shared" si="172"/>
        <v>34.427300000000287</v>
      </c>
      <c r="H193" s="190">
        <f t="shared" si="172"/>
        <v>279.20050549999996</v>
      </c>
      <c r="I193" s="190">
        <f t="shared" si="172"/>
        <v>288.97252319249856</v>
      </c>
      <c r="J193" s="190">
        <f t="shared" si="172"/>
        <v>299.08656150423667</v>
      </c>
      <c r="K193" s="190">
        <f t="shared" si="172"/>
        <v>309.55459115688427</v>
      </c>
      <c r="L193" s="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5" x14ac:dyDescent="0.25">
      <c r="A194" s="4"/>
      <c r="B194" s="25"/>
      <c r="C194" s="25"/>
      <c r="D194" s="25"/>
      <c r="E194" s="25"/>
      <c r="F194" s="171"/>
      <c r="G194" s="171"/>
      <c r="H194" s="171"/>
      <c r="I194" s="171"/>
      <c r="J194" s="171"/>
      <c r="K194" s="171"/>
      <c r="L194" s="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5" x14ac:dyDescent="0.25">
      <c r="A195" s="4"/>
      <c r="B195" s="25"/>
      <c r="C195" s="25"/>
      <c r="D195" s="25"/>
      <c r="E195" s="25"/>
      <c r="F195" s="171"/>
      <c r="G195" s="171"/>
      <c r="H195" s="171"/>
      <c r="I195" s="171"/>
      <c r="J195" s="171"/>
      <c r="K195" s="171"/>
      <c r="L195" s="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5" x14ac:dyDescent="0.25">
      <c r="A196" s="4"/>
      <c r="B196" s="25"/>
      <c r="C196" s="25"/>
      <c r="D196" s="25"/>
      <c r="E196" s="25"/>
      <c r="F196" s="171"/>
      <c r="G196" s="171"/>
      <c r="H196" s="171"/>
      <c r="I196" s="171"/>
      <c r="J196" s="171"/>
      <c r="K196" s="171"/>
      <c r="L196" s="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5" x14ac:dyDescent="0.25">
      <c r="A197" s="4"/>
      <c r="B197" s="25"/>
      <c r="C197" s="25"/>
      <c r="D197" s="25"/>
      <c r="E197" s="25"/>
      <c r="F197" s="171"/>
      <c r="G197" s="171"/>
      <c r="H197" s="171"/>
      <c r="I197" s="171"/>
      <c r="J197" s="171"/>
      <c r="K197" s="171"/>
      <c r="L197" s="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5" x14ac:dyDescent="0.25">
      <c r="A198" s="4"/>
      <c r="B198" s="25"/>
      <c r="C198" s="25"/>
      <c r="D198" s="25"/>
      <c r="E198" s="25"/>
      <c r="F198" s="171"/>
      <c r="G198" s="171"/>
      <c r="H198" s="171"/>
      <c r="I198" s="171"/>
      <c r="J198" s="171"/>
      <c r="K198" s="171"/>
      <c r="L198" s="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5" x14ac:dyDescent="0.25">
      <c r="A199" s="4"/>
      <c r="B199" s="25"/>
      <c r="C199" s="25"/>
      <c r="D199" s="25"/>
      <c r="E199" s="25"/>
      <c r="F199" s="171"/>
      <c r="G199" s="171"/>
      <c r="H199" s="171"/>
      <c r="I199" s="171"/>
      <c r="J199" s="171"/>
      <c r="K199" s="171"/>
      <c r="L199" s="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5" x14ac:dyDescent="0.25">
      <c r="A200" s="4"/>
      <c r="B200" s="25"/>
      <c r="C200" s="25"/>
      <c r="D200" s="25"/>
      <c r="E200" s="25"/>
      <c r="F200" s="171"/>
      <c r="G200" s="171"/>
      <c r="H200" s="171"/>
      <c r="I200" s="171"/>
      <c r="J200" s="171"/>
      <c r="K200" s="171"/>
      <c r="L200" s="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5" x14ac:dyDescent="0.25">
      <c r="A201" s="4"/>
      <c r="B201" s="25"/>
      <c r="C201" s="25"/>
      <c r="D201" s="25">
        <f t="shared" ref="D201:K201" si="173">D120+D121</f>
        <v>968383.56</v>
      </c>
      <c r="E201" s="25">
        <f t="shared" si="173"/>
        <v>855198.08</v>
      </c>
      <c r="F201" s="25">
        <f t="shared" si="173"/>
        <v>463127.5</v>
      </c>
      <c r="G201" s="25">
        <f t="shared" si="173"/>
        <v>465392.5</v>
      </c>
      <c r="H201" s="25">
        <f t="shared" si="173"/>
        <v>467202.5</v>
      </c>
      <c r="I201" s="25">
        <f t="shared" si="173"/>
        <v>463557.5</v>
      </c>
      <c r="J201" s="25">
        <f t="shared" si="173"/>
        <v>464705</v>
      </c>
      <c r="K201" s="25">
        <f t="shared" si="173"/>
        <v>470327.5</v>
      </c>
      <c r="L201" s="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5" x14ac:dyDescent="0.25">
      <c r="A202" s="4"/>
      <c r="B202" s="25"/>
      <c r="C202" s="25"/>
      <c r="D202" s="25"/>
      <c r="E202" s="25"/>
      <c r="F202" s="171"/>
      <c r="G202" s="171"/>
      <c r="H202" s="171"/>
      <c r="I202" s="171"/>
      <c r="J202" s="171"/>
      <c r="K202" s="171"/>
      <c r="L202" s="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5" x14ac:dyDescent="0.25">
      <c r="A203" s="4"/>
      <c r="B203" s="25"/>
      <c r="C203" s="25"/>
      <c r="D203" s="25"/>
      <c r="E203" s="25"/>
      <c r="F203" s="4"/>
      <c r="G203" s="4"/>
      <c r="H203" s="4"/>
      <c r="I203" s="4"/>
      <c r="J203" s="4"/>
      <c r="K203" s="4"/>
      <c r="L203" s="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5" x14ac:dyDescent="0.25">
      <c r="A204" s="4"/>
      <c r="B204" s="25"/>
      <c r="C204" s="25"/>
      <c r="D204" s="25"/>
      <c r="E204" s="25"/>
      <c r="F204" s="4"/>
      <c r="G204" s="4"/>
      <c r="H204" s="4"/>
      <c r="I204" s="4"/>
      <c r="J204" s="4"/>
      <c r="K204" s="4"/>
      <c r="L204" s="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5" x14ac:dyDescent="0.25">
      <c r="A205" s="4"/>
      <c r="B205" s="25"/>
      <c r="C205" s="25"/>
      <c r="D205" s="25"/>
      <c r="E205" s="25"/>
      <c r="F205" s="4"/>
      <c r="G205" s="4"/>
      <c r="H205" s="4"/>
      <c r="I205" s="4"/>
      <c r="J205" s="4"/>
      <c r="K205" s="4"/>
      <c r="L205" s="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5" x14ac:dyDescent="0.25">
      <c r="A206" s="4"/>
      <c r="B206" s="25"/>
      <c r="C206" s="25"/>
      <c r="D206" s="25"/>
      <c r="E206" s="25"/>
      <c r="F206" s="4"/>
      <c r="G206" s="4"/>
      <c r="H206" s="4"/>
      <c r="I206" s="4"/>
      <c r="J206" s="4"/>
      <c r="K206" s="4"/>
      <c r="L206" s="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5" x14ac:dyDescent="0.25">
      <c r="A207" s="4"/>
      <c r="B207" s="25"/>
      <c r="C207" s="25"/>
      <c r="D207" s="25"/>
      <c r="E207" s="25"/>
      <c r="F207" s="4"/>
      <c r="G207" s="4"/>
      <c r="H207" s="4"/>
      <c r="I207" s="4"/>
      <c r="J207" s="4"/>
      <c r="K207" s="4"/>
      <c r="L207" s="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5" x14ac:dyDescent="0.25">
      <c r="A208" s="4"/>
      <c r="B208" s="25"/>
      <c r="C208" s="25"/>
      <c r="D208" s="25"/>
      <c r="E208" s="25"/>
      <c r="F208" s="4"/>
      <c r="G208" s="4"/>
      <c r="H208" s="4"/>
      <c r="I208" s="4"/>
      <c r="J208" s="4"/>
      <c r="K208" s="4"/>
      <c r="L208" s="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5" x14ac:dyDescent="0.25">
      <c r="A209" s="4"/>
      <c r="B209" s="25"/>
      <c r="C209" s="25"/>
      <c r="D209" s="25"/>
      <c r="E209" s="25"/>
      <c r="F209" s="4"/>
      <c r="G209" s="4"/>
      <c r="H209" s="4"/>
      <c r="I209" s="4"/>
      <c r="J209" s="4"/>
      <c r="K209" s="4"/>
      <c r="L209" s="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5" x14ac:dyDescent="0.25">
      <c r="A210" s="4"/>
      <c r="B210" s="25"/>
      <c r="C210" s="25"/>
      <c r="D210" s="25"/>
      <c r="E210" s="25"/>
      <c r="F210" s="4"/>
      <c r="G210" s="4"/>
      <c r="H210" s="4"/>
      <c r="I210" s="4"/>
      <c r="J210" s="4"/>
      <c r="K210" s="4"/>
      <c r="L210" s="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5" x14ac:dyDescent="0.25">
      <c r="A211" s="4"/>
      <c r="B211" s="25"/>
      <c r="C211" s="25"/>
      <c r="D211" s="25"/>
      <c r="E211" s="25"/>
      <c r="F211" s="4"/>
      <c r="G211" s="4"/>
      <c r="H211" s="4"/>
      <c r="I211" s="4"/>
      <c r="J211" s="4"/>
      <c r="K211" s="4"/>
      <c r="L211" s="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5" x14ac:dyDescent="0.25">
      <c r="A212" s="4"/>
      <c r="B212" s="25"/>
      <c r="C212" s="25"/>
      <c r="D212" s="25"/>
      <c r="E212" s="25"/>
      <c r="F212" s="4"/>
      <c r="G212" s="4"/>
      <c r="H212" s="4"/>
      <c r="I212" s="4"/>
      <c r="J212" s="4"/>
      <c r="K212" s="4"/>
      <c r="L212" s="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5" x14ac:dyDescent="0.25">
      <c r="A213" s="4"/>
      <c r="B213" s="25"/>
      <c r="C213" s="25"/>
      <c r="D213" s="25"/>
      <c r="E213" s="25"/>
      <c r="F213" s="4"/>
      <c r="G213" s="4"/>
      <c r="H213" s="4"/>
      <c r="I213" s="4"/>
      <c r="J213" s="4"/>
      <c r="K213" s="4"/>
      <c r="L213" s="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5" x14ac:dyDescent="0.25">
      <c r="A214" s="4"/>
      <c r="B214" s="25"/>
      <c r="C214" s="25"/>
      <c r="D214" s="25"/>
      <c r="E214" s="25"/>
      <c r="F214" s="4"/>
      <c r="G214" s="4"/>
      <c r="H214" s="4"/>
      <c r="I214" s="4"/>
      <c r="J214" s="4"/>
      <c r="K214" s="4"/>
      <c r="L214" s="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5" x14ac:dyDescent="0.25">
      <c r="A215" s="4"/>
      <c r="B215" s="25"/>
      <c r="C215" s="25"/>
      <c r="D215" s="25"/>
      <c r="E215" s="25"/>
      <c r="F215" s="4"/>
      <c r="G215" s="4"/>
      <c r="H215" s="4"/>
      <c r="I215" s="4"/>
      <c r="J215" s="4"/>
      <c r="K215" s="4"/>
      <c r="L215" s="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5" x14ac:dyDescent="0.25">
      <c r="A216" s="4"/>
      <c r="B216" s="25"/>
      <c r="C216" s="25"/>
      <c r="D216" s="25"/>
      <c r="E216" s="25"/>
      <c r="F216" s="4"/>
      <c r="G216" s="4"/>
      <c r="H216" s="4"/>
      <c r="I216" s="4"/>
      <c r="J216" s="4"/>
      <c r="K216" s="4"/>
      <c r="L216" s="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5" x14ac:dyDescent="0.25">
      <c r="A217" s="4"/>
      <c r="B217" s="25"/>
      <c r="C217" s="25"/>
      <c r="D217" s="25"/>
      <c r="E217" s="25"/>
      <c r="F217" s="4"/>
      <c r="G217" s="4"/>
      <c r="H217" s="4"/>
      <c r="I217" s="4"/>
      <c r="J217" s="4"/>
      <c r="K217" s="4"/>
      <c r="L217" s="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5" x14ac:dyDescent="0.25">
      <c r="A218" s="4"/>
      <c r="B218" s="25"/>
      <c r="C218" s="25"/>
      <c r="D218" s="25"/>
      <c r="E218" s="25"/>
      <c r="F218" s="4"/>
      <c r="G218" s="4"/>
      <c r="H218" s="4"/>
      <c r="I218" s="4"/>
      <c r="J218" s="4"/>
      <c r="K218" s="4"/>
      <c r="L218" s="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5" x14ac:dyDescent="0.25">
      <c r="A219" s="4"/>
      <c r="B219" s="25"/>
      <c r="C219" s="25"/>
      <c r="D219" s="25"/>
      <c r="E219" s="25"/>
      <c r="F219" s="4"/>
      <c r="G219" s="4"/>
      <c r="H219" s="4"/>
      <c r="I219" s="4"/>
      <c r="J219" s="4"/>
      <c r="K219" s="4"/>
      <c r="L219" s="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5" x14ac:dyDescent="0.25">
      <c r="A220" s="4"/>
      <c r="B220" s="25"/>
      <c r="C220" s="25"/>
      <c r="D220" s="25"/>
      <c r="E220" s="25"/>
      <c r="F220" s="4"/>
      <c r="G220" s="4"/>
      <c r="H220" s="4"/>
      <c r="I220" s="4"/>
      <c r="J220" s="4"/>
      <c r="K220" s="4"/>
      <c r="L220" s="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5" x14ac:dyDescent="0.25">
      <c r="A221" s="4"/>
      <c r="B221" s="25"/>
      <c r="C221" s="25"/>
      <c r="D221" s="25"/>
      <c r="E221" s="25"/>
      <c r="F221" s="4"/>
      <c r="G221" s="4"/>
      <c r="H221" s="4"/>
      <c r="I221" s="4"/>
      <c r="J221" s="4"/>
      <c r="K221" s="4"/>
      <c r="L221" s="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5" x14ac:dyDescent="0.25">
      <c r="A222" s="4"/>
      <c r="B222" s="25"/>
      <c r="C222" s="25"/>
      <c r="D222" s="25"/>
      <c r="E222" s="25"/>
      <c r="F222" s="4"/>
      <c r="G222" s="4"/>
      <c r="H222" s="4"/>
      <c r="I222" s="4"/>
      <c r="J222" s="4"/>
      <c r="K222" s="4"/>
      <c r="L222" s="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5" x14ac:dyDescent="0.25">
      <c r="A223" s="4"/>
      <c r="B223" s="25"/>
      <c r="C223" s="25"/>
      <c r="D223" s="25"/>
      <c r="E223" s="25"/>
      <c r="F223" s="4"/>
      <c r="G223" s="4"/>
      <c r="H223" s="4"/>
      <c r="I223" s="4"/>
      <c r="J223" s="4"/>
      <c r="K223" s="4"/>
      <c r="L223" s="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5" x14ac:dyDescent="0.25">
      <c r="A224" s="4"/>
      <c r="B224" s="25"/>
      <c r="C224" s="25"/>
      <c r="D224" s="25"/>
      <c r="E224" s="25"/>
      <c r="F224" s="4"/>
      <c r="G224" s="4"/>
      <c r="H224" s="4"/>
      <c r="I224" s="4"/>
      <c r="J224" s="4"/>
      <c r="K224" s="4"/>
      <c r="L224" s="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5" x14ac:dyDescent="0.25">
      <c r="A225" s="4"/>
      <c r="B225" s="25"/>
      <c r="C225" s="25"/>
      <c r="D225" s="25"/>
      <c r="E225" s="25"/>
      <c r="F225" s="4"/>
      <c r="G225" s="4"/>
      <c r="H225" s="4"/>
      <c r="I225" s="4"/>
      <c r="J225" s="4"/>
      <c r="K225" s="4"/>
      <c r="L225" s="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5" x14ac:dyDescent="0.25">
      <c r="A226" s="4"/>
      <c r="B226" s="25"/>
      <c r="C226" s="25"/>
      <c r="D226" s="25"/>
      <c r="E226" s="25"/>
      <c r="F226" s="4"/>
      <c r="G226" s="4"/>
      <c r="H226" s="4"/>
      <c r="I226" s="4"/>
      <c r="J226" s="4"/>
      <c r="K226" s="4"/>
      <c r="L226" s="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5" x14ac:dyDescent="0.25">
      <c r="A227" s="4"/>
      <c r="B227" s="25"/>
      <c r="C227" s="25"/>
      <c r="D227" s="25"/>
      <c r="E227" s="25"/>
      <c r="F227" s="4"/>
      <c r="G227" s="4"/>
      <c r="H227" s="4"/>
      <c r="I227" s="4"/>
      <c r="J227" s="4"/>
      <c r="K227" s="4"/>
      <c r="L227" s="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5" x14ac:dyDescent="0.25">
      <c r="A228" s="4"/>
      <c r="B228" s="25"/>
      <c r="C228" s="25"/>
      <c r="D228" s="25"/>
      <c r="E228" s="25"/>
      <c r="F228" s="4"/>
      <c r="G228" s="4"/>
      <c r="H228" s="4"/>
      <c r="I228" s="4"/>
      <c r="J228" s="4"/>
      <c r="K228" s="4"/>
      <c r="L228" s="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5" x14ac:dyDescent="0.25">
      <c r="A229" s="4"/>
      <c r="B229" s="25"/>
      <c r="C229" s="25"/>
      <c r="D229" s="25"/>
      <c r="E229" s="25"/>
      <c r="F229" s="4"/>
      <c r="G229" s="4"/>
      <c r="H229" s="4"/>
      <c r="I229" s="4"/>
      <c r="J229" s="4"/>
      <c r="K229" s="4"/>
      <c r="L229" s="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5" x14ac:dyDescent="0.25">
      <c r="A230" s="4"/>
      <c r="B230" s="25"/>
      <c r="C230" s="25"/>
      <c r="D230" s="25"/>
      <c r="E230" s="25"/>
      <c r="F230" s="4"/>
      <c r="G230" s="4"/>
      <c r="H230" s="4"/>
      <c r="I230" s="4"/>
      <c r="J230" s="4"/>
      <c r="K230" s="4"/>
      <c r="L230" s="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5" x14ac:dyDescent="0.25">
      <c r="A231" s="4"/>
      <c r="B231" s="25"/>
      <c r="C231" s="25"/>
      <c r="D231" s="25"/>
      <c r="E231" s="25"/>
      <c r="F231" s="4"/>
      <c r="G231" s="4"/>
      <c r="H231" s="4"/>
      <c r="I231" s="4"/>
      <c r="J231" s="4"/>
      <c r="K231" s="4"/>
      <c r="L231" s="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5" x14ac:dyDescent="0.25">
      <c r="A232" s="4"/>
      <c r="B232" s="25"/>
      <c r="C232" s="25"/>
      <c r="D232" s="25"/>
      <c r="E232" s="25"/>
      <c r="F232" s="4"/>
      <c r="G232" s="4"/>
      <c r="H232" s="4"/>
      <c r="I232" s="4"/>
      <c r="J232" s="4"/>
      <c r="K232" s="4"/>
      <c r="L232" s="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5" x14ac:dyDescent="0.25">
      <c r="A233" s="4"/>
      <c r="B233" s="25"/>
      <c r="C233" s="25"/>
      <c r="D233" s="25"/>
      <c r="E233" s="25"/>
      <c r="F233" s="4"/>
      <c r="G233" s="4"/>
      <c r="H233" s="4"/>
      <c r="I233" s="4"/>
      <c r="J233" s="4"/>
      <c r="K233" s="4"/>
      <c r="L233" s="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5" x14ac:dyDescent="0.25">
      <c r="A234" s="4"/>
      <c r="B234" s="25"/>
      <c r="C234" s="25"/>
      <c r="D234" s="25"/>
      <c r="E234" s="25"/>
      <c r="F234" s="4"/>
      <c r="G234" s="4"/>
      <c r="H234" s="4"/>
      <c r="I234" s="4"/>
      <c r="J234" s="4"/>
      <c r="K234" s="4"/>
      <c r="L234" s="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5" x14ac:dyDescent="0.25">
      <c r="A235" s="4"/>
      <c r="B235" s="25"/>
      <c r="C235" s="25"/>
      <c r="D235" s="25"/>
      <c r="E235" s="25"/>
      <c r="F235" s="4"/>
      <c r="G235" s="4"/>
      <c r="H235" s="4"/>
      <c r="I235" s="4"/>
      <c r="J235" s="4"/>
      <c r="K235" s="4"/>
      <c r="L235" s="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5" x14ac:dyDescent="0.25">
      <c r="A236" s="4"/>
      <c r="B236" s="25"/>
      <c r="C236" s="25"/>
      <c r="D236" s="25"/>
      <c r="E236" s="25"/>
      <c r="F236" s="4"/>
      <c r="G236" s="4"/>
      <c r="H236" s="4"/>
      <c r="I236" s="4"/>
      <c r="J236" s="4"/>
      <c r="K236" s="4"/>
      <c r="L236" s="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5" x14ac:dyDescent="0.25">
      <c r="A237" s="4"/>
      <c r="B237" s="25"/>
      <c r="C237" s="25"/>
      <c r="D237" s="25"/>
      <c r="E237" s="25"/>
      <c r="F237" s="4"/>
      <c r="G237" s="4"/>
      <c r="H237" s="4"/>
      <c r="I237" s="4"/>
      <c r="J237" s="4"/>
      <c r="K237" s="4"/>
      <c r="L237" s="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5" x14ac:dyDescent="0.25">
      <c r="A238" s="4"/>
      <c r="B238" s="25"/>
      <c r="C238" s="25"/>
      <c r="D238" s="25"/>
      <c r="E238" s="25"/>
      <c r="F238" s="4"/>
      <c r="G238" s="4"/>
      <c r="H238" s="4"/>
      <c r="I238" s="4"/>
      <c r="J238" s="4"/>
      <c r="K238" s="4"/>
      <c r="L238" s="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5" x14ac:dyDescent="0.25">
      <c r="A239" s="4"/>
      <c r="B239" s="25"/>
      <c r="C239" s="25"/>
      <c r="D239" s="25"/>
      <c r="E239" s="25"/>
      <c r="F239" s="4"/>
      <c r="G239" s="4"/>
      <c r="H239" s="4"/>
      <c r="I239" s="4"/>
      <c r="J239" s="4"/>
      <c r="K239" s="4"/>
      <c r="L239" s="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5" x14ac:dyDescent="0.25">
      <c r="A240" s="4"/>
      <c r="B240" s="25"/>
      <c r="C240" s="25"/>
      <c r="D240" s="25"/>
      <c r="E240" s="25"/>
      <c r="F240" s="4"/>
      <c r="G240" s="4"/>
      <c r="H240" s="4"/>
      <c r="I240" s="4"/>
      <c r="J240" s="4"/>
      <c r="K240" s="4"/>
      <c r="L240" s="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5" x14ac:dyDescent="0.25">
      <c r="A241" s="4"/>
      <c r="B241" s="25"/>
      <c r="C241" s="25"/>
      <c r="D241" s="25"/>
      <c r="E241" s="25"/>
      <c r="F241" s="4"/>
      <c r="G241" s="4"/>
      <c r="H241" s="4"/>
      <c r="I241" s="4"/>
      <c r="J241" s="4"/>
      <c r="K241" s="4"/>
      <c r="L241" s="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5" x14ac:dyDescent="0.25">
      <c r="A242" s="4"/>
      <c r="B242" s="25"/>
      <c r="C242" s="25"/>
      <c r="D242" s="25"/>
      <c r="E242" s="25"/>
      <c r="F242" s="4"/>
      <c r="G242" s="4"/>
      <c r="H242" s="4"/>
      <c r="I242" s="4"/>
      <c r="J242" s="4"/>
      <c r="K242" s="4"/>
      <c r="L242" s="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5" x14ac:dyDescent="0.25">
      <c r="A243" s="4"/>
      <c r="B243" s="25"/>
      <c r="C243" s="25"/>
      <c r="D243" s="25"/>
      <c r="E243" s="25"/>
      <c r="F243" s="4"/>
      <c r="G243" s="4"/>
      <c r="H243" s="4"/>
      <c r="I243" s="4"/>
      <c r="J243" s="4"/>
      <c r="K243" s="4"/>
      <c r="L243" s="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5" x14ac:dyDescent="0.25">
      <c r="A244" s="4"/>
      <c r="B244" s="25"/>
      <c r="C244" s="25"/>
      <c r="D244" s="25"/>
      <c r="E244" s="25"/>
      <c r="F244" s="4"/>
      <c r="G244" s="4"/>
      <c r="H244" s="4"/>
      <c r="I244" s="4"/>
      <c r="J244" s="4"/>
      <c r="K244" s="4"/>
      <c r="L244" s="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5" x14ac:dyDescent="0.25">
      <c r="A245" s="4"/>
      <c r="B245" s="25"/>
      <c r="C245" s="25"/>
      <c r="D245" s="25"/>
      <c r="E245" s="25"/>
      <c r="F245" s="4"/>
      <c r="G245" s="4"/>
      <c r="H245" s="4"/>
      <c r="I245" s="4"/>
      <c r="J245" s="4"/>
      <c r="K245" s="4"/>
      <c r="L245" s="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5" x14ac:dyDescent="0.25">
      <c r="A246" s="4"/>
      <c r="B246" s="25"/>
      <c r="C246" s="25"/>
      <c r="D246" s="25"/>
      <c r="E246" s="25"/>
      <c r="F246" s="4"/>
      <c r="G246" s="4"/>
      <c r="H246" s="4"/>
      <c r="I246" s="4"/>
      <c r="J246" s="4"/>
      <c r="K246" s="4"/>
      <c r="L246" s="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5" x14ac:dyDescent="0.25">
      <c r="A247" s="4"/>
      <c r="B247" s="25"/>
      <c r="C247" s="25"/>
      <c r="D247" s="25"/>
      <c r="E247" s="25"/>
      <c r="F247" s="4"/>
      <c r="G247" s="4"/>
      <c r="H247" s="4"/>
      <c r="I247" s="4"/>
      <c r="J247" s="4"/>
      <c r="K247" s="4"/>
      <c r="L247" s="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5" x14ac:dyDescent="0.25">
      <c r="A248" s="4"/>
      <c r="B248" s="25"/>
      <c r="C248" s="25"/>
      <c r="D248" s="25"/>
      <c r="E248" s="25"/>
      <c r="F248" s="4"/>
      <c r="G248" s="4"/>
      <c r="H248" s="4"/>
      <c r="I248" s="4"/>
      <c r="J248" s="4"/>
      <c r="K248" s="4"/>
      <c r="L248" s="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5" x14ac:dyDescent="0.25">
      <c r="A249" s="4"/>
      <c r="B249" s="25"/>
      <c r="C249" s="25"/>
      <c r="D249" s="25"/>
      <c r="E249" s="25"/>
      <c r="F249" s="4"/>
      <c r="G249" s="4"/>
      <c r="H249" s="4"/>
      <c r="I249" s="4"/>
      <c r="J249" s="4"/>
      <c r="K249" s="4"/>
      <c r="L249" s="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5" x14ac:dyDescent="0.25">
      <c r="A250" s="4"/>
      <c r="B250" s="25"/>
      <c r="C250" s="25"/>
      <c r="D250" s="25"/>
      <c r="E250" s="25"/>
      <c r="F250" s="4"/>
      <c r="G250" s="4"/>
      <c r="H250" s="4"/>
      <c r="I250" s="4"/>
      <c r="J250" s="4"/>
      <c r="K250" s="4"/>
      <c r="L250" s="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5" x14ac:dyDescent="0.25">
      <c r="A251" s="4"/>
      <c r="B251" s="25"/>
      <c r="C251" s="25"/>
      <c r="D251" s="25"/>
      <c r="E251" s="25"/>
      <c r="F251" s="4"/>
      <c r="G251" s="4"/>
      <c r="H251" s="4"/>
      <c r="I251" s="4"/>
      <c r="J251" s="4"/>
      <c r="K251" s="4"/>
      <c r="L251" s="3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5" x14ac:dyDescent="0.25">
      <c r="A252" s="4"/>
      <c r="B252" s="25"/>
      <c r="C252" s="25"/>
      <c r="D252" s="25"/>
      <c r="E252" s="25"/>
      <c r="F252" s="4"/>
      <c r="G252" s="4"/>
      <c r="H252" s="4"/>
      <c r="I252" s="4"/>
      <c r="J252" s="4"/>
      <c r="K252" s="4"/>
      <c r="L252" s="3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5" x14ac:dyDescent="0.25">
      <c r="A253" s="4"/>
      <c r="B253" s="25"/>
      <c r="C253" s="25"/>
      <c r="D253" s="25"/>
      <c r="E253" s="25"/>
      <c r="F253" s="4"/>
      <c r="G253" s="4"/>
      <c r="H253" s="4"/>
      <c r="I253" s="4"/>
      <c r="J253" s="4"/>
      <c r="K253" s="4"/>
      <c r="L253" s="3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5" x14ac:dyDescent="0.25">
      <c r="A254" s="4"/>
      <c r="B254" s="25"/>
      <c r="C254" s="25"/>
      <c r="D254" s="25"/>
      <c r="E254" s="25"/>
      <c r="F254" s="4"/>
      <c r="G254" s="4"/>
      <c r="H254" s="4"/>
      <c r="I254" s="4"/>
      <c r="J254" s="4"/>
      <c r="K254" s="4"/>
      <c r="L254" s="3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5" x14ac:dyDescent="0.25">
      <c r="A255" s="4"/>
      <c r="B255" s="25"/>
      <c r="C255" s="25"/>
      <c r="D255" s="25"/>
      <c r="E255" s="25"/>
      <c r="F255" s="4"/>
      <c r="G255" s="4"/>
      <c r="H255" s="4"/>
      <c r="I255" s="4"/>
      <c r="J255" s="4"/>
      <c r="K255" s="4"/>
      <c r="L255" s="3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5" x14ac:dyDescent="0.25">
      <c r="A256" s="4"/>
      <c r="B256" s="25"/>
      <c r="C256" s="25"/>
      <c r="D256" s="25"/>
      <c r="E256" s="25"/>
      <c r="F256" s="4"/>
      <c r="G256" s="4"/>
      <c r="H256" s="4"/>
      <c r="I256" s="4"/>
      <c r="J256" s="4"/>
      <c r="K256" s="4"/>
      <c r="L256" s="3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5" x14ac:dyDescent="0.25">
      <c r="A257" s="4"/>
      <c r="B257" s="25"/>
      <c r="C257" s="25"/>
      <c r="D257" s="25"/>
      <c r="E257" s="25"/>
      <c r="F257" s="4"/>
      <c r="G257" s="4"/>
      <c r="H257" s="4"/>
      <c r="I257" s="4"/>
      <c r="J257" s="4"/>
      <c r="K257" s="4"/>
      <c r="L257" s="3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5" x14ac:dyDescent="0.25">
      <c r="A258" s="4"/>
      <c r="B258" s="25"/>
      <c r="C258" s="25"/>
      <c r="D258" s="25"/>
      <c r="E258" s="25"/>
      <c r="F258" s="4"/>
      <c r="G258" s="4"/>
      <c r="H258" s="4"/>
      <c r="I258" s="4"/>
      <c r="J258" s="4"/>
      <c r="K258" s="4"/>
      <c r="L258" s="3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5" x14ac:dyDescent="0.25">
      <c r="A259" s="4"/>
      <c r="B259" s="25"/>
      <c r="C259" s="25"/>
      <c r="D259" s="25"/>
      <c r="E259" s="25"/>
      <c r="F259" s="4"/>
      <c r="G259" s="4"/>
      <c r="H259" s="4"/>
      <c r="I259" s="4"/>
      <c r="J259" s="4"/>
      <c r="K259" s="4"/>
      <c r="L259" s="3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5" x14ac:dyDescent="0.25">
      <c r="A260" s="4"/>
      <c r="B260" s="25"/>
      <c r="C260" s="25"/>
      <c r="D260" s="25"/>
      <c r="E260" s="25"/>
      <c r="F260" s="4"/>
      <c r="G260" s="4"/>
      <c r="H260" s="4"/>
      <c r="I260" s="4"/>
      <c r="J260" s="4"/>
      <c r="K260" s="4"/>
      <c r="L260" s="3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5" x14ac:dyDescent="0.25">
      <c r="A261" s="4"/>
      <c r="B261" s="25"/>
      <c r="C261" s="25"/>
      <c r="D261" s="25"/>
      <c r="E261" s="25"/>
      <c r="F261" s="4"/>
      <c r="G261" s="4"/>
      <c r="H261" s="4"/>
      <c r="I261" s="4"/>
      <c r="J261" s="4"/>
      <c r="K261" s="4"/>
      <c r="L261" s="3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5" x14ac:dyDescent="0.25">
      <c r="A262" s="4"/>
      <c r="B262" s="25"/>
      <c r="C262" s="25"/>
      <c r="D262" s="25"/>
      <c r="E262" s="25"/>
      <c r="F262" s="4"/>
      <c r="G262" s="4"/>
      <c r="H262" s="4"/>
      <c r="I262" s="4"/>
      <c r="J262" s="4"/>
      <c r="K262" s="4"/>
      <c r="L262" s="3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5" x14ac:dyDescent="0.25">
      <c r="A263" s="4"/>
      <c r="B263" s="25"/>
      <c r="C263" s="25"/>
      <c r="D263" s="25"/>
      <c r="E263" s="25"/>
      <c r="F263" s="4"/>
      <c r="G263" s="4"/>
      <c r="H263" s="4"/>
      <c r="I263" s="4"/>
      <c r="J263" s="4"/>
      <c r="K263" s="4"/>
      <c r="L263" s="3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5" x14ac:dyDescent="0.25">
      <c r="A264" s="4"/>
      <c r="B264" s="25"/>
      <c r="C264" s="25"/>
      <c r="D264" s="25"/>
      <c r="E264" s="25"/>
      <c r="F264" s="4"/>
      <c r="G264" s="4"/>
      <c r="H264" s="4"/>
      <c r="I264" s="4"/>
      <c r="J264" s="4"/>
      <c r="K264" s="4"/>
      <c r="L264" s="3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5" x14ac:dyDescent="0.25">
      <c r="A265" s="4"/>
      <c r="B265" s="25"/>
      <c r="C265" s="25"/>
      <c r="D265" s="25"/>
      <c r="E265" s="25"/>
      <c r="F265" s="4"/>
      <c r="G265" s="4"/>
      <c r="H265" s="4"/>
      <c r="I265" s="4"/>
      <c r="J265" s="4"/>
      <c r="K265" s="4"/>
      <c r="L265" s="3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5" x14ac:dyDescent="0.25">
      <c r="A266" s="4"/>
      <c r="B266" s="25"/>
      <c r="C266" s="25"/>
      <c r="D266" s="25"/>
      <c r="E266" s="25"/>
      <c r="F266" s="4"/>
      <c r="G266" s="4"/>
      <c r="H266" s="4"/>
      <c r="I266" s="4"/>
      <c r="J266" s="4"/>
      <c r="K266" s="4"/>
      <c r="L266" s="3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5" x14ac:dyDescent="0.25">
      <c r="A267" s="4"/>
      <c r="B267" s="25"/>
      <c r="C267" s="25"/>
      <c r="D267" s="25"/>
      <c r="E267" s="25"/>
      <c r="F267" s="4"/>
      <c r="G267" s="4"/>
      <c r="H267" s="4"/>
      <c r="I267" s="4"/>
      <c r="J267" s="4"/>
      <c r="K267" s="4"/>
      <c r="L267" s="3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5" x14ac:dyDescent="0.25">
      <c r="A268" s="4"/>
      <c r="B268" s="25"/>
      <c r="C268" s="25"/>
      <c r="D268" s="25"/>
      <c r="E268" s="25"/>
      <c r="F268" s="4"/>
      <c r="G268" s="4"/>
      <c r="H268" s="4"/>
      <c r="I268" s="4"/>
      <c r="J268" s="4"/>
      <c r="K268" s="4"/>
      <c r="L268" s="3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5" x14ac:dyDescent="0.25">
      <c r="A269" s="4"/>
      <c r="B269" s="25"/>
      <c r="C269" s="25"/>
      <c r="D269" s="25"/>
      <c r="E269" s="25"/>
      <c r="F269" s="4"/>
      <c r="G269" s="4"/>
      <c r="H269" s="4"/>
      <c r="I269" s="4"/>
      <c r="J269" s="4"/>
      <c r="K269" s="4"/>
      <c r="L269" s="3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5" x14ac:dyDescent="0.25">
      <c r="A270" s="4"/>
      <c r="B270" s="25"/>
      <c r="C270" s="25"/>
      <c r="D270" s="25"/>
      <c r="E270" s="25"/>
      <c r="F270" s="4"/>
      <c r="G270" s="4"/>
      <c r="H270" s="4"/>
      <c r="I270" s="4"/>
      <c r="J270" s="4"/>
      <c r="K270" s="4"/>
      <c r="L270" s="3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5" x14ac:dyDescent="0.25">
      <c r="A271" s="4"/>
      <c r="B271" s="25"/>
      <c r="C271" s="25"/>
      <c r="D271" s="25"/>
      <c r="E271" s="25"/>
      <c r="F271" s="4"/>
      <c r="G271" s="4"/>
      <c r="H271" s="4"/>
      <c r="I271" s="4"/>
      <c r="J271" s="4"/>
      <c r="K271" s="4"/>
      <c r="L271" s="3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5" x14ac:dyDescent="0.25">
      <c r="A272" s="4"/>
      <c r="B272" s="25"/>
      <c r="C272" s="25"/>
      <c r="D272" s="25"/>
      <c r="E272" s="25"/>
      <c r="F272" s="4"/>
      <c r="G272" s="4"/>
      <c r="H272" s="4"/>
      <c r="I272" s="4"/>
      <c r="J272" s="4"/>
      <c r="K272" s="4"/>
      <c r="L272" s="3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5" x14ac:dyDescent="0.25">
      <c r="A273" s="4"/>
      <c r="B273" s="25"/>
      <c r="C273" s="25"/>
      <c r="D273" s="25"/>
      <c r="E273" s="25"/>
      <c r="F273" s="4"/>
      <c r="G273" s="4"/>
      <c r="H273" s="4"/>
      <c r="I273" s="4"/>
      <c r="J273" s="4"/>
      <c r="K273" s="4"/>
      <c r="L273" s="3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5" x14ac:dyDescent="0.25">
      <c r="A274" s="4"/>
      <c r="B274" s="25"/>
      <c r="C274" s="25"/>
      <c r="D274" s="25"/>
      <c r="E274" s="25"/>
      <c r="F274" s="4"/>
      <c r="G274" s="4"/>
      <c r="H274" s="4"/>
      <c r="I274" s="4"/>
      <c r="J274" s="4"/>
      <c r="K274" s="4"/>
      <c r="L274" s="3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5" x14ac:dyDescent="0.25">
      <c r="A275" s="4"/>
      <c r="B275" s="25"/>
      <c r="C275" s="25"/>
      <c r="D275" s="25"/>
      <c r="E275" s="25"/>
      <c r="F275" s="4"/>
      <c r="G275" s="4"/>
      <c r="H275" s="4"/>
      <c r="I275" s="4"/>
      <c r="J275" s="4"/>
      <c r="K275" s="4"/>
      <c r="L275" s="3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5" x14ac:dyDescent="0.25">
      <c r="A276" s="4"/>
      <c r="B276" s="25"/>
      <c r="C276" s="25"/>
      <c r="D276" s="25"/>
      <c r="E276" s="25"/>
      <c r="F276" s="4"/>
      <c r="G276" s="4"/>
      <c r="H276" s="4"/>
      <c r="I276" s="4"/>
      <c r="J276" s="4"/>
      <c r="K276" s="4"/>
      <c r="L276" s="3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5" x14ac:dyDescent="0.25">
      <c r="A277" s="4"/>
      <c r="B277" s="25"/>
      <c r="C277" s="25"/>
      <c r="D277" s="25"/>
      <c r="E277" s="25"/>
      <c r="F277" s="4"/>
      <c r="G277" s="4"/>
      <c r="H277" s="4"/>
      <c r="I277" s="4"/>
      <c r="J277" s="4"/>
      <c r="K277" s="4"/>
      <c r="L277" s="3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5" x14ac:dyDescent="0.25">
      <c r="A278" s="4"/>
      <c r="B278" s="25"/>
      <c r="C278" s="25"/>
      <c r="D278" s="25"/>
      <c r="E278" s="25"/>
      <c r="F278" s="4"/>
      <c r="G278" s="4"/>
      <c r="H278" s="4"/>
      <c r="I278" s="4"/>
      <c r="J278" s="4"/>
      <c r="K278" s="4"/>
      <c r="L278" s="3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5" x14ac:dyDescent="0.25">
      <c r="A279" s="4"/>
      <c r="B279" s="25"/>
      <c r="C279" s="25"/>
      <c r="D279" s="25"/>
      <c r="E279" s="25"/>
      <c r="F279" s="4"/>
      <c r="G279" s="4"/>
      <c r="H279" s="4"/>
      <c r="I279" s="4"/>
      <c r="J279" s="4"/>
      <c r="K279" s="4"/>
      <c r="L279" s="3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5" x14ac:dyDescent="0.25">
      <c r="A280" s="4"/>
      <c r="B280" s="25"/>
      <c r="C280" s="25"/>
      <c r="D280" s="25"/>
      <c r="E280" s="25"/>
      <c r="F280" s="4"/>
      <c r="G280" s="4"/>
      <c r="H280" s="4"/>
      <c r="I280" s="4"/>
      <c r="J280" s="4"/>
      <c r="K280" s="4"/>
      <c r="L280" s="3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5" x14ac:dyDescent="0.25">
      <c r="A281" s="4"/>
      <c r="B281" s="25"/>
      <c r="C281" s="25"/>
      <c r="D281" s="25"/>
      <c r="E281" s="25"/>
      <c r="F281" s="4"/>
      <c r="G281" s="4"/>
      <c r="H281" s="4"/>
      <c r="I281" s="4"/>
      <c r="J281" s="4"/>
      <c r="K281" s="4"/>
      <c r="L281" s="3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5" x14ac:dyDescent="0.25">
      <c r="A282" s="4"/>
      <c r="B282" s="25"/>
      <c r="C282" s="25"/>
      <c r="D282" s="25"/>
      <c r="E282" s="25"/>
      <c r="F282" s="4"/>
      <c r="G282" s="4"/>
      <c r="H282" s="4"/>
      <c r="I282" s="4"/>
      <c r="J282" s="4"/>
      <c r="K282" s="4"/>
      <c r="L282" s="3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5" x14ac:dyDescent="0.25">
      <c r="A283" s="4"/>
      <c r="B283" s="25"/>
      <c r="C283" s="25"/>
      <c r="D283" s="25"/>
      <c r="E283" s="25"/>
      <c r="F283" s="4"/>
      <c r="G283" s="4"/>
      <c r="H283" s="4"/>
      <c r="I283" s="4"/>
      <c r="J283" s="4"/>
      <c r="K283" s="4"/>
      <c r="L283" s="3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5" x14ac:dyDescent="0.25">
      <c r="A284" s="4"/>
      <c r="B284" s="25"/>
      <c r="C284" s="25"/>
      <c r="D284" s="25"/>
      <c r="E284" s="25"/>
      <c r="F284" s="4"/>
      <c r="G284" s="4"/>
      <c r="H284" s="4"/>
      <c r="I284" s="4"/>
      <c r="J284" s="4"/>
      <c r="K284" s="4"/>
      <c r="L284" s="3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5" x14ac:dyDescent="0.25">
      <c r="A285" s="4"/>
      <c r="B285" s="25"/>
      <c r="C285" s="25"/>
      <c r="D285" s="25"/>
      <c r="E285" s="25"/>
      <c r="F285" s="4"/>
      <c r="G285" s="4"/>
      <c r="H285" s="4"/>
      <c r="I285" s="4"/>
      <c r="J285" s="4"/>
      <c r="K285" s="4"/>
      <c r="L285" s="3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5" x14ac:dyDescent="0.25">
      <c r="A286" s="4"/>
      <c r="B286" s="25"/>
      <c r="C286" s="25"/>
      <c r="D286" s="25"/>
      <c r="E286" s="25"/>
      <c r="F286" s="4"/>
      <c r="G286" s="4"/>
      <c r="H286" s="4"/>
      <c r="I286" s="4"/>
      <c r="J286" s="4"/>
      <c r="K286" s="4"/>
      <c r="L286" s="3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5" x14ac:dyDescent="0.25">
      <c r="A287" s="4"/>
      <c r="B287" s="25"/>
      <c r="C287" s="25"/>
      <c r="D287" s="25"/>
      <c r="E287" s="25"/>
      <c r="F287" s="4"/>
      <c r="G287" s="4"/>
      <c r="H287" s="4"/>
      <c r="I287" s="4"/>
      <c r="J287" s="4"/>
      <c r="K287" s="4"/>
      <c r="L287" s="3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5" x14ac:dyDescent="0.25">
      <c r="A288" s="4"/>
      <c r="B288" s="25"/>
      <c r="C288" s="25"/>
      <c r="D288" s="25"/>
      <c r="E288" s="25"/>
      <c r="F288" s="4"/>
      <c r="G288" s="4"/>
      <c r="H288" s="4"/>
      <c r="I288" s="4"/>
      <c r="J288" s="4"/>
      <c r="K288" s="4"/>
      <c r="L288" s="3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5" x14ac:dyDescent="0.25">
      <c r="A289" s="4"/>
      <c r="B289" s="25"/>
      <c r="C289" s="25"/>
      <c r="D289" s="25"/>
      <c r="E289" s="25"/>
      <c r="F289" s="4"/>
      <c r="G289" s="4"/>
      <c r="H289" s="4"/>
      <c r="I289" s="4"/>
      <c r="J289" s="4"/>
      <c r="K289" s="4"/>
      <c r="L289" s="3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5" x14ac:dyDescent="0.25">
      <c r="A290" s="4"/>
      <c r="B290" s="25"/>
      <c r="C290" s="25"/>
      <c r="D290" s="25"/>
      <c r="E290" s="25"/>
      <c r="F290" s="4"/>
      <c r="G290" s="4"/>
      <c r="H290" s="4"/>
      <c r="I290" s="4"/>
      <c r="J290" s="4"/>
      <c r="K290" s="4"/>
      <c r="L290" s="3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5" x14ac:dyDescent="0.25">
      <c r="A291" s="4"/>
      <c r="B291" s="25"/>
      <c r="C291" s="25"/>
      <c r="D291" s="25"/>
      <c r="E291" s="25"/>
      <c r="F291" s="4"/>
      <c r="G291" s="4"/>
      <c r="H291" s="4"/>
      <c r="I291" s="4"/>
      <c r="J291" s="4"/>
      <c r="K291" s="4"/>
      <c r="L291" s="3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5" x14ac:dyDescent="0.25">
      <c r="A292" s="4"/>
      <c r="B292" s="25"/>
      <c r="C292" s="25"/>
      <c r="D292" s="25"/>
      <c r="E292" s="25"/>
      <c r="F292" s="4"/>
      <c r="G292" s="4"/>
      <c r="H292" s="4"/>
      <c r="I292" s="4"/>
      <c r="J292" s="4"/>
      <c r="K292" s="4"/>
      <c r="L292" s="3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5" x14ac:dyDescent="0.25">
      <c r="A293" s="4"/>
      <c r="B293" s="25"/>
      <c r="C293" s="25"/>
      <c r="D293" s="25"/>
      <c r="E293" s="25"/>
      <c r="F293" s="4"/>
      <c r="G293" s="4"/>
      <c r="H293" s="4"/>
      <c r="I293" s="4"/>
      <c r="J293" s="4"/>
      <c r="K293" s="4"/>
      <c r="L293" s="3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5" x14ac:dyDescent="0.25">
      <c r="A294" s="4"/>
      <c r="B294" s="25"/>
      <c r="C294" s="25"/>
      <c r="D294" s="25"/>
      <c r="E294" s="25"/>
      <c r="F294" s="4"/>
      <c r="G294" s="4"/>
      <c r="H294" s="4"/>
      <c r="I294" s="4"/>
      <c r="J294" s="4"/>
      <c r="K294" s="4"/>
      <c r="L294" s="3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5" x14ac:dyDescent="0.25">
      <c r="A295" s="4"/>
      <c r="B295" s="25"/>
      <c r="C295" s="25"/>
      <c r="D295" s="25"/>
      <c r="E295" s="25"/>
      <c r="F295" s="4"/>
      <c r="G295" s="4"/>
      <c r="H295" s="4"/>
      <c r="I295" s="4"/>
      <c r="J295" s="4"/>
      <c r="K295" s="4"/>
      <c r="L295" s="3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5" x14ac:dyDescent="0.25">
      <c r="A296" s="4"/>
      <c r="B296" s="25"/>
      <c r="C296" s="25"/>
      <c r="D296" s="25"/>
      <c r="E296" s="25"/>
      <c r="F296" s="4"/>
      <c r="G296" s="4"/>
      <c r="H296" s="4"/>
      <c r="I296" s="4"/>
      <c r="J296" s="4"/>
      <c r="K296" s="4"/>
      <c r="L296" s="3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5" x14ac:dyDescent="0.25">
      <c r="A297" s="4"/>
      <c r="B297" s="25"/>
      <c r="C297" s="25"/>
      <c r="D297" s="25"/>
      <c r="E297" s="25"/>
      <c r="F297" s="4"/>
      <c r="G297" s="4"/>
      <c r="H297" s="4"/>
      <c r="I297" s="4"/>
      <c r="J297" s="4"/>
      <c r="K297" s="4"/>
      <c r="L297" s="3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5" x14ac:dyDescent="0.25">
      <c r="A298" s="4"/>
      <c r="B298" s="25"/>
      <c r="C298" s="25"/>
      <c r="D298" s="25"/>
      <c r="E298" s="25"/>
      <c r="F298" s="4"/>
      <c r="G298" s="4"/>
      <c r="H298" s="4"/>
      <c r="I298" s="4"/>
      <c r="J298" s="4"/>
      <c r="K298" s="4"/>
      <c r="L298" s="3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5" x14ac:dyDescent="0.25">
      <c r="A299" s="4"/>
      <c r="B299" s="25"/>
      <c r="C299" s="25"/>
      <c r="D299" s="25"/>
      <c r="E299" s="25"/>
      <c r="F299" s="4"/>
      <c r="G299" s="4"/>
      <c r="H299" s="4"/>
      <c r="I299" s="4"/>
      <c r="J299" s="4"/>
      <c r="K299" s="4"/>
      <c r="L299" s="3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5" x14ac:dyDescent="0.25">
      <c r="A300" s="4"/>
      <c r="B300" s="25"/>
      <c r="C300" s="25"/>
      <c r="D300" s="25"/>
      <c r="E300" s="25"/>
      <c r="F300" s="4"/>
      <c r="G300" s="4"/>
      <c r="H300" s="4"/>
      <c r="I300" s="4"/>
      <c r="J300" s="4"/>
      <c r="K300" s="4"/>
      <c r="L300" s="3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5" x14ac:dyDescent="0.25">
      <c r="A301" s="4"/>
      <c r="B301" s="25"/>
      <c r="C301" s="25"/>
      <c r="D301" s="25"/>
      <c r="E301" s="25"/>
      <c r="F301" s="4"/>
      <c r="G301" s="4"/>
      <c r="H301" s="4"/>
      <c r="I301" s="4"/>
      <c r="J301" s="4"/>
      <c r="K301" s="4"/>
      <c r="L301" s="3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5" x14ac:dyDescent="0.25">
      <c r="A302" s="4"/>
      <c r="B302" s="25"/>
      <c r="C302" s="25"/>
      <c r="D302" s="25"/>
      <c r="E302" s="25"/>
      <c r="F302" s="4"/>
      <c r="G302" s="4"/>
      <c r="H302" s="4"/>
      <c r="I302" s="4"/>
      <c r="J302" s="4"/>
      <c r="K302" s="4"/>
      <c r="L302" s="3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5" x14ac:dyDescent="0.25">
      <c r="A303" s="4"/>
      <c r="B303" s="25"/>
      <c r="C303" s="25"/>
      <c r="D303" s="25"/>
      <c r="E303" s="25"/>
      <c r="F303" s="4"/>
      <c r="G303" s="4"/>
      <c r="H303" s="4"/>
      <c r="I303" s="4"/>
      <c r="J303" s="4"/>
      <c r="K303" s="4"/>
      <c r="L303" s="3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5" x14ac:dyDescent="0.25">
      <c r="A304" s="4"/>
      <c r="B304" s="25"/>
      <c r="C304" s="25"/>
      <c r="D304" s="25"/>
      <c r="E304" s="25"/>
      <c r="F304" s="4"/>
      <c r="G304" s="4"/>
      <c r="H304" s="4"/>
      <c r="I304" s="4"/>
      <c r="J304" s="4"/>
      <c r="K304" s="4"/>
      <c r="L304" s="3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5" x14ac:dyDescent="0.25">
      <c r="A305" s="4"/>
      <c r="B305" s="25"/>
      <c r="C305" s="25"/>
      <c r="D305" s="25"/>
      <c r="E305" s="25"/>
      <c r="F305" s="4"/>
      <c r="G305" s="4"/>
      <c r="H305" s="4"/>
      <c r="I305" s="4"/>
      <c r="J305" s="4"/>
      <c r="K305" s="4"/>
      <c r="L305" s="3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5" x14ac:dyDescent="0.25">
      <c r="A306" s="4"/>
      <c r="B306" s="25"/>
      <c r="C306" s="25"/>
      <c r="D306" s="25"/>
      <c r="E306" s="25"/>
      <c r="F306" s="4"/>
      <c r="G306" s="4"/>
      <c r="H306" s="4"/>
      <c r="I306" s="4"/>
      <c r="J306" s="4"/>
      <c r="K306" s="4"/>
      <c r="L306" s="3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5" x14ac:dyDescent="0.25">
      <c r="A307" s="4"/>
      <c r="B307" s="25"/>
      <c r="C307" s="25"/>
      <c r="D307" s="25"/>
      <c r="E307" s="25"/>
      <c r="F307" s="4"/>
      <c r="G307" s="4"/>
      <c r="H307" s="4"/>
      <c r="I307" s="4"/>
      <c r="J307" s="4"/>
      <c r="K307" s="4"/>
      <c r="L307" s="3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5" x14ac:dyDescent="0.25">
      <c r="A308" s="4"/>
      <c r="B308" s="25"/>
      <c r="C308" s="25"/>
      <c r="D308" s="25"/>
      <c r="E308" s="25"/>
      <c r="F308" s="4"/>
      <c r="G308" s="4"/>
      <c r="H308" s="4"/>
      <c r="I308" s="4"/>
      <c r="J308" s="4"/>
      <c r="K308" s="4"/>
      <c r="L308" s="3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5" x14ac:dyDescent="0.25">
      <c r="A309" s="4"/>
      <c r="B309" s="25"/>
      <c r="C309" s="25"/>
      <c r="D309" s="25"/>
      <c r="E309" s="25"/>
      <c r="F309" s="4"/>
      <c r="G309" s="4"/>
      <c r="H309" s="4"/>
      <c r="I309" s="4"/>
      <c r="J309" s="4"/>
      <c r="K309" s="4"/>
      <c r="L309" s="3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5" x14ac:dyDescent="0.25">
      <c r="A310" s="4"/>
      <c r="B310" s="25"/>
      <c r="C310" s="25"/>
      <c r="D310" s="25"/>
      <c r="E310" s="25"/>
      <c r="F310" s="4"/>
      <c r="G310" s="4"/>
      <c r="H310" s="4"/>
      <c r="I310" s="4"/>
      <c r="J310" s="4"/>
      <c r="K310" s="4"/>
      <c r="L310" s="3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5" x14ac:dyDescent="0.25">
      <c r="A311" s="4"/>
      <c r="B311" s="25"/>
      <c r="C311" s="25"/>
      <c r="D311" s="25"/>
      <c r="E311" s="25"/>
      <c r="F311" s="4"/>
      <c r="G311" s="4"/>
      <c r="H311" s="4"/>
      <c r="I311" s="4"/>
      <c r="J311" s="4"/>
      <c r="K311" s="4"/>
      <c r="L311" s="3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5" x14ac:dyDescent="0.25">
      <c r="A312" s="4"/>
      <c r="B312" s="25"/>
      <c r="C312" s="25"/>
      <c r="D312" s="25"/>
      <c r="E312" s="25"/>
      <c r="F312" s="4"/>
      <c r="G312" s="4"/>
      <c r="H312" s="4"/>
      <c r="I312" s="4"/>
      <c r="J312" s="4"/>
      <c r="K312" s="4"/>
      <c r="L312" s="3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5" x14ac:dyDescent="0.25">
      <c r="A313" s="4"/>
      <c r="B313" s="25"/>
      <c r="C313" s="25"/>
      <c r="D313" s="25"/>
      <c r="E313" s="25"/>
      <c r="F313" s="4"/>
      <c r="G313" s="4"/>
      <c r="H313" s="4"/>
      <c r="I313" s="4"/>
      <c r="J313" s="4"/>
      <c r="K313" s="4"/>
      <c r="L313" s="3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5" x14ac:dyDescent="0.25">
      <c r="A314" s="4"/>
      <c r="B314" s="25"/>
      <c r="C314" s="25"/>
      <c r="D314" s="25"/>
      <c r="E314" s="25"/>
      <c r="F314" s="4"/>
      <c r="G314" s="4"/>
      <c r="H314" s="4"/>
      <c r="I314" s="4"/>
      <c r="J314" s="4"/>
      <c r="K314" s="4"/>
      <c r="L314" s="3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5" x14ac:dyDescent="0.25">
      <c r="A315" s="4"/>
      <c r="B315" s="25"/>
      <c r="C315" s="25"/>
      <c r="D315" s="25"/>
      <c r="E315" s="25"/>
      <c r="F315" s="4"/>
      <c r="G315" s="4"/>
      <c r="H315" s="4"/>
      <c r="I315" s="4"/>
      <c r="J315" s="4"/>
      <c r="K315" s="4"/>
      <c r="L315" s="3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5" x14ac:dyDescent="0.25">
      <c r="A316" s="4"/>
      <c r="B316" s="25"/>
      <c r="C316" s="25"/>
      <c r="D316" s="25"/>
      <c r="E316" s="25"/>
      <c r="F316" s="4"/>
      <c r="G316" s="4"/>
      <c r="H316" s="4"/>
      <c r="I316" s="4"/>
      <c r="J316" s="4"/>
      <c r="K316" s="4"/>
      <c r="L316" s="3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5" x14ac:dyDescent="0.25">
      <c r="A317" s="4"/>
      <c r="B317" s="25"/>
      <c r="C317" s="25"/>
      <c r="D317" s="25"/>
      <c r="E317" s="25"/>
      <c r="F317" s="4"/>
      <c r="G317" s="4"/>
      <c r="H317" s="4"/>
      <c r="I317" s="4"/>
      <c r="J317" s="4"/>
      <c r="K317" s="4"/>
      <c r="L317" s="3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5" x14ac:dyDescent="0.25">
      <c r="A318" s="4"/>
      <c r="B318" s="25"/>
      <c r="C318" s="25"/>
      <c r="D318" s="25"/>
      <c r="E318" s="25"/>
      <c r="F318" s="4"/>
      <c r="G318" s="4"/>
      <c r="H318" s="4"/>
      <c r="I318" s="4"/>
      <c r="J318" s="4"/>
      <c r="K318" s="4"/>
      <c r="L318" s="3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5" x14ac:dyDescent="0.25">
      <c r="A319" s="4"/>
      <c r="B319" s="25"/>
      <c r="C319" s="25"/>
      <c r="D319" s="25"/>
      <c r="E319" s="25"/>
      <c r="F319" s="4"/>
      <c r="G319" s="4"/>
      <c r="H319" s="4"/>
      <c r="I319" s="4"/>
      <c r="J319" s="4"/>
      <c r="K319" s="4"/>
      <c r="L319" s="3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5" x14ac:dyDescent="0.25">
      <c r="A320" s="4"/>
      <c r="B320" s="25"/>
      <c r="C320" s="25"/>
      <c r="D320" s="25"/>
      <c r="E320" s="25"/>
      <c r="F320" s="4"/>
      <c r="G320" s="4"/>
      <c r="H320" s="4"/>
      <c r="I320" s="4"/>
      <c r="J320" s="4"/>
      <c r="K320" s="4"/>
      <c r="L320" s="3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5" x14ac:dyDescent="0.25">
      <c r="A321" s="4"/>
      <c r="B321" s="25"/>
      <c r="C321" s="25"/>
      <c r="D321" s="25"/>
      <c r="E321" s="25"/>
      <c r="F321" s="4"/>
      <c r="G321" s="4"/>
      <c r="H321" s="4"/>
      <c r="I321" s="4"/>
      <c r="J321" s="4"/>
      <c r="K321" s="4"/>
      <c r="L321" s="3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5" x14ac:dyDescent="0.25">
      <c r="A322" s="4"/>
      <c r="B322" s="25"/>
      <c r="C322" s="25"/>
      <c r="D322" s="25"/>
      <c r="E322" s="25"/>
      <c r="F322" s="4"/>
      <c r="G322" s="4"/>
      <c r="H322" s="4"/>
      <c r="I322" s="4"/>
      <c r="J322" s="4"/>
      <c r="K322" s="4"/>
      <c r="L322" s="3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5" x14ac:dyDescent="0.25">
      <c r="A323" s="4"/>
      <c r="B323" s="25"/>
      <c r="C323" s="25"/>
      <c r="D323" s="25"/>
      <c r="E323" s="25"/>
      <c r="F323" s="4"/>
      <c r="G323" s="4"/>
      <c r="H323" s="4"/>
      <c r="I323" s="4"/>
      <c r="J323" s="4"/>
      <c r="K323" s="4"/>
      <c r="L323" s="3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5" x14ac:dyDescent="0.25">
      <c r="A324" s="4"/>
      <c r="B324" s="25"/>
      <c r="C324" s="25"/>
      <c r="D324" s="25"/>
      <c r="E324" s="25"/>
      <c r="F324" s="4"/>
      <c r="G324" s="4"/>
      <c r="H324" s="4"/>
      <c r="I324" s="4"/>
      <c r="J324" s="4"/>
      <c r="K324" s="4"/>
      <c r="L324" s="3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5" x14ac:dyDescent="0.25">
      <c r="A325" s="4"/>
      <c r="B325" s="25"/>
      <c r="C325" s="25"/>
      <c r="D325" s="25"/>
      <c r="E325" s="25"/>
      <c r="F325" s="4"/>
      <c r="G325" s="4"/>
      <c r="H325" s="4"/>
      <c r="I325" s="4"/>
      <c r="J325" s="4"/>
      <c r="K325" s="4"/>
      <c r="L325" s="3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5" x14ac:dyDescent="0.25">
      <c r="A326" s="4"/>
      <c r="B326" s="25"/>
      <c r="C326" s="25"/>
      <c r="D326" s="25"/>
      <c r="E326" s="25"/>
      <c r="F326" s="4"/>
      <c r="G326" s="4"/>
      <c r="H326" s="4"/>
      <c r="I326" s="4"/>
      <c r="J326" s="4"/>
      <c r="K326" s="4"/>
      <c r="L326" s="3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5" x14ac:dyDescent="0.25">
      <c r="A327" s="4"/>
      <c r="B327" s="25"/>
      <c r="C327" s="25"/>
      <c r="D327" s="25"/>
      <c r="E327" s="25"/>
      <c r="F327" s="4"/>
      <c r="G327" s="4"/>
      <c r="H327" s="4"/>
      <c r="I327" s="4"/>
      <c r="J327" s="4"/>
      <c r="K327" s="4"/>
      <c r="L327" s="3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5" x14ac:dyDescent="0.25">
      <c r="A328" s="4"/>
      <c r="B328" s="25"/>
      <c r="C328" s="25"/>
      <c r="D328" s="25"/>
      <c r="E328" s="25"/>
      <c r="F328" s="4"/>
      <c r="G328" s="4"/>
      <c r="H328" s="4"/>
      <c r="I328" s="4"/>
      <c r="J328" s="4"/>
      <c r="K328" s="4"/>
      <c r="L328" s="3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5" x14ac:dyDescent="0.25">
      <c r="A329" s="4"/>
      <c r="B329" s="25"/>
      <c r="C329" s="25"/>
      <c r="D329" s="25"/>
      <c r="E329" s="25"/>
      <c r="F329" s="4"/>
      <c r="G329" s="4"/>
      <c r="H329" s="4"/>
      <c r="I329" s="4"/>
      <c r="J329" s="4"/>
      <c r="K329" s="4"/>
      <c r="L329" s="3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5" x14ac:dyDescent="0.25">
      <c r="A330" s="4"/>
      <c r="B330" s="25"/>
      <c r="C330" s="25"/>
      <c r="D330" s="25"/>
      <c r="E330" s="25"/>
      <c r="F330" s="4"/>
      <c r="G330" s="4"/>
      <c r="H330" s="4"/>
      <c r="I330" s="4"/>
      <c r="J330" s="4"/>
      <c r="K330" s="4"/>
      <c r="L330" s="3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5" x14ac:dyDescent="0.25">
      <c r="A331" s="4"/>
      <c r="B331" s="25"/>
      <c r="C331" s="25"/>
      <c r="D331" s="25"/>
      <c r="E331" s="25"/>
      <c r="F331" s="4"/>
      <c r="G331" s="4"/>
      <c r="H331" s="4"/>
      <c r="I331" s="4"/>
      <c r="J331" s="4"/>
      <c r="K331" s="4"/>
      <c r="L331" s="3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5" x14ac:dyDescent="0.25">
      <c r="A332" s="4"/>
      <c r="B332" s="25"/>
      <c r="C332" s="25"/>
      <c r="D332" s="25"/>
      <c r="E332" s="25"/>
      <c r="F332" s="4"/>
      <c r="G332" s="4"/>
      <c r="H332" s="4"/>
      <c r="I332" s="4"/>
      <c r="J332" s="4"/>
      <c r="K332" s="4"/>
      <c r="L332" s="3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5" x14ac:dyDescent="0.25">
      <c r="A333" s="4"/>
      <c r="B333" s="25"/>
      <c r="C333" s="25"/>
      <c r="D333" s="25"/>
      <c r="E333" s="25"/>
      <c r="F333" s="4"/>
      <c r="G333" s="4"/>
      <c r="H333" s="4"/>
      <c r="I333" s="4"/>
      <c r="J333" s="4"/>
      <c r="K333" s="4"/>
      <c r="L333" s="3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5" x14ac:dyDescent="0.25">
      <c r="A334" s="4"/>
      <c r="B334" s="25"/>
      <c r="C334" s="25"/>
      <c r="D334" s="25"/>
      <c r="E334" s="25"/>
      <c r="F334" s="4"/>
      <c r="G334" s="4"/>
      <c r="H334" s="4"/>
      <c r="I334" s="4"/>
      <c r="J334" s="4"/>
      <c r="K334" s="4"/>
      <c r="L334" s="3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5" x14ac:dyDescent="0.25">
      <c r="A335" s="4"/>
      <c r="B335" s="25"/>
      <c r="C335" s="25"/>
      <c r="D335" s="25"/>
      <c r="E335" s="25"/>
      <c r="F335" s="4"/>
      <c r="G335" s="4"/>
      <c r="H335" s="4"/>
      <c r="I335" s="4"/>
      <c r="J335" s="4"/>
      <c r="K335" s="4"/>
      <c r="L335" s="3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5" x14ac:dyDescent="0.25">
      <c r="A336" s="4"/>
      <c r="B336" s="25"/>
      <c r="C336" s="25"/>
      <c r="D336" s="25"/>
      <c r="E336" s="25"/>
      <c r="F336" s="4"/>
      <c r="G336" s="4"/>
      <c r="H336" s="4"/>
      <c r="I336" s="4"/>
      <c r="J336" s="4"/>
      <c r="K336" s="4"/>
      <c r="L336" s="3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5" x14ac:dyDescent="0.25">
      <c r="A337" s="4"/>
      <c r="B337" s="25"/>
      <c r="C337" s="25"/>
      <c r="D337" s="25"/>
      <c r="E337" s="25"/>
      <c r="F337" s="4"/>
      <c r="G337" s="4"/>
      <c r="H337" s="4"/>
      <c r="I337" s="4"/>
      <c r="J337" s="4"/>
      <c r="K337" s="4"/>
      <c r="L337" s="3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5" x14ac:dyDescent="0.25">
      <c r="A338" s="4"/>
      <c r="B338" s="25"/>
      <c r="C338" s="25"/>
      <c r="D338" s="25"/>
      <c r="E338" s="25"/>
      <c r="F338" s="4"/>
      <c r="G338" s="4"/>
      <c r="H338" s="4"/>
      <c r="I338" s="4"/>
      <c r="J338" s="4"/>
      <c r="K338" s="4"/>
      <c r="L338" s="3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5" x14ac:dyDescent="0.25">
      <c r="A339" s="4"/>
      <c r="B339" s="25"/>
      <c r="C339" s="25"/>
      <c r="D339" s="25"/>
      <c r="E339" s="25"/>
      <c r="F339" s="4"/>
      <c r="G339" s="4"/>
      <c r="H339" s="4"/>
      <c r="I339" s="4"/>
      <c r="J339" s="4"/>
      <c r="K339" s="4"/>
      <c r="L339" s="3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5" x14ac:dyDescent="0.25">
      <c r="A340" s="4"/>
      <c r="B340" s="25"/>
      <c r="C340" s="25"/>
      <c r="D340" s="25"/>
      <c r="E340" s="25"/>
      <c r="F340" s="4"/>
      <c r="G340" s="4"/>
      <c r="H340" s="4"/>
      <c r="I340" s="4"/>
      <c r="J340" s="4"/>
      <c r="K340" s="4"/>
      <c r="L340" s="3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5" x14ac:dyDescent="0.25">
      <c r="A341" s="4"/>
      <c r="B341" s="25"/>
      <c r="C341" s="25"/>
      <c r="D341" s="25"/>
      <c r="E341" s="25"/>
      <c r="F341" s="4"/>
      <c r="G341" s="4"/>
      <c r="H341" s="4"/>
      <c r="I341" s="4"/>
      <c r="J341" s="4"/>
      <c r="K341" s="4"/>
      <c r="L341" s="3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5" x14ac:dyDescent="0.25">
      <c r="A342" s="4"/>
      <c r="B342" s="25"/>
      <c r="C342" s="25"/>
      <c r="D342" s="25"/>
      <c r="E342" s="25"/>
      <c r="F342" s="4"/>
      <c r="G342" s="4"/>
      <c r="H342" s="4"/>
      <c r="I342" s="4"/>
      <c r="J342" s="4"/>
      <c r="K342" s="4"/>
      <c r="L342" s="3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5" x14ac:dyDescent="0.25">
      <c r="A343" s="4"/>
      <c r="B343" s="25"/>
      <c r="C343" s="25"/>
      <c r="D343" s="25"/>
      <c r="E343" s="25"/>
      <c r="F343" s="4"/>
      <c r="G343" s="4"/>
      <c r="H343" s="4"/>
      <c r="I343" s="4"/>
      <c r="J343" s="4"/>
      <c r="K343" s="4"/>
      <c r="L343" s="3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5" x14ac:dyDescent="0.25">
      <c r="A344" s="4"/>
      <c r="B344" s="25"/>
      <c r="C344" s="25"/>
      <c r="D344" s="25"/>
      <c r="E344" s="25"/>
      <c r="F344" s="4"/>
      <c r="G344" s="4"/>
      <c r="H344" s="4"/>
      <c r="I344" s="4"/>
      <c r="J344" s="4"/>
      <c r="K344" s="4"/>
      <c r="L344" s="3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5" x14ac:dyDescent="0.25">
      <c r="A345" s="4"/>
      <c r="B345" s="25"/>
      <c r="C345" s="25"/>
      <c r="D345" s="25"/>
      <c r="E345" s="25"/>
      <c r="F345" s="4"/>
      <c r="G345" s="4"/>
      <c r="H345" s="4"/>
      <c r="I345" s="4"/>
      <c r="J345" s="4"/>
      <c r="K345" s="4"/>
      <c r="L345" s="3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5" x14ac:dyDescent="0.25">
      <c r="A346" s="4"/>
      <c r="B346" s="25"/>
      <c r="C346" s="25"/>
      <c r="D346" s="25"/>
      <c r="E346" s="25"/>
      <c r="F346" s="4"/>
      <c r="G346" s="4"/>
      <c r="H346" s="4"/>
      <c r="I346" s="4"/>
      <c r="J346" s="4"/>
      <c r="K346" s="4"/>
      <c r="L346" s="3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5" x14ac:dyDescent="0.25">
      <c r="A347" s="4"/>
      <c r="B347" s="25"/>
      <c r="C347" s="25"/>
      <c r="D347" s="25"/>
      <c r="E347" s="25"/>
      <c r="F347" s="4"/>
      <c r="G347" s="4"/>
      <c r="H347" s="4"/>
      <c r="I347" s="4"/>
      <c r="J347" s="4"/>
      <c r="K347" s="4"/>
      <c r="L347" s="3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5" x14ac:dyDescent="0.25">
      <c r="A348" s="4"/>
      <c r="B348" s="25"/>
      <c r="C348" s="25"/>
      <c r="D348" s="25"/>
      <c r="E348" s="25"/>
      <c r="F348" s="4"/>
      <c r="G348" s="4"/>
      <c r="H348" s="4"/>
      <c r="I348" s="4"/>
      <c r="J348" s="4"/>
      <c r="K348" s="4"/>
      <c r="L348" s="3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5" x14ac:dyDescent="0.25">
      <c r="A349" s="4"/>
      <c r="B349" s="25"/>
      <c r="C349" s="25"/>
      <c r="D349" s="25"/>
      <c r="E349" s="25"/>
      <c r="F349" s="4"/>
      <c r="G349" s="4"/>
      <c r="H349" s="4"/>
      <c r="I349" s="4"/>
      <c r="J349" s="4"/>
      <c r="K349" s="4"/>
      <c r="L349" s="3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5" x14ac:dyDescent="0.25">
      <c r="A350" s="4"/>
      <c r="B350" s="25"/>
      <c r="C350" s="25"/>
      <c r="D350" s="25"/>
      <c r="E350" s="25"/>
      <c r="F350" s="4"/>
      <c r="G350" s="4"/>
      <c r="H350" s="4"/>
      <c r="I350" s="4"/>
      <c r="J350" s="4"/>
      <c r="K350" s="4"/>
      <c r="L350" s="3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5" x14ac:dyDescent="0.25">
      <c r="A351" s="4"/>
      <c r="B351" s="25"/>
      <c r="C351" s="25"/>
      <c r="D351" s="25"/>
      <c r="E351" s="25"/>
      <c r="F351" s="4"/>
      <c r="G351" s="4"/>
      <c r="H351" s="4"/>
      <c r="I351" s="4"/>
      <c r="J351" s="4"/>
      <c r="K351" s="4"/>
      <c r="L351" s="3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5" x14ac:dyDescent="0.25">
      <c r="A352" s="4"/>
      <c r="B352" s="25"/>
      <c r="C352" s="25"/>
      <c r="D352" s="25"/>
      <c r="E352" s="25"/>
      <c r="F352" s="4"/>
      <c r="G352" s="4"/>
      <c r="H352" s="4"/>
      <c r="I352" s="4"/>
      <c r="J352" s="4"/>
      <c r="K352" s="4"/>
      <c r="L352" s="3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5" x14ac:dyDescent="0.25">
      <c r="A353" s="4"/>
      <c r="B353" s="25"/>
      <c r="C353" s="25"/>
      <c r="D353" s="25"/>
      <c r="E353" s="25"/>
      <c r="F353" s="4"/>
      <c r="G353" s="4"/>
      <c r="H353" s="4"/>
      <c r="I353" s="4"/>
      <c r="J353" s="4"/>
      <c r="K353" s="4"/>
      <c r="L353" s="3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5" x14ac:dyDescent="0.25">
      <c r="A354" s="4"/>
      <c r="B354" s="25"/>
      <c r="C354" s="25"/>
      <c r="D354" s="25"/>
      <c r="E354" s="25"/>
      <c r="F354" s="4"/>
      <c r="G354" s="4"/>
      <c r="H354" s="4"/>
      <c r="I354" s="4"/>
      <c r="J354" s="4"/>
      <c r="K354" s="4"/>
      <c r="L354" s="3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5" x14ac:dyDescent="0.25">
      <c r="A355" s="4"/>
      <c r="B355" s="25"/>
      <c r="C355" s="25"/>
      <c r="D355" s="25"/>
      <c r="E355" s="25"/>
      <c r="F355" s="4"/>
      <c r="G355" s="4"/>
      <c r="H355" s="4"/>
      <c r="I355" s="4"/>
      <c r="J355" s="4"/>
      <c r="K355" s="4"/>
      <c r="L355" s="3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5" x14ac:dyDescent="0.25">
      <c r="A356" s="4"/>
      <c r="B356" s="25"/>
      <c r="C356" s="25"/>
      <c r="D356" s="25"/>
      <c r="E356" s="25"/>
      <c r="F356" s="4"/>
      <c r="G356" s="4"/>
      <c r="H356" s="4"/>
      <c r="I356" s="4"/>
      <c r="J356" s="4"/>
      <c r="K356" s="4"/>
      <c r="L356" s="3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5" x14ac:dyDescent="0.25">
      <c r="A357" s="4"/>
      <c r="B357" s="25"/>
      <c r="C357" s="25"/>
      <c r="D357" s="25"/>
      <c r="E357" s="25"/>
      <c r="F357" s="4"/>
      <c r="G357" s="4"/>
      <c r="H357" s="4"/>
      <c r="I357" s="4"/>
      <c r="J357" s="4"/>
      <c r="K357" s="4"/>
      <c r="L357" s="3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5" x14ac:dyDescent="0.25">
      <c r="A358" s="4"/>
      <c r="B358" s="25"/>
      <c r="C358" s="25"/>
      <c r="D358" s="25"/>
      <c r="E358" s="25"/>
      <c r="F358" s="4"/>
      <c r="G358" s="4"/>
      <c r="H358" s="4"/>
      <c r="I358" s="4"/>
      <c r="J358" s="4"/>
      <c r="K358" s="4"/>
      <c r="L358" s="3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5" x14ac:dyDescent="0.25">
      <c r="A359" s="4"/>
      <c r="B359" s="25"/>
      <c r="C359" s="25"/>
      <c r="D359" s="25"/>
      <c r="E359" s="25"/>
      <c r="F359" s="4"/>
      <c r="G359" s="4"/>
      <c r="H359" s="4"/>
      <c r="I359" s="4"/>
      <c r="J359" s="4"/>
      <c r="K359" s="4"/>
      <c r="L359" s="3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5" x14ac:dyDescent="0.25">
      <c r="A360" s="4"/>
      <c r="B360" s="25"/>
      <c r="C360" s="25"/>
      <c r="D360" s="25"/>
      <c r="E360" s="25"/>
      <c r="F360" s="4"/>
      <c r="G360" s="4"/>
      <c r="H360" s="4"/>
      <c r="I360" s="4"/>
      <c r="J360" s="4"/>
      <c r="K360" s="4"/>
      <c r="L360" s="3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5" x14ac:dyDescent="0.25">
      <c r="A361" s="4"/>
      <c r="B361" s="25"/>
      <c r="C361" s="25"/>
      <c r="D361" s="25"/>
      <c r="E361" s="25"/>
      <c r="F361" s="4"/>
      <c r="G361" s="4"/>
      <c r="H361" s="4"/>
      <c r="I361" s="4"/>
      <c r="J361" s="4"/>
      <c r="K361" s="4"/>
      <c r="L361" s="3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5" x14ac:dyDescent="0.25">
      <c r="A362" s="4"/>
      <c r="B362" s="25"/>
      <c r="C362" s="25"/>
      <c r="D362" s="25"/>
      <c r="E362" s="25"/>
      <c r="F362" s="4"/>
      <c r="G362" s="4"/>
      <c r="H362" s="4"/>
      <c r="I362" s="4"/>
      <c r="J362" s="4"/>
      <c r="K362" s="4"/>
      <c r="L362" s="3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5" x14ac:dyDescent="0.25">
      <c r="A363" s="4"/>
      <c r="B363" s="25"/>
      <c r="C363" s="25"/>
      <c r="D363" s="25"/>
      <c r="E363" s="25"/>
      <c r="F363" s="4"/>
      <c r="G363" s="4"/>
      <c r="H363" s="4"/>
      <c r="I363" s="4"/>
      <c r="J363" s="4"/>
      <c r="K363" s="4"/>
      <c r="L363" s="3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5" x14ac:dyDescent="0.25">
      <c r="A364" s="4"/>
      <c r="B364" s="25"/>
      <c r="C364" s="25"/>
      <c r="D364" s="25"/>
      <c r="E364" s="25"/>
      <c r="F364" s="4"/>
      <c r="G364" s="4"/>
      <c r="H364" s="4"/>
      <c r="I364" s="4"/>
      <c r="J364" s="4"/>
      <c r="K364" s="4"/>
      <c r="L364" s="3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5" x14ac:dyDescent="0.25">
      <c r="A365" s="4"/>
      <c r="B365" s="25"/>
      <c r="C365" s="25"/>
      <c r="D365" s="25"/>
      <c r="E365" s="25"/>
      <c r="F365" s="4"/>
      <c r="G365" s="4"/>
      <c r="H365" s="4"/>
      <c r="I365" s="4"/>
      <c r="J365" s="4"/>
      <c r="K365" s="4"/>
      <c r="L365" s="3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5" x14ac:dyDescent="0.25">
      <c r="A366" s="4"/>
      <c r="B366" s="25"/>
      <c r="C366" s="25"/>
      <c r="D366" s="25"/>
      <c r="E366" s="25"/>
      <c r="F366" s="4"/>
      <c r="G366" s="4"/>
      <c r="H366" s="4"/>
      <c r="I366" s="4"/>
      <c r="J366" s="4"/>
      <c r="K366" s="4"/>
      <c r="L366" s="3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5" x14ac:dyDescent="0.25">
      <c r="A367" s="4"/>
      <c r="B367" s="25"/>
      <c r="C367" s="25"/>
      <c r="D367" s="25"/>
      <c r="E367" s="25"/>
      <c r="F367" s="4"/>
      <c r="G367" s="4"/>
      <c r="H367" s="4"/>
      <c r="I367" s="4"/>
      <c r="J367" s="4"/>
      <c r="K367" s="4"/>
      <c r="L367" s="3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5" x14ac:dyDescent="0.25">
      <c r="A368" s="4"/>
      <c r="B368" s="25"/>
      <c r="C368" s="25"/>
      <c r="D368" s="25"/>
      <c r="E368" s="25"/>
      <c r="F368" s="4"/>
      <c r="G368" s="4"/>
      <c r="H368" s="4"/>
      <c r="I368" s="4"/>
      <c r="J368" s="4"/>
      <c r="K368" s="4"/>
      <c r="L368" s="3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5" x14ac:dyDescent="0.25">
      <c r="A369" s="4"/>
      <c r="B369" s="25"/>
      <c r="C369" s="25"/>
      <c r="D369" s="25"/>
      <c r="E369" s="25"/>
      <c r="F369" s="4"/>
      <c r="G369" s="4"/>
      <c r="H369" s="4"/>
      <c r="I369" s="4"/>
      <c r="J369" s="4"/>
      <c r="K369" s="4"/>
      <c r="L369" s="3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5" x14ac:dyDescent="0.25">
      <c r="A370" s="4"/>
      <c r="B370" s="25"/>
      <c r="C370" s="25"/>
      <c r="D370" s="25"/>
      <c r="E370" s="25"/>
      <c r="F370" s="4"/>
      <c r="G370" s="4"/>
      <c r="H370" s="4"/>
      <c r="I370" s="4"/>
      <c r="J370" s="4"/>
      <c r="K370" s="4"/>
      <c r="L370" s="3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5" x14ac:dyDescent="0.25">
      <c r="A371" s="4"/>
      <c r="B371" s="25"/>
      <c r="C371" s="25"/>
      <c r="D371" s="25"/>
      <c r="E371" s="25"/>
      <c r="F371" s="4"/>
      <c r="G371" s="4"/>
      <c r="H371" s="4"/>
      <c r="I371" s="4"/>
      <c r="J371" s="4"/>
      <c r="K371" s="4"/>
      <c r="L371" s="3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5" x14ac:dyDescent="0.25">
      <c r="A372" s="4"/>
      <c r="B372" s="25"/>
      <c r="C372" s="25"/>
      <c r="D372" s="25"/>
      <c r="E372" s="25"/>
      <c r="F372" s="4"/>
      <c r="G372" s="4"/>
      <c r="H372" s="4"/>
      <c r="I372" s="4"/>
      <c r="J372" s="4"/>
      <c r="K372" s="4"/>
      <c r="L372" s="3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5" x14ac:dyDescent="0.25">
      <c r="A373" s="4"/>
      <c r="B373" s="25"/>
      <c r="C373" s="25"/>
      <c r="D373" s="25"/>
      <c r="E373" s="25"/>
      <c r="F373" s="4"/>
      <c r="G373" s="4"/>
      <c r="H373" s="4"/>
      <c r="I373" s="4"/>
      <c r="J373" s="4"/>
      <c r="K373" s="4"/>
      <c r="L373" s="3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5" x14ac:dyDescent="0.25">
      <c r="A374" s="4"/>
      <c r="B374" s="25"/>
      <c r="C374" s="25"/>
      <c r="D374" s="25"/>
      <c r="E374" s="25"/>
      <c r="F374" s="4"/>
      <c r="G374" s="4"/>
      <c r="H374" s="4"/>
      <c r="I374" s="4"/>
      <c r="J374" s="4"/>
      <c r="K374" s="4"/>
      <c r="L374" s="3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5" x14ac:dyDescent="0.25">
      <c r="A375" s="4"/>
      <c r="B375" s="25"/>
      <c r="C375" s="25"/>
      <c r="D375" s="25"/>
      <c r="E375" s="25"/>
      <c r="F375" s="4"/>
      <c r="G375" s="4"/>
      <c r="H375" s="4"/>
      <c r="I375" s="4"/>
      <c r="J375" s="4"/>
      <c r="K375" s="4"/>
      <c r="L375" s="3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5" x14ac:dyDescent="0.25">
      <c r="A376" s="4"/>
      <c r="B376" s="25"/>
      <c r="C376" s="25"/>
      <c r="D376" s="25"/>
      <c r="E376" s="25"/>
      <c r="F376" s="4"/>
      <c r="G376" s="4"/>
      <c r="H376" s="4"/>
      <c r="I376" s="4"/>
      <c r="J376" s="4"/>
      <c r="K376" s="4"/>
      <c r="L376" s="3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5" x14ac:dyDescent="0.25">
      <c r="A377" s="4"/>
      <c r="B377" s="25"/>
      <c r="C377" s="25"/>
      <c r="D377" s="25"/>
      <c r="E377" s="25"/>
      <c r="F377" s="4"/>
      <c r="G377" s="4"/>
      <c r="H377" s="4"/>
      <c r="I377" s="4"/>
      <c r="J377" s="4"/>
      <c r="K377" s="4"/>
      <c r="L377" s="3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5" x14ac:dyDescent="0.25">
      <c r="A378" s="4"/>
      <c r="B378" s="25"/>
      <c r="C378" s="25"/>
      <c r="D378" s="25"/>
      <c r="E378" s="25"/>
      <c r="F378" s="4"/>
      <c r="G378" s="4"/>
      <c r="H378" s="4"/>
      <c r="I378" s="4"/>
      <c r="J378" s="4"/>
      <c r="K378" s="4"/>
      <c r="L378" s="3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5" x14ac:dyDescent="0.25">
      <c r="A379" s="4"/>
      <c r="B379" s="25"/>
      <c r="C379" s="25"/>
      <c r="D379" s="25"/>
      <c r="E379" s="25"/>
      <c r="F379" s="4"/>
      <c r="G379" s="4"/>
      <c r="H379" s="4"/>
      <c r="I379" s="4"/>
      <c r="J379" s="4"/>
      <c r="K379" s="4"/>
      <c r="L379" s="3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5" x14ac:dyDescent="0.25">
      <c r="A380" s="4"/>
      <c r="B380" s="25"/>
      <c r="C380" s="25"/>
      <c r="D380" s="25"/>
      <c r="E380" s="25"/>
      <c r="F380" s="4"/>
      <c r="G380" s="4"/>
      <c r="H380" s="4"/>
      <c r="I380" s="4"/>
      <c r="J380" s="4"/>
      <c r="K380" s="4"/>
      <c r="L380" s="3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5" x14ac:dyDescent="0.25">
      <c r="A381" s="4"/>
      <c r="B381" s="25"/>
      <c r="C381" s="25"/>
      <c r="D381" s="25"/>
      <c r="E381" s="25"/>
      <c r="F381" s="4"/>
      <c r="G381" s="4"/>
      <c r="H381" s="4"/>
      <c r="I381" s="4"/>
      <c r="J381" s="4"/>
      <c r="K381" s="4"/>
      <c r="L381" s="3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5" x14ac:dyDescent="0.25">
      <c r="A382" s="4"/>
      <c r="B382" s="25"/>
      <c r="C382" s="25"/>
      <c r="D382" s="25"/>
      <c r="E382" s="25"/>
      <c r="F382" s="4"/>
      <c r="G382" s="4"/>
      <c r="H382" s="4"/>
      <c r="I382" s="4"/>
      <c r="J382" s="4"/>
      <c r="K382" s="4"/>
      <c r="L382" s="3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5" x14ac:dyDescent="0.25">
      <c r="A383" s="4"/>
      <c r="B383" s="25"/>
      <c r="C383" s="25"/>
      <c r="D383" s="25"/>
      <c r="E383" s="25"/>
      <c r="F383" s="4"/>
      <c r="G383" s="4"/>
      <c r="H383" s="4"/>
      <c r="I383" s="4"/>
      <c r="J383" s="4"/>
      <c r="K383" s="4"/>
      <c r="L383" s="3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5" x14ac:dyDescent="0.25">
      <c r="A384" s="4"/>
      <c r="B384" s="25"/>
      <c r="C384" s="25"/>
      <c r="D384" s="25"/>
      <c r="E384" s="25"/>
      <c r="F384" s="4"/>
      <c r="G384" s="4"/>
      <c r="H384" s="4"/>
      <c r="I384" s="4"/>
      <c r="J384" s="4"/>
      <c r="K384" s="4"/>
      <c r="L384" s="3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5" x14ac:dyDescent="0.25">
      <c r="A385" s="4"/>
      <c r="B385" s="25"/>
      <c r="C385" s="25"/>
      <c r="D385" s="25"/>
      <c r="E385" s="25"/>
      <c r="F385" s="4"/>
      <c r="G385" s="4"/>
      <c r="H385" s="4"/>
      <c r="I385" s="4"/>
      <c r="J385" s="4"/>
      <c r="K385" s="4"/>
      <c r="L385" s="3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5" x14ac:dyDescent="0.25">
      <c r="A386" s="4"/>
      <c r="B386" s="25"/>
      <c r="C386" s="25"/>
      <c r="D386" s="25"/>
      <c r="E386" s="25"/>
      <c r="F386" s="4"/>
      <c r="G386" s="4"/>
      <c r="H386" s="4"/>
      <c r="I386" s="4"/>
      <c r="J386" s="4"/>
      <c r="K386" s="4"/>
      <c r="L386" s="3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5" x14ac:dyDescent="0.25">
      <c r="A387" s="4"/>
      <c r="B387" s="25"/>
      <c r="C387" s="25"/>
      <c r="D387" s="25"/>
      <c r="E387" s="25"/>
      <c r="F387" s="4"/>
      <c r="G387" s="4"/>
      <c r="H387" s="4"/>
      <c r="I387" s="4"/>
      <c r="J387" s="4"/>
      <c r="K387" s="4"/>
      <c r="L387" s="3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5" x14ac:dyDescent="0.25">
      <c r="A388" s="4"/>
      <c r="B388" s="25"/>
      <c r="C388" s="25"/>
      <c r="D388" s="25"/>
      <c r="E388" s="25"/>
      <c r="F388" s="4"/>
      <c r="G388" s="4"/>
      <c r="H388" s="4"/>
      <c r="I388" s="4"/>
      <c r="J388" s="4"/>
      <c r="K388" s="4"/>
      <c r="L388" s="3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5" x14ac:dyDescent="0.25">
      <c r="A389" s="4"/>
      <c r="B389" s="25"/>
      <c r="C389" s="25"/>
      <c r="D389" s="25"/>
      <c r="E389" s="25"/>
      <c r="F389" s="4"/>
      <c r="G389" s="4"/>
      <c r="H389" s="4"/>
      <c r="I389" s="4"/>
      <c r="J389" s="4"/>
      <c r="K389" s="4"/>
      <c r="L389" s="3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5" x14ac:dyDescent="0.25">
      <c r="A390" s="4"/>
      <c r="B390" s="25"/>
      <c r="C390" s="25"/>
      <c r="D390" s="25"/>
      <c r="E390" s="25"/>
      <c r="F390" s="4"/>
      <c r="G390" s="4"/>
      <c r="H390" s="4"/>
      <c r="I390" s="4"/>
      <c r="J390" s="4"/>
      <c r="K390" s="4"/>
      <c r="L390" s="3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</sheetData>
  <mergeCells count="3">
    <mergeCell ref="C1:K1"/>
    <mergeCell ref="C2:K2"/>
    <mergeCell ref="D38:I38"/>
  </mergeCells>
  <conditionalFormatting sqref="F15:K15">
    <cfRule type="cellIs" dxfId="71" priority="1" operator="lessThan">
      <formula>#REF!-3%</formula>
    </cfRule>
  </conditionalFormatting>
  <conditionalFormatting sqref="F15:K15">
    <cfRule type="cellIs" dxfId="70" priority="2" operator="between">
      <formula>#REF!</formula>
      <formula>#REF!-3%</formula>
    </cfRule>
  </conditionalFormatting>
  <conditionalFormatting sqref="F15:K15">
    <cfRule type="cellIs" dxfId="69" priority="3" operator="greaterThan">
      <formula>#REF!</formula>
    </cfRule>
  </conditionalFormatting>
  <conditionalFormatting sqref="F18:K18 F16:K16 F20:K20">
    <cfRule type="cellIs" dxfId="68" priority="4" operator="greaterThan">
      <formula>#REF!+3%</formula>
    </cfRule>
  </conditionalFormatting>
  <conditionalFormatting sqref="F16:K18 F20:K20">
    <cfRule type="cellIs" dxfId="67" priority="5" operator="between">
      <formula>#REF!</formula>
      <formula>#REF!+3%</formula>
    </cfRule>
  </conditionalFormatting>
  <conditionalFormatting sqref="F23:K23 F16:K18 F20:K20">
    <cfRule type="cellIs" dxfId="66" priority="6" operator="lessThan">
      <formula>#REF!</formula>
    </cfRule>
  </conditionalFormatting>
  <conditionalFormatting sqref="F23:K23">
    <cfRule type="cellIs" dxfId="65" priority="7" operator="greaterThan">
      <formula>#REF!+5</formula>
    </cfRule>
  </conditionalFormatting>
  <conditionalFormatting sqref="F23:K23">
    <cfRule type="cellIs" dxfId="64" priority="8" operator="between">
      <formula>#REF!</formula>
      <formula>#REF!+5</formula>
    </cfRule>
  </conditionalFormatting>
  <conditionalFormatting sqref="F17:K17">
    <cfRule type="cellIs" dxfId="63" priority="9" operator="lessThan">
      <formula>#REF!</formula>
    </cfRule>
  </conditionalFormatting>
  <conditionalFormatting sqref="F17:K17">
    <cfRule type="cellIs" dxfId="62" priority="10" operator="greaterThan">
      <formula>#REF!+3%</formula>
    </cfRule>
  </conditionalFormatting>
  <conditionalFormatting sqref="F17:K17">
    <cfRule type="cellIs" dxfId="61" priority="11" stopIfTrue="1" operator="lessThan">
      <formula>#REF!</formula>
    </cfRule>
  </conditionalFormatting>
  <conditionalFormatting sqref="F17:K17">
    <cfRule type="cellIs" dxfId="60" priority="12" stopIfTrue="1" operator="between">
      <formula>#REF!</formula>
      <formula>#REF!+3%</formula>
    </cfRule>
  </conditionalFormatting>
  <conditionalFormatting sqref="F17:K17">
    <cfRule type="cellIs" dxfId="59" priority="13" stopIfTrue="1" operator="greaterThan">
      <formula>#REF!+3%</formula>
    </cfRule>
  </conditionalFormatting>
  <conditionalFormatting sqref="F19:K19">
    <cfRule type="cellIs" dxfId="58" priority="14" operator="greaterThan">
      <formula>#REF!</formula>
    </cfRule>
  </conditionalFormatting>
  <conditionalFormatting sqref="F19:K19">
    <cfRule type="cellIs" dxfId="57" priority="15" operator="lessThan">
      <formula>#REF!-0.2</formula>
    </cfRule>
  </conditionalFormatting>
  <conditionalFormatting sqref="F19:K19">
    <cfRule type="cellIs" dxfId="56" priority="16" operator="between">
      <formula>#REF!</formula>
      <formula>#REF!-0.2</formula>
    </cfRule>
  </conditionalFormatting>
  <conditionalFormatting sqref="E15">
    <cfRule type="cellIs" dxfId="55" priority="17" operator="lessThan">
      <formula>#REF!-3%</formula>
    </cfRule>
  </conditionalFormatting>
  <conditionalFormatting sqref="E15">
    <cfRule type="cellIs" dxfId="54" priority="18" operator="between">
      <formula>#REF!</formula>
      <formula>#REF!-3%</formula>
    </cfRule>
  </conditionalFormatting>
  <conditionalFormatting sqref="E15">
    <cfRule type="cellIs" dxfId="53" priority="19" operator="greaterThan">
      <formula>#REF!</formula>
    </cfRule>
  </conditionalFormatting>
  <conditionalFormatting sqref="E18 E20">
    <cfRule type="cellIs" dxfId="52" priority="20" operator="greaterThan">
      <formula>#REF!+3%</formula>
    </cfRule>
  </conditionalFormatting>
  <conditionalFormatting sqref="E20 E17:E18">
    <cfRule type="cellIs" dxfId="51" priority="21" operator="between">
      <formula>#REF!</formula>
      <formula>#REF!+3%</formula>
    </cfRule>
  </conditionalFormatting>
  <conditionalFormatting sqref="E23 E20 E17:E18">
    <cfRule type="cellIs" dxfId="50" priority="22" operator="lessThan">
      <formula>#REF!</formula>
    </cfRule>
  </conditionalFormatting>
  <conditionalFormatting sqref="E23">
    <cfRule type="cellIs" dxfId="49" priority="23" operator="greaterThan">
      <formula>#REF!+5</formula>
    </cfRule>
  </conditionalFormatting>
  <conditionalFormatting sqref="E23">
    <cfRule type="cellIs" dxfId="48" priority="24" operator="between">
      <formula>#REF!</formula>
      <formula>#REF!+5</formula>
    </cfRule>
  </conditionalFormatting>
  <conditionalFormatting sqref="E17">
    <cfRule type="cellIs" dxfId="47" priority="25" operator="lessThan">
      <formula>#REF!</formula>
    </cfRule>
  </conditionalFormatting>
  <conditionalFormatting sqref="E17">
    <cfRule type="cellIs" dxfId="46" priority="26" operator="greaterThan">
      <formula>#REF!+3%</formula>
    </cfRule>
  </conditionalFormatting>
  <conditionalFormatting sqref="E17">
    <cfRule type="cellIs" dxfId="45" priority="27" stopIfTrue="1" operator="lessThan">
      <formula>#REF!</formula>
    </cfRule>
  </conditionalFormatting>
  <conditionalFormatting sqref="E17">
    <cfRule type="cellIs" dxfId="44" priority="28" stopIfTrue="1" operator="between">
      <formula>#REF!</formula>
      <formula>#REF!+3%</formula>
    </cfRule>
  </conditionalFormatting>
  <conditionalFormatting sqref="E17">
    <cfRule type="cellIs" dxfId="43" priority="29" stopIfTrue="1" operator="greaterThan">
      <formula>#REF!+3%</formula>
    </cfRule>
  </conditionalFormatting>
  <conditionalFormatting sqref="E19">
    <cfRule type="cellIs" dxfId="42" priority="30" operator="greaterThan">
      <formula>#REF!</formula>
    </cfRule>
  </conditionalFormatting>
  <conditionalFormatting sqref="E19">
    <cfRule type="cellIs" dxfId="41" priority="31" operator="lessThan">
      <formula>#REF!-0.2</formula>
    </cfRule>
  </conditionalFormatting>
  <conditionalFormatting sqref="E19">
    <cfRule type="cellIs" dxfId="40" priority="32" operator="between">
      <formula>#REF!</formula>
      <formula>#REF!-0.2</formula>
    </cfRule>
  </conditionalFormatting>
  <conditionalFormatting sqref="D15">
    <cfRule type="cellIs" dxfId="39" priority="33" operator="lessThan">
      <formula>#REF!-3%</formula>
    </cfRule>
  </conditionalFormatting>
  <conditionalFormatting sqref="D15">
    <cfRule type="cellIs" dxfId="38" priority="34" operator="between">
      <formula>#REF!</formula>
      <formula>#REF!-3%</formula>
    </cfRule>
  </conditionalFormatting>
  <conditionalFormatting sqref="D15">
    <cfRule type="cellIs" dxfId="37" priority="35" operator="greaterThan">
      <formula>#REF!</formula>
    </cfRule>
  </conditionalFormatting>
  <conditionalFormatting sqref="D18 D20">
    <cfRule type="cellIs" dxfId="36" priority="36" operator="greaterThan">
      <formula>#REF!+3%</formula>
    </cfRule>
  </conditionalFormatting>
  <conditionalFormatting sqref="D20 D17:D18">
    <cfRule type="cellIs" dxfId="35" priority="37" operator="between">
      <formula>#REF!</formula>
      <formula>#REF!+3%</formula>
    </cfRule>
  </conditionalFormatting>
  <conditionalFormatting sqref="D23 D20 D17:D18">
    <cfRule type="cellIs" dxfId="34" priority="38" operator="lessThan">
      <formula>#REF!</formula>
    </cfRule>
  </conditionalFormatting>
  <conditionalFormatting sqref="D23">
    <cfRule type="cellIs" dxfId="33" priority="39" operator="greaterThan">
      <formula>#REF!+5</formula>
    </cfRule>
  </conditionalFormatting>
  <conditionalFormatting sqref="D23">
    <cfRule type="cellIs" dxfId="32" priority="40" operator="between">
      <formula>#REF!</formula>
      <formula>#REF!+5</formula>
    </cfRule>
  </conditionalFormatting>
  <conditionalFormatting sqref="D17">
    <cfRule type="cellIs" dxfId="31" priority="41" operator="lessThan">
      <formula>#REF!</formula>
    </cfRule>
  </conditionalFormatting>
  <conditionalFormatting sqref="D17">
    <cfRule type="cellIs" dxfId="30" priority="42" operator="greaterThan">
      <formula>#REF!+3%</formula>
    </cfRule>
  </conditionalFormatting>
  <conditionalFormatting sqref="D17">
    <cfRule type="cellIs" dxfId="29" priority="43" stopIfTrue="1" operator="lessThan">
      <formula>#REF!</formula>
    </cfRule>
  </conditionalFormatting>
  <conditionalFormatting sqref="D17">
    <cfRule type="cellIs" dxfId="28" priority="44" stopIfTrue="1" operator="between">
      <formula>#REF!</formula>
      <formula>#REF!+3%</formula>
    </cfRule>
  </conditionalFormatting>
  <conditionalFormatting sqref="D17">
    <cfRule type="cellIs" dxfId="27" priority="45" stopIfTrue="1" operator="greaterThan">
      <formula>#REF!+3%</formula>
    </cfRule>
  </conditionalFormatting>
  <conditionalFormatting sqref="D19">
    <cfRule type="cellIs" dxfId="26" priority="46" operator="greaterThan">
      <formula>#REF!</formula>
    </cfRule>
  </conditionalFormatting>
  <conditionalFormatting sqref="D19">
    <cfRule type="cellIs" dxfId="25" priority="47" operator="lessThan">
      <formula>#REF!-0.2</formula>
    </cfRule>
  </conditionalFormatting>
  <conditionalFormatting sqref="D19">
    <cfRule type="cellIs" dxfId="24" priority="48" operator="between">
      <formula>#REF!</formula>
      <formula>#REF!-0.2</formula>
    </cfRule>
  </conditionalFormatting>
  <conditionalFormatting sqref="E16">
    <cfRule type="cellIs" dxfId="23" priority="49" operator="greaterThan">
      <formula>#REF!+3%</formula>
    </cfRule>
  </conditionalFormatting>
  <conditionalFormatting sqref="E16">
    <cfRule type="cellIs" dxfId="22" priority="50" operator="between">
      <formula>#REF!</formula>
      <formula>#REF!+3%</formula>
    </cfRule>
  </conditionalFormatting>
  <conditionalFormatting sqref="E16">
    <cfRule type="cellIs" dxfId="21" priority="51" operator="lessThan">
      <formula>#REF!</formula>
    </cfRule>
  </conditionalFormatting>
  <conditionalFormatting sqref="D16">
    <cfRule type="cellIs" dxfId="20" priority="52" operator="greaterThan">
      <formula>#REF!+3%</formula>
    </cfRule>
  </conditionalFormatting>
  <conditionalFormatting sqref="D16">
    <cfRule type="cellIs" dxfId="19" priority="53" operator="between">
      <formula>#REF!</formula>
      <formula>#REF!+3%</formula>
    </cfRule>
  </conditionalFormatting>
  <conditionalFormatting sqref="D16">
    <cfRule type="cellIs" dxfId="18" priority="54" operator="lessThan">
      <formula>#REF!</formula>
    </cfRule>
  </conditionalFormatting>
  <conditionalFormatting sqref="D21">
    <cfRule type="cellIs" dxfId="17" priority="55" operator="between">
      <formula>$R$18</formula>
      <formula>$R$18+3%</formula>
    </cfRule>
  </conditionalFormatting>
  <conditionalFormatting sqref="D21">
    <cfRule type="cellIs" dxfId="16" priority="56" operator="lessThan">
      <formula>$R$18</formula>
    </cfRule>
  </conditionalFormatting>
  <conditionalFormatting sqref="D21">
    <cfRule type="cellIs" dxfId="15" priority="57" operator="greaterThan">
      <formula>$R$18+3%</formula>
    </cfRule>
  </conditionalFormatting>
  <conditionalFormatting sqref="D21">
    <cfRule type="cellIs" dxfId="14" priority="58" operator="between">
      <formula>$R$18</formula>
      <formula>$R$18+3%</formula>
    </cfRule>
  </conditionalFormatting>
  <conditionalFormatting sqref="D21">
    <cfRule type="cellIs" dxfId="13" priority="59" operator="lessThan">
      <formula>$R$18</formula>
    </cfRule>
  </conditionalFormatting>
  <conditionalFormatting sqref="D21">
    <cfRule type="cellIs" dxfId="12" priority="60" operator="greaterThan">
      <formula>$R$20+3%</formula>
    </cfRule>
  </conditionalFormatting>
  <conditionalFormatting sqref="D21">
    <cfRule type="cellIs" dxfId="11" priority="61" operator="between">
      <formula>$R$20</formula>
      <formula>$R$20+3%</formula>
    </cfRule>
  </conditionalFormatting>
  <conditionalFormatting sqref="D21">
    <cfRule type="cellIs" dxfId="10" priority="62" operator="lessThan">
      <formula>$R$20</formula>
    </cfRule>
  </conditionalFormatting>
  <conditionalFormatting sqref="D21">
    <cfRule type="cellIs" dxfId="9" priority="63" operator="greaterThan">
      <formula>$R$21</formula>
    </cfRule>
  </conditionalFormatting>
  <conditionalFormatting sqref="E21:K21">
    <cfRule type="cellIs" dxfId="8" priority="64" operator="between">
      <formula>$R$18</formula>
      <formula>$R$18+3%</formula>
    </cfRule>
  </conditionalFormatting>
  <conditionalFormatting sqref="E21:K21">
    <cfRule type="cellIs" dxfId="7" priority="65" operator="lessThan">
      <formula>$R$18</formula>
    </cfRule>
  </conditionalFormatting>
  <conditionalFormatting sqref="E21:K21">
    <cfRule type="cellIs" dxfId="6" priority="66" operator="greaterThan">
      <formula>$R$18+3%</formula>
    </cfRule>
  </conditionalFormatting>
  <conditionalFormatting sqref="E21:K21">
    <cfRule type="cellIs" dxfId="5" priority="67" operator="between">
      <formula>$R$18</formula>
      <formula>$R$18+3%</formula>
    </cfRule>
  </conditionalFormatting>
  <conditionalFormatting sqref="E21:K21">
    <cfRule type="cellIs" dxfId="4" priority="68" operator="lessThan">
      <formula>$R$18</formula>
    </cfRule>
  </conditionalFormatting>
  <conditionalFormatting sqref="E21:K21">
    <cfRule type="cellIs" dxfId="3" priority="69" operator="greaterThan">
      <formula>$R$20+3%</formula>
    </cfRule>
  </conditionalFormatting>
  <conditionalFormatting sqref="E21:K21">
    <cfRule type="cellIs" dxfId="2" priority="70" operator="between">
      <formula>$R$20</formula>
      <formula>$R$20+3%</formula>
    </cfRule>
  </conditionalFormatting>
  <conditionalFormatting sqref="E21:K21">
    <cfRule type="cellIs" dxfId="1" priority="71" operator="lessThan">
      <formula>$R$20</formula>
    </cfRule>
  </conditionalFormatting>
  <conditionalFormatting sqref="E21:K21">
    <cfRule type="cellIs" dxfId="0" priority="72" operator="greaterThan">
      <formula>$R$21</formula>
    </cfRule>
  </conditionalFormatting>
  <dataValidations count="2">
    <dataValidation type="list" allowBlank="1" showErrorMessage="1" sqref="M98:M122 M125:M141" xr:uid="{00000000-0002-0000-0000-000000000000}">
      <formula1>$B$5:$B$46</formula1>
    </dataValidation>
    <dataValidation type="list" allowBlank="1" showErrorMessage="1" sqref="M144:M149" xr:uid="{00000000-0002-0000-0000-000001000000}">
      <formula1>$B$5:$B$40</formula1>
    </dataValidation>
  </dataValidations>
  <printOptions gridLines="1"/>
  <pageMargins left="0.25" right="0.25" top="0.25" bottom="0.5" header="0" footer="0"/>
  <pageSetup fitToHeight="0" orientation="landscape" cellComments="atEnd"/>
  <headerFooter>
    <oddFooter>&amp;C&amp;P  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6"/>
  <sheetViews>
    <sheetView workbookViewId="0"/>
  </sheetViews>
  <sheetFormatPr defaultColWidth="14.453125" defaultRowHeight="15.75" customHeight="1" x14ac:dyDescent="0.25"/>
  <sheetData>
    <row r="6" spans="1:1" x14ac:dyDescent="0.3">
      <c r="A6" s="19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21-22 BUDGET with ED</vt:lpstr>
      <vt:lpstr>Graphs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Bilby</dc:creator>
  <cp:lastModifiedBy>Amber Bilby</cp:lastModifiedBy>
  <dcterms:created xsi:type="dcterms:W3CDTF">2021-04-06T00:21:18Z</dcterms:created>
  <dcterms:modified xsi:type="dcterms:W3CDTF">2021-04-06T00:21:18Z</dcterms:modified>
</cp:coreProperties>
</file>