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joelquevillon/Downloads/"/>
    </mc:Choice>
  </mc:AlternateContent>
  <xr:revisionPtr revIDLastSave="0" documentId="13_ncr:1_{25D0D3CB-999C-3746-92A9-595B111B51D3}" xr6:coauthVersionLast="45" xr6:coauthVersionMax="45" xr10:uidLastSave="{00000000-0000-0000-0000-000000000000}"/>
  <bookViews>
    <workbookView xWindow="0" yWindow="460" windowWidth="38400" windowHeight="201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T123" i="1" l="1"/>
  <c r="H123" i="1"/>
  <c r="H122" i="1"/>
  <c r="H121" i="1"/>
  <c r="W120" i="1"/>
  <c r="T120" i="1"/>
  <c r="W119" i="1"/>
  <c r="T119" i="1"/>
  <c r="U120" i="1" s="1"/>
  <c r="W118" i="1"/>
  <c r="T118" i="1"/>
  <c r="W117" i="1"/>
  <c r="T117" i="1"/>
  <c r="W116" i="1"/>
  <c r="T116" i="1"/>
  <c r="H115" i="1"/>
  <c r="T114" i="1"/>
  <c r="W114" i="1" s="1"/>
  <c r="W113" i="1"/>
  <c r="T113" i="1"/>
  <c r="T112" i="1"/>
  <c r="W112" i="1" s="1"/>
  <c r="T111" i="1"/>
  <c r="AB111" i="1" s="1"/>
  <c r="H110" i="1"/>
  <c r="W109" i="1"/>
  <c r="T109" i="1"/>
  <c r="W108" i="1"/>
  <c r="T108" i="1"/>
  <c r="W107" i="1"/>
  <c r="T107" i="1"/>
  <c r="T106" i="1"/>
  <c r="W106" i="1" s="1"/>
  <c r="H105" i="1"/>
  <c r="W104" i="1"/>
  <c r="T104" i="1"/>
  <c r="W103" i="1"/>
  <c r="T103" i="1"/>
  <c r="T102" i="1"/>
  <c r="W102" i="1" s="1"/>
  <c r="H101" i="1"/>
  <c r="W100" i="1"/>
  <c r="T100" i="1"/>
  <c r="W98" i="1"/>
  <c r="T98" i="1"/>
  <c r="W97" i="1"/>
  <c r="T97" i="1"/>
  <c r="H97" i="1"/>
  <c r="W96" i="1"/>
  <c r="T96" i="1"/>
  <c r="W95" i="1"/>
  <c r="T95" i="1"/>
  <c r="F95" i="1"/>
  <c r="W94" i="1"/>
  <c r="T94" i="1"/>
  <c r="T93" i="1"/>
  <c r="W93" i="1" s="1"/>
  <c r="H92" i="1"/>
  <c r="T91" i="1"/>
  <c r="W91" i="1" s="1"/>
  <c r="W89" i="1"/>
  <c r="T89" i="1"/>
  <c r="W88" i="1"/>
  <c r="T88" i="1"/>
  <c r="W87" i="1"/>
  <c r="T87" i="1"/>
  <c r="W86" i="1"/>
  <c r="T86" i="1"/>
  <c r="W85" i="1"/>
  <c r="T85" i="1"/>
  <c r="W84" i="1"/>
  <c r="T84" i="1"/>
  <c r="W83" i="1"/>
  <c r="T83" i="1"/>
  <c r="H82" i="1"/>
  <c r="T81" i="1"/>
  <c r="H81" i="1"/>
  <c r="T80" i="1"/>
  <c r="T79" i="1"/>
  <c r="T78" i="1"/>
  <c r="W77" i="1"/>
  <c r="T77" i="1"/>
  <c r="H76" i="1"/>
  <c r="W75" i="1"/>
  <c r="T75" i="1"/>
  <c r="W74" i="1"/>
  <c r="T74" i="1"/>
  <c r="T73" i="1"/>
  <c r="W73" i="1" s="1"/>
  <c r="H72" i="1"/>
  <c r="T71" i="1"/>
  <c r="W70" i="1"/>
  <c r="T70" i="1"/>
  <c r="T69" i="1"/>
  <c r="W69" i="1" s="1"/>
  <c r="G69" i="1"/>
  <c r="W68" i="1"/>
  <c r="T68" i="1"/>
  <c r="T67" i="1"/>
  <c r="W67" i="1" s="1"/>
  <c r="W66" i="1"/>
  <c r="T66" i="1"/>
  <c r="T65" i="1"/>
  <c r="W65" i="1" s="1"/>
  <c r="W64" i="1"/>
  <c r="T64" i="1"/>
  <c r="T63" i="1"/>
  <c r="W63" i="1" s="1"/>
  <c r="H62" i="1"/>
  <c r="T61" i="1"/>
  <c r="W61" i="1" s="1"/>
  <c r="H60" i="1"/>
  <c r="W59" i="1"/>
  <c r="T59" i="1"/>
  <c r="H58" i="1"/>
  <c r="W57" i="1"/>
  <c r="T57" i="1"/>
  <c r="T56" i="1"/>
  <c r="W56" i="1" s="1"/>
  <c r="H55" i="1"/>
  <c r="W54" i="1"/>
  <c r="T54" i="1"/>
  <c r="H53" i="1"/>
  <c r="T52" i="1"/>
  <c r="T51" i="1"/>
  <c r="T50" i="1"/>
  <c r="W50" i="1" s="1"/>
  <c r="T49" i="1"/>
  <c r="W49" i="1" s="1"/>
  <c r="U48" i="1"/>
  <c r="T48" i="1"/>
  <c r="W48" i="1" s="1"/>
  <c r="W47" i="1"/>
  <c r="T47" i="1"/>
  <c r="W46" i="1"/>
  <c r="T46" i="1"/>
  <c r="W45" i="1"/>
  <c r="T45" i="1"/>
  <c r="W44" i="1"/>
  <c r="T44" i="1"/>
  <c r="W43" i="1"/>
  <c r="T43" i="1"/>
  <c r="H42" i="1"/>
  <c r="T40" i="1"/>
  <c r="W40" i="1" s="1"/>
  <c r="H39" i="1"/>
  <c r="T38" i="1"/>
  <c r="W38" i="1" s="1"/>
  <c r="T37" i="1"/>
  <c r="T36" i="1"/>
  <c r="W36" i="1" s="1"/>
  <c r="T35" i="1"/>
  <c r="W35" i="1" s="1"/>
  <c r="T34" i="1"/>
  <c r="W34" i="1" s="1"/>
  <c r="T33" i="1"/>
  <c r="W32" i="1"/>
  <c r="T32" i="1"/>
  <c r="W31" i="1"/>
  <c r="T31" i="1"/>
  <c r="AE30" i="1"/>
  <c r="W30" i="1"/>
  <c r="T30" i="1"/>
  <c r="AE29" i="1"/>
  <c r="W29" i="1"/>
  <c r="T29" i="1"/>
  <c r="T28" i="1"/>
  <c r="W28" i="1" s="1"/>
  <c r="H27" i="1"/>
  <c r="T26" i="1"/>
  <c r="W26" i="1" s="1"/>
  <c r="T25" i="1"/>
  <c r="W25" i="1" s="1"/>
  <c r="T24" i="1"/>
  <c r="W24" i="1" s="1"/>
  <c r="T23" i="1"/>
  <c r="W23" i="1" s="1"/>
  <c r="T22" i="1"/>
  <c r="H22" i="1"/>
  <c r="W21" i="1"/>
  <c r="W20" i="1"/>
  <c r="T20" i="1"/>
  <c r="T19" i="1"/>
  <c r="W19" i="1" s="1"/>
  <c r="T18" i="1"/>
  <c r="H18" i="1"/>
  <c r="W17" i="1"/>
  <c r="T17" i="1"/>
  <c r="AB16" i="1"/>
  <c r="U16" i="1"/>
  <c r="T16" i="1"/>
  <c r="W16" i="1" s="1"/>
  <c r="T15" i="1"/>
  <c r="H15" i="1"/>
  <c r="T14" i="1"/>
  <c r="W14" i="1" s="1"/>
  <c r="T13" i="1"/>
  <c r="H13" i="1"/>
  <c r="W12" i="1"/>
  <c r="T12" i="1"/>
  <c r="AD11" i="1"/>
  <c r="W11" i="1"/>
  <c r="T11" i="1"/>
  <c r="W10" i="1"/>
  <c r="T10" i="1"/>
  <c r="T9" i="1"/>
  <c r="W9" i="1" s="1"/>
  <c r="W8" i="1"/>
  <c r="T8" i="1"/>
  <c r="N8" i="1"/>
  <c r="T7" i="1"/>
  <c r="W7" i="1" s="1"/>
  <c r="W6" i="1"/>
  <c r="T6" i="1"/>
  <c r="T5" i="1"/>
  <c r="H5" i="1"/>
  <c r="W4" i="1"/>
  <c r="T4" i="1"/>
  <c r="T3" i="1"/>
  <c r="H3" i="1"/>
  <c r="W111" i="1" l="1"/>
</calcChain>
</file>

<file path=xl/sharedStrings.xml><?xml version="1.0" encoding="utf-8"?>
<sst xmlns="http://schemas.openxmlformats.org/spreadsheetml/2006/main" count="181" uniqueCount="173">
  <si>
    <t>Site</t>
  </si>
  <si>
    <t>Facility Name (include AKAs)</t>
  </si>
  <si>
    <t>Physical address</t>
  </si>
  <si>
    <t>Schedule #</t>
  </si>
  <si>
    <t>Acres</t>
  </si>
  <si>
    <t>Total Acres</t>
  </si>
  <si>
    <t>Original Building Square Feet</t>
  </si>
  <si>
    <t>Original Building Year Built</t>
  </si>
  <si>
    <t># of Additions</t>
  </si>
  <si>
    <t>Year of Addition</t>
  </si>
  <si>
    <t>approx sqft</t>
  </si>
  <si>
    <t xml:space="preserve">Year(s) of Additions </t>
  </si>
  <si>
    <t>Total SQFT</t>
  </si>
  <si>
    <t># of Remodels</t>
  </si>
  <si>
    <t>Remodel Years</t>
  </si>
  <si>
    <t>Original Building Cost</t>
  </si>
  <si>
    <t>Core Student Capacity</t>
  </si>
  <si>
    <t>Modular Student Capacity</t>
  </si>
  <si>
    <t>Total Student Capacity</t>
  </si>
  <si>
    <t>Cost per Sq. Ft.</t>
  </si>
  <si>
    <t xml:space="preserve">New Construction </t>
  </si>
  <si>
    <t xml:space="preserve">Metal Cponstruction </t>
  </si>
  <si>
    <t xml:space="preserve">MODS/ deck </t>
  </si>
  <si>
    <t xml:space="preserve">Bennett Ranch Elementary </t>
  </si>
  <si>
    <t>11273 Londonderry Dr 80831</t>
  </si>
  <si>
    <t>under construction</t>
  </si>
  <si>
    <t>BRES Main Building</t>
  </si>
  <si>
    <t xml:space="preserve">Central Office </t>
  </si>
  <si>
    <t>10850 E Woodmen Road 80831</t>
  </si>
  <si>
    <t xml:space="preserve"> </t>
  </si>
  <si>
    <t>Administration Building</t>
  </si>
  <si>
    <t>Auxiliary Services Building</t>
  </si>
  <si>
    <t>Central Office (Transportation) ES 95-08 Modular</t>
  </si>
  <si>
    <t xml:space="preserve">Quonset </t>
  </si>
  <si>
    <t>Central Office 95-01 Modular (Comm)</t>
  </si>
  <si>
    <t>EIES</t>
  </si>
  <si>
    <t xml:space="preserve">Central Office 99-01 </t>
  </si>
  <si>
    <t>Central Office 99-01 Modular (Human Resources)</t>
  </si>
  <si>
    <t>Creekside Success Center</t>
  </si>
  <si>
    <t>3850 Pony Tracks 80922</t>
  </si>
  <si>
    <t>CSSC Main Buidling</t>
  </si>
  <si>
    <t xml:space="preserve">Evans Elementary </t>
  </si>
  <si>
    <t>1675 Winnebago Ave 80915</t>
  </si>
  <si>
    <t>EIES Main Building</t>
  </si>
  <si>
    <t>Evans ES 2013 POD (10 Classroom)</t>
  </si>
  <si>
    <t xml:space="preserve">Falcon Elementary </t>
  </si>
  <si>
    <t>12050 Falcon Highway 80831</t>
  </si>
  <si>
    <t>FES Main Building</t>
  </si>
  <si>
    <t>Falcon ES 01-02-(1-4) POD</t>
  </si>
  <si>
    <t>Falcon ES 01-04 Modular</t>
  </si>
  <si>
    <t xml:space="preserve">Falcon High School </t>
  </si>
  <si>
    <t>10255 Lambert Rd 80831</t>
  </si>
  <si>
    <t>FHS Main Building</t>
  </si>
  <si>
    <t>Falcon HS Concession Building</t>
  </si>
  <si>
    <t>Falcon HS Storage Building</t>
  </si>
  <si>
    <t>Falcon HS Press Box</t>
  </si>
  <si>
    <t xml:space="preserve">Falcon Middle School </t>
  </si>
  <si>
    <t>9755 Towner Ave 80831</t>
  </si>
  <si>
    <t>FMS Main Building</t>
  </si>
  <si>
    <t>Falcon MS 00-02 Modular</t>
  </si>
  <si>
    <t>Falcon MS 05-06 Modular</t>
  </si>
  <si>
    <t>Falcon MS 05-09 Modular</t>
  </si>
  <si>
    <t>Falcon MS 93-03 Modular</t>
  </si>
  <si>
    <t xml:space="preserve">Falcon MS Athletic Storage </t>
  </si>
  <si>
    <t>Falcon MS Baseball Tower Storage</t>
  </si>
  <si>
    <t>Falcon MS Boy's Baseball Dugout</t>
  </si>
  <si>
    <t xml:space="preserve">Falcon MS Concession Stand </t>
  </si>
  <si>
    <t xml:space="preserve">Falcon MS FB Storage </t>
  </si>
  <si>
    <t>Falcon MS Girl's Baseball Dugout</t>
  </si>
  <si>
    <t>Springs Studio for Academic Excellence</t>
  </si>
  <si>
    <t>6113 Constitution Ave 80915</t>
  </si>
  <si>
    <t>SSAE Main Building</t>
  </si>
  <si>
    <t>2012, 13, 14</t>
  </si>
  <si>
    <t>Pikes Peak Early College</t>
  </si>
  <si>
    <t xml:space="preserve">Horizon Middle School </t>
  </si>
  <si>
    <t>1750 Piros Dr 80915</t>
  </si>
  <si>
    <t>HMS Main Building</t>
  </si>
  <si>
    <t>Horizon MS 91-02 Modular</t>
  </si>
  <si>
    <t>Horizon MS 93-01 Modular</t>
  </si>
  <si>
    <t>Horizon MS 93-04 Modular</t>
  </si>
  <si>
    <t>Horizon MS 98-04 Modular</t>
  </si>
  <si>
    <t>Horizon MS 01_15 Modular- Panther Den</t>
  </si>
  <si>
    <t>Horizon MS 02_15 Modular- POD A</t>
  </si>
  <si>
    <t>Horizon MS 03_15 Modular- Music</t>
  </si>
  <si>
    <t>Horizon MS Athletic Storage</t>
  </si>
  <si>
    <t>Greenhouse</t>
  </si>
  <si>
    <t xml:space="preserve">Inspiration View Elementary </t>
  </si>
  <si>
    <t>9233 Vista Del Pico Blvd 80927</t>
  </si>
  <si>
    <t>IVES Main Building</t>
  </si>
  <si>
    <t xml:space="preserve">Meridian Ranch Elementary </t>
  </si>
  <si>
    <t>10480 Rainbow Bridge Dr 80831</t>
  </si>
  <si>
    <t>MRES Main Building</t>
  </si>
  <si>
    <t>Meridian ES 95-09 Modular</t>
  </si>
  <si>
    <t xml:space="preserve">Mohawk </t>
  </si>
  <si>
    <t>7545 Mohawk Drive 80908</t>
  </si>
  <si>
    <t>Mohawk</t>
  </si>
  <si>
    <t xml:space="preserve">Odyssey Elementary School </t>
  </si>
  <si>
    <t>6275 Bridlespur Ave 80922</t>
  </si>
  <si>
    <t>OES Main Building</t>
  </si>
  <si>
    <t>Falcon Legacy Campus</t>
  </si>
  <si>
    <t>10990 Swingline Road 80831</t>
  </si>
  <si>
    <t>FLC Main Building</t>
  </si>
  <si>
    <t>1981, 2008, 2018</t>
  </si>
  <si>
    <t>Patriot 01-02-(5-9) POD</t>
  </si>
  <si>
    <t>Construction Trades Building</t>
  </si>
  <si>
    <t>Patriot Butler Building</t>
  </si>
  <si>
    <t>Art Barn</t>
  </si>
  <si>
    <t>Old School building</t>
  </si>
  <si>
    <t>Patriot Concession Stand</t>
  </si>
  <si>
    <t>Patriot Grounds office Trailer- Modular05-22</t>
  </si>
  <si>
    <t>*</t>
  </si>
  <si>
    <t>Grounds Green Barn</t>
  </si>
  <si>
    <t xml:space="preserve">Remington Elementary </t>
  </si>
  <si>
    <t>2825 Pony Tracks Drive 80922</t>
  </si>
  <si>
    <t>RES Main Building</t>
  </si>
  <si>
    <t xml:space="preserve">Remington ES 94-02 Modular </t>
  </si>
  <si>
    <t xml:space="preserve">Remington ES 94-03 Modular </t>
  </si>
  <si>
    <t xml:space="preserve">Ridgeview Elementary </t>
  </si>
  <si>
    <t>6573 Shimmering Creek Drive 80922</t>
  </si>
  <si>
    <t>RVES Main Building</t>
  </si>
  <si>
    <t>Ridgeview ES 05-10 Modular</t>
  </si>
  <si>
    <t>Ridgeview ES 95-07 Modular</t>
  </si>
  <si>
    <t>Ridgeview ES 95-10 Modular</t>
  </si>
  <si>
    <t>Ridgeview ES 95-11 Modular</t>
  </si>
  <si>
    <t xml:space="preserve">Sand Creek High School </t>
  </si>
  <si>
    <t>7005 North Carefree Circle 80922</t>
  </si>
  <si>
    <t>SCHS Main Buidling</t>
  </si>
  <si>
    <t>Sand Creek HS 00-01 Modular</t>
  </si>
  <si>
    <t>Sand Creek HS 05-05 Modular</t>
  </si>
  <si>
    <t>Sand Creek HS 05-15 Modular</t>
  </si>
  <si>
    <t>Sand Creek HS 05-17 Modular</t>
  </si>
  <si>
    <t>Sand Creek HS 05-18 Modular</t>
  </si>
  <si>
    <t>Sand Creek HS Concession Building</t>
  </si>
  <si>
    <t>SCHS Athletic storage</t>
  </si>
  <si>
    <t>Sand Creek HS Field House</t>
  </si>
  <si>
    <t xml:space="preserve">Skyview Middle School </t>
  </si>
  <si>
    <t>6350 Windom Peak Blvd  80922</t>
  </si>
  <si>
    <t>SMS Main Building</t>
  </si>
  <si>
    <t>Skyview MS 05-12 Modular</t>
  </si>
  <si>
    <t>Skyview MS 05-14 Modular</t>
  </si>
  <si>
    <t>Skyview MS 99-05 Modular</t>
  </si>
  <si>
    <t>Skyview MS 99-06 Modular</t>
  </si>
  <si>
    <t>Skyview Middle School 01-01-(1-9) POD</t>
  </si>
  <si>
    <t>Unknown Outbuilding</t>
  </si>
  <si>
    <t>Skyview MS Athletic Storage</t>
  </si>
  <si>
    <t xml:space="preserve">Springs Ranch Elementary </t>
  </si>
  <si>
    <t>4350 Centerville Drive 80922</t>
  </si>
  <si>
    <t>Springs Ranch Elementary</t>
  </si>
  <si>
    <t>Springs Ranch ES 98-02 Modular</t>
  </si>
  <si>
    <t>Springs Ranch ES 98-03 Modular</t>
  </si>
  <si>
    <t xml:space="preserve">Stetson Elementary </t>
  </si>
  <si>
    <t>Jedediah Smith Road 80922</t>
  </si>
  <si>
    <t xml:space="preserve">Stetson Elementary School Main Buidling </t>
  </si>
  <si>
    <t>Stetson ES 01-03(1-11) POD</t>
  </si>
  <si>
    <t>Stetson ES 05-07 Modular</t>
  </si>
  <si>
    <t>Stetson ES 99-02 Mod</t>
  </si>
  <si>
    <t>Vista Ridge High School</t>
  </si>
  <si>
    <t>6888 Black Forest Road  80922</t>
  </si>
  <si>
    <t>Vista Ridge HS Main Building</t>
  </si>
  <si>
    <t>Vista Ridge HS (Field House)</t>
  </si>
  <si>
    <t>Vista Ridge HS Concessions</t>
  </si>
  <si>
    <t>Vista Ridge HS Press Box</t>
  </si>
  <si>
    <t xml:space="preserve">Woodmen Hills Elementary </t>
  </si>
  <si>
    <t>8308 Del Rio 80831</t>
  </si>
  <si>
    <t>Woodmen Hills Elementary School Main Building</t>
  </si>
  <si>
    <t>Woodmen Hills ES 02-01-(1-7) POD</t>
  </si>
  <si>
    <t>Woodmen Hills ES 05-04 Modular</t>
  </si>
  <si>
    <t>Woodmen Hills ES 93-06 Modular</t>
  </si>
  <si>
    <t>Woodmen Hills ES 93-07 Modular</t>
  </si>
  <si>
    <t>MISC Land</t>
  </si>
  <si>
    <t>12875 NORTHCLIFF RD</t>
  </si>
  <si>
    <t>TOTALS</t>
  </si>
  <si>
    <t>Updated October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</si>
</sst>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color rgb="FF000000"/>
      <name val="Arial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color theme="1"/>
      <name val="Calibri"/>
    </font>
    <font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sz val="10"/>
      <color rgb="FF333F4F"/>
      <name val="Arial"/>
    </font>
    <font>
      <strike/>
      <sz val="10"/>
      <color theme="1"/>
      <name val="Arial"/>
    </font>
    <font>
      <sz val="10"/>
      <color rgb="FF333333"/>
      <name val="Arial"/>
    </font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i/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D9D9D9"/>
        <bgColor rgb="FFD9D9D9"/>
      </patternFill>
    </fill>
    <fill>
      <patternFill patternType="solid">
        <fgColor rgb="FFEAD1DC"/>
        <bgColor rgb="FFEAD1DC"/>
      </patternFill>
    </fill>
    <fill>
      <patternFill patternType="solid">
        <fgColor rgb="FFC5E0B3"/>
        <bgColor rgb="FFC5E0B3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FC000"/>
        <bgColor rgb="FFFFC000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A5A5A5"/>
      </right>
      <top style="medium">
        <color rgb="FF000000"/>
      </top>
      <bottom style="thin">
        <color rgb="FFA5A5A5"/>
      </bottom>
      <diagonal/>
    </border>
    <border>
      <left/>
      <right style="thin">
        <color rgb="FFA5A5A5"/>
      </right>
      <top style="medium">
        <color rgb="FF000000"/>
      </top>
      <bottom style="thin">
        <color rgb="FFA5A5A5"/>
      </bottom>
      <diagonal/>
    </border>
    <border>
      <left/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 style="thin">
        <color rgb="FFA5A5A5"/>
      </right>
      <top/>
      <bottom style="thin">
        <color rgb="FFA5A5A5"/>
      </bottom>
      <diagonal/>
    </border>
    <border>
      <left/>
      <right style="thin">
        <color rgb="FFA5A5A5"/>
      </right>
      <top/>
      <bottom style="thin">
        <color rgb="FFA5A5A5"/>
      </bottom>
      <diagonal/>
    </border>
    <border>
      <left/>
      <right style="medium">
        <color rgb="FF000000"/>
      </right>
      <top/>
      <bottom style="thin">
        <color rgb="FFA5A5A5"/>
      </bottom>
      <diagonal/>
    </border>
    <border>
      <left style="medium">
        <color rgb="FF000000"/>
      </left>
      <right/>
      <top/>
      <bottom style="thin">
        <color rgb="FFA5A5A5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47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wrapText="1"/>
    </xf>
    <xf numFmtId="1" fontId="1" fillId="2" borderId="2" xfId="0" applyNumberFormat="1" applyFont="1" applyFill="1" applyBorder="1" applyAlignment="1">
      <alignment horizontal="center" wrapText="1"/>
    </xf>
    <xf numFmtId="164" fontId="1" fillId="2" borderId="2" xfId="0" applyNumberFormat="1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3" fillId="2" borderId="4" xfId="0" applyFont="1" applyFill="1" applyBorder="1" applyAlignment="1"/>
    <xf numFmtId="0" fontId="4" fillId="3" borderId="5" xfId="0" applyFont="1" applyFill="1" applyBorder="1" applyAlignment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164" fontId="4" fillId="3" borderId="6" xfId="0" applyNumberFormat="1" applyFont="1" applyFill="1" applyBorder="1" applyAlignment="1"/>
    <xf numFmtId="3" fontId="4" fillId="3" borderId="6" xfId="0" applyNumberFormat="1" applyFont="1" applyFill="1" applyBorder="1" applyAlignment="1"/>
    <xf numFmtId="44" fontId="5" fillId="3" borderId="6" xfId="0" applyNumberFormat="1" applyFont="1" applyFill="1" applyBorder="1" applyAlignment="1">
      <alignment horizontal="right"/>
    </xf>
    <xf numFmtId="44" fontId="4" fillId="3" borderId="7" xfId="0" applyNumberFormat="1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0" fontId="6" fillId="4" borderId="8" xfId="0" quotePrefix="1" applyFont="1" applyFill="1" applyBorder="1" applyAlignment="1"/>
    <xf numFmtId="0" fontId="4" fillId="4" borderId="6" xfId="0" applyFont="1" applyFill="1" applyBorder="1" applyAlignment="1"/>
    <xf numFmtId="0" fontId="5" fillId="4" borderId="7" xfId="0" applyFont="1" applyFill="1" applyBorder="1" applyAlignment="1"/>
    <xf numFmtId="0" fontId="5" fillId="4" borderId="6" xfId="0" applyFont="1" applyFill="1" applyBorder="1" applyAlignment="1"/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3" fontId="4" fillId="4" borderId="6" xfId="0" applyNumberFormat="1" applyFont="1" applyFill="1" applyBorder="1" applyAlignment="1"/>
    <xf numFmtId="1" fontId="4" fillId="4" borderId="6" xfId="0" applyNumberFormat="1" applyFont="1" applyFill="1" applyBorder="1" applyAlignment="1"/>
    <xf numFmtId="1" fontId="4" fillId="4" borderId="6" xfId="0" applyNumberFormat="1" applyFont="1" applyFill="1" applyBorder="1" applyAlignment="1"/>
    <xf numFmtId="164" fontId="4" fillId="4" borderId="6" xfId="0" applyNumberFormat="1" applyFont="1" applyFill="1" applyBorder="1" applyAlignment="1"/>
    <xf numFmtId="3" fontId="5" fillId="4" borderId="7" xfId="0" applyNumberFormat="1" applyFont="1" applyFill="1" applyBorder="1" applyAlignment="1">
      <alignment horizontal="center"/>
    </xf>
    <xf numFmtId="0" fontId="4" fillId="4" borderId="7" xfId="0" applyFont="1" applyFill="1" applyBorder="1" applyAlignment="1"/>
    <xf numFmtId="44" fontId="4" fillId="4" borderId="6" xfId="0" applyNumberFormat="1" applyFont="1" applyFill="1" applyBorder="1" applyAlignment="1"/>
    <xf numFmtId="3" fontId="4" fillId="4" borderId="6" xfId="0" applyNumberFormat="1" applyFont="1" applyFill="1" applyBorder="1" applyAlignment="1"/>
    <xf numFmtId="0" fontId="4" fillId="0" borderId="5" xfId="0" applyFont="1" applyBorder="1" applyAlignment="1"/>
    <xf numFmtId="0" fontId="5" fillId="0" borderId="6" xfId="0" quotePrefix="1" applyFont="1" applyBorder="1" applyAlignment="1"/>
    <xf numFmtId="0" fontId="4" fillId="0" borderId="7" xfId="0" applyFont="1" applyBorder="1" applyAlignment="1"/>
    <xf numFmtId="0" fontId="4" fillId="0" borderId="6" xfId="0" applyFont="1" applyBorder="1" applyAlignment="1"/>
    <xf numFmtId="3" fontId="7" fillId="0" borderId="6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/>
    <xf numFmtId="3" fontId="4" fillId="0" borderId="6" xfId="0" applyNumberFormat="1" applyFont="1" applyBorder="1" applyAlignment="1"/>
    <xf numFmtId="3" fontId="5" fillId="0" borderId="7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44" fontId="4" fillId="0" borderId="6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0" fontId="6" fillId="5" borderId="8" xfId="0" quotePrefix="1" applyFont="1" applyFill="1" applyBorder="1" applyAlignment="1"/>
    <xf numFmtId="0" fontId="4" fillId="5" borderId="6" xfId="0" applyFont="1" applyFill="1" applyBorder="1" applyAlignment="1"/>
    <xf numFmtId="0" fontId="5" fillId="5" borderId="7" xfId="0" applyFont="1" applyFill="1" applyBorder="1" applyAlignment="1"/>
    <xf numFmtId="0" fontId="5" fillId="5" borderId="6" xfId="0" applyFont="1" applyFill="1" applyBorder="1" applyAlignment="1"/>
    <xf numFmtId="0" fontId="5" fillId="5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3" fontId="4" fillId="5" borderId="6" xfId="0" applyNumberFormat="1" applyFont="1" applyFill="1" applyBorder="1" applyAlignment="1"/>
    <xf numFmtId="1" fontId="4" fillId="5" borderId="6" xfId="0" applyNumberFormat="1" applyFont="1" applyFill="1" applyBorder="1" applyAlignment="1"/>
    <xf numFmtId="164" fontId="4" fillId="5" borderId="6" xfId="0" applyNumberFormat="1" applyFont="1" applyFill="1" applyBorder="1" applyAlignment="1"/>
    <xf numFmtId="3" fontId="5" fillId="5" borderId="7" xfId="0" applyNumberFormat="1" applyFont="1" applyFill="1" applyBorder="1" applyAlignment="1">
      <alignment horizontal="center"/>
    </xf>
    <xf numFmtId="0" fontId="4" fillId="5" borderId="7" xfId="0" applyFont="1" applyFill="1" applyBorder="1" applyAlignment="1"/>
    <xf numFmtId="44" fontId="4" fillId="5" borderId="6" xfId="0" applyNumberFormat="1" applyFont="1" applyFill="1" applyBorder="1" applyAlignment="1"/>
    <xf numFmtId="44" fontId="4" fillId="0" borderId="6" xfId="0" applyNumberFormat="1" applyFont="1" applyBorder="1" applyAlignment="1"/>
    <xf numFmtId="0" fontId="5" fillId="0" borderId="6" xfId="0" applyFont="1" applyBorder="1" applyAlignment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64" fontId="5" fillId="0" borderId="7" xfId="0" applyNumberFormat="1" applyFont="1" applyBorder="1" applyAlignment="1">
      <alignment horizontal="center"/>
    </xf>
    <xf numFmtId="0" fontId="6" fillId="6" borderId="8" xfId="0" quotePrefix="1" applyFont="1" applyFill="1" applyBorder="1" applyAlignment="1"/>
    <xf numFmtId="0" fontId="4" fillId="6" borderId="6" xfId="0" applyFont="1" applyFill="1" applyBorder="1" applyAlignment="1"/>
    <xf numFmtId="0" fontId="5" fillId="6" borderId="7" xfId="0" applyFont="1" applyFill="1" applyBorder="1" applyAlignment="1"/>
    <xf numFmtId="0" fontId="5" fillId="6" borderId="6" xfId="0" applyFont="1" applyFill="1" applyBorder="1" applyAlignment="1"/>
    <xf numFmtId="0" fontId="5" fillId="6" borderId="6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3" fontId="4" fillId="6" borderId="6" xfId="0" applyNumberFormat="1" applyFont="1" applyFill="1" applyBorder="1" applyAlignment="1"/>
    <xf numFmtId="1" fontId="4" fillId="6" borderId="6" xfId="0" applyNumberFormat="1" applyFont="1" applyFill="1" applyBorder="1" applyAlignment="1"/>
    <xf numFmtId="164" fontId="4" fillId="6" borderId="6" xfId="0" applyNumberFormat="1" applyFont="1" applyFill="1" applyBorder="1" applyAlignment="1"/>
    <xf numFmtId="3" fontId="5" fillId="6" borderId="7" xfId="0" applyNumberFormat="1" applyFont="1" applyFill="1" applyBorder="1" applyAlignment="1">
      <alignment horizontal="center"/>
    </xf>
    <xf numFmtId="0" fontId="4" fillId="6" borderId="7" xfId="0" applyFont="1" applyFill="1" applyBorder="1" applyAlignment="1"/>
    <xf numFmtId="44" fontId="4" fillId="6" borderId="6" xfId="0" applyNumberFormat="1" applyFont="1" applyFill="1" applyBorder="1" applyAlignment="1"/>
    <xf numFmtId="3" fontId="4" fillId="6" borderId="6" xfId="0" applyNumberFormat="1" applyFont="1" applyFill="1" applyBorder="1" applyAlignment="1"/>
    <xf numFmtId="0" fontId="6" fillId="7" borderId="8" xfId="0" quotePrefix="1" applyFont="1" applyFill="1" applyBorder="1" applyAlignment="1"/>
    <xf numFmtId="0" fontId="4" fillId="7" borderId="6" xfId="0" applyFont="1" applyFill="1" applyBorder="1" applyAlignment="1"/>
    <xf numFmtId="0" fontId="5" fillId="7" borderId="7" xfId="0" applyFont="1" applyFill="1" applyBorder="1" applyAlignment="1"/>
    <xf numFmtId="0" fontId="5" fillId="7" borderId="6" xfId="0" applyFont="1" applyFill="1" applyBorder="1" applyAlignment="1"/>
    <xf numFmtId="0" fontId="5" fillId="7" borderId="6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3" fontId="4" fillId="7" borderId="6" xfId="0" applyNumberFormat="1" applyFont="1" applyFill="1" applyBorder="1" applyAlignment="1"/>
    <xf numFmtId="1" fontId="4" fillId="7" borderId="6" xfId="0" applyNumberFormat="1" applyFont="1" applyFill="1" applyBorder="1" applyAlignment="1"/>
    <xf numFmtId="164" fontId="4" fillId="7" borderId="6" xfId="0" applyNumberFormat="1" applyFont="1" applyFill="1" applyBorder="1" applyAlignment="1"/>
    <xf numFmtId="3" fontId="5" fillId="7" borderId="7" xfId="0" applyNumberFormat="1" applyFont="1" applyFill="1" applyBorder="1" applyAlignment="1">
      <alignment horizontal="center"/>
    </xf>
    <xf numFmtId="0" fontId="4" fillId="7" borderId="7" xfId="0" applyFont="1" applyFill="1" applyBorder="1" applyAlignment="1"/>
    <xf numFmtId="44" fontId="4" fillId="7" borderId="6" xfId="0" applyNumberFormat="1" applyFont="1" applyFill="1" applyBorder="1" applyAlignment="1"/>
    <xf numFmtId="3" fontId="4" fillId="7" borderId="6" xfId="0" applyNumberFormat="1" applyFont="1" applyFill="1" applyBorder="1" applyAlignment="1"/>
    <xf numFmtId="0" fontId="4" fillId="0" borderId="6" xfId="0" applyFont="1" applyBorder="1" applyAlignment="1">
      <alignment horizontal="center"/>
    </xf>
    <xf numFmtId="0" fontId="6" fillId="8" borderId="8" xfId="0" quotePrefix="1" applyFont="1" applyFill="1" applyBorder="1" applyAlignment="1"/>
    <xf numFmtId="0" fontId="4" fillId="8" borderId="6" xfId="0" applyFont="1" applyFill="1" applyBorder="1" applyAlignment="1"/>
    <xf numFmtId="0" fontId="5" fillId="8" borderId="7" xfId="0" applyFont="1" applyFill="1" applyBorder="1" applyAlignment="1"/>
    <xf numFmtId="0" fontId="5" fillId="8" borderId="6" xfId="0" applyFont="1" applyFill="1" applyBorder="1" applyAlignment="1"/>
    <xf numFmtId="0" fontId="5" fillId="8" borderId="6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3" fontId="4" fillId="8" borderId="6" xfId="0" applyNumberFormat="1" applyFont="1" applyFill="1" applyBorder="1" applyAlignment="1"/>
    <xf numFmtId="1" fontId="4" fillId="8" borderId="6" xfId="0" applyNumberFormat="1" applyFont="1" applyFill="1" applyBorder="1" applyAlignment="1"/>
    <xf numFmtId="164" fontId="4" fillId="8" borderId="6" xfId="0" applyNumberFormat="1" applyFont="1" applyFill="1" applyBorder="1" applyAlignment="1"/>
    <xf numFmtId="3" fontId="5" fillId="8" borderId="7" xfId="0" applyNumberFormat="1" applyFont="1" applyFill="1" applyBorder="1" applyAlignment="1">
      <alignment horizontal="center"/>
    </xf>
    <xf numFmtId="0" fontId="4" fillId="8" borderId="7" xfId="0" applyFont="1" applyFill="1" applyBorder="1" applyAlignment="1"/>
    <xf numFmtId="44" fontId="4" fillId="8" borderId="6" xfId="0" applyNumberFormat="1" applyFont="1" applyFill="1" applyBorder="1" applyAlignment="1"/>
    <xf numFmtId="0" fontId="4" fillId="0" borderId="7" xfId="0" quotePrefix="1" applyFont="1" applyBorder="1" applyAlignment="1"/>
    <xf numFmtId="0" fontId="4" fillId="0" borderId="8" xfId="0" applyFont="1" applyBorder="1" applyAlignment="1"/>
    <xf numFmtId="0" fontId="5" fillId="0" borderId="6" xfId="0" applyFont="1" applyBorder="1" applyAlignment="1"/>
    <xf numFmtId="0" fontId="6" fillId="8" borderId="8" xfId="0" applyFont="1" applyFill="1" applyBorder="1" applyAlignment="1"/>
    <xf numFmtId="2" fontId="4" fillId="0" borderId="6" xfId="0" applyNumberFormat="1" applyFont="1" applyBorder="1" applyAlignment="1"/>
    <xf numFmtId="164" fontId="4" fillId="0" borderId="6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1" fontId="4" fillId="0" borderId="6" xfId="0" applyNumberFormat="1" applyFont="1" applyBorder="1" applyAlignment="1"/>
    <xf numFmtId="0" fontId="6" fillId="4" borderId="8" xfId="0" applyFont="1" applyFill="1" applyBorder="1" applyAlignment="1"/>
    <xf numFmtId="0" fontId="4" fillId="4" borderId="6" xfId="0" applyFont="1" applyFill="1" applyBorder="1"/>
    <xf numFmtId="0" fontId="5" fillId="4" borderId="7" xfId="0" applyFont="1" applyFill="1" applyBorder="1"/>
    <xf numFmtId="0" fontId="5" fillId="4" borderId="6" xfId="0" applyFont="1" applyFill="1" applyBorder="1"/>
    <xf numFmtId="0" fontId="5" fillId="4" borderId="6" xfId="0" applyFont="1" applyFill="1" applyBorder="1" applyAlignment="1">
      <alignment horizontal="center"/>
    </xf>
    <xf numFmtId="3" fontId="4" fillId="4" borderId="6" xfId="0" applyNumberFormat="1" applyFont="1" applyFill="1" applyBorder="1"/>
    <xf numFmtId="3" fontId="5" fillId="0" borderId="6" xfId="0" applyNumberFormat="1" applyFont="1" applyBorder="1" applyAlignment="1"/>
    <xf numFmtId="0" fontId="4" fillId="9" borderId="5" xfId="0" applyFont="1" applyFill="1" applyBorder="1" applyAlignment="1"/>
    <xf numFmtId="0" fontId="5" fillId="9" borderId="6" xfId="0" applyFont="1" applyFill="1" applyBorder="1" applyAlignment="1"/>
    <xf numFmtId="0" fontId="4" fillId="9" borderId="7" xfId="0" applyFont="1" applyFill="1" applyBorder="1" applyAlignment="1"/>
    <xf numFmtId="0" fontId="4" fillId="9" borderId="6" xfId="0" applyFont="1" applyFill="1" applyBorder="1" applyAlignment="1"/>
    <xf numFmtId="3" fontId="4" fillId="9" borderId="6" xfId="0" applyNumberFormat="1" applyFont="1" applyFill="1" applyBorder="1" applyAlignment="1"/>
    <xf numFmtId="1" fontId="4" fillId="9" borderId="6" xfId="0" applyNumberFormat="1" applyFont="1" applyFill="1" applyBorder="1" applyAlignment="1"/>
    <xf numFmtId="164" fontId="4" fillId="9" borderId="6" xfId="0" applyNumberFormat="1" applyFont="1" applyFill="1" applyBorder="1" applyAlignment="1"/>
    <xf numFmtId="3" fontId="4" fillId="9" borderId="7" xfId="0" applyNumberFormat="1" applyFont="1" applyFill="1" applyBorder="1" applyAlignment="1"/>
    <xf numFmtId="44" fontId="4" fillId="9" borderId="6" xfId="0" applyNumberFormat="1" applyFont="1" applyFill="1" applyBorder="1" applyAlignment="1"/>
    <xf numFmtId="3" fontId="4" fillId="0" borderId="7" xfId="0" applyNumberFormat="1" applyFont="1" applyBorder="1" applyAlignment="1"/>
    <xf numFmtId="0" fontId="6" fillId="3" borderId="8" xfId="0" quotePrefix="1" applyFont="1" applyFill="1" applyBorder="1" applyAlignment="1"/>
    <xf numFmtId="0" fontId="5" fillId="3" borderId="7" xfId="0" applyFont="1" applyFill="1" applyBorder="1" applyAlignment="1"/>
    <xf numFmtId="0" fontId="5" fillId="3" borderId="6" xfId="0" applyFont="1" applyFill="1" applyBorder="1" applyAlignment="1"/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1" fontId="4" fillId="3" borderId="6" xfId="0" applyNumberFormat="1" applyFont="1" applyFill="1" applyBorder="1" applyAlignment="1"/>
    <xf numFmtId="3" fontId="5" fillId="3" borderId="7" xfId="0" applyNumberFormat="1" applyFont="1" applyFill="1" applyBorder="1" applyAlignment="1">
      <alignment horizontal="center"/>
    </xf>
    <xf numFmtId="0" fontId="8" fillId="0" borderId="6" xfId="0" applyFont="1" applyBorder="1" applyAlignment="1"/>
    <xf numFmtId="0" fontId="9" fillId="0" borderId="6" xfId="0" applyFont="1" applyBorder="1" applyAlignment="1"/>
    <xf numFmtId="0" fontId="5" fillId="0" borderId="7" xfId="0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3" fontId="8" fillId="0" borderId="7" xfId="0" applyNumberFormat="1" applyFont="1" applyBorder="1" applyAlignment="1">
      <alignment horizontal="center"/>
    </xf>
    <xf numFmtId="0" fontId="11" fillId="10" borderId="0" xfId="0" applyFont="1" applyFill="1" applyAlignment="1"/>
    <xf numFmtId="164" fontId="11" fillId="10" borderId="0" xfId="1" applyNumberFormat="1" applyFont="1" applyFill="1" applyAlignment="1"/>
    <xf numFmtId="0" fontId="11" fillId="0" borderId="0" xfId="0" applyFont="1" applyAlignment="1"/>
    <xf numFmtId="49" fontId="12" fillId="0" borderId="0" xfId="0" applyNumberFormat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126"/>
  <sheetViews>
    <sheetView tabSelected="1" workbookViewId="0">
      <pane ySplit="2" topLeftCell="A97" activePane="bottomLeft" state="frozen"/>
      <selection pane="bottomLeft" activeCell="C127" sqref="C127"/>
    </sheetView>
  </sheetViews>
  <sheetFormatPr baseColWidth="10" defaultColWidth="12.6640625" defaultRowHeight="15.75" customHeight="1" x14ac:dyDescent="0.15"/>
  <cols>
    <col min="2" max="2" width="20.83203125" customWidth="1"/>
    <col min="3" max="3" width="29" customWidth="1"/>
    <col min="4" max="4" width="11.1640625" customWidth="1"/>
    <col min="5" max="5" width="9.1640625" customWidth="1"/>
    <col min="6" max="6" width="11.1640625" customWidth="1"/>
    <col min="7" max="7" width="9.1640625" customWidth="1"/>
    <col min="8" max="8" width="11.1640625" customWidth="1"/>
    <col min="12" max="19" width="12.6640625" hidden="1"/>
    <col min="20" max="20" width="13.6640625" bestFit="1" customWidth="1"/>
    <col min="21" max="22" width="12.6640625" hidden="1"/>
    <col min="23" max="23" width="17.33203125" customWidth="1"/>
    <col min="27" max="31" width="12.6640625" hidden="1"/>
  </cols>
  <sheetData>
    <row r="1" spans="1:31" ht="51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3</v>
      </c>
      <c r="G1" s="4" t="s">
        <v>4</v>
      </c>
      <c r="H1" s="3" t="s">
        <v>5</v>
      </c>
      <c r="I1" s="5" t="s">
        <v>6</v>
      </c>
      <c r="J1" s="6" t="s">
        <v>7</v>
      </c>
      <c r="K1" s="6" t="s">
        <v>8</v>
      </c>
      <c r="L1" s="4" t="s">
        <v>9</v>
      </c>
      <c r="M1" s="7" t="s">
        <v>10</v>
      </c>
      <c r="N1" s="4" t="s">
        <v>11</v>
      </c>
      <c r="O1" s="8" t="s">
        <v>10</v>
      </c>
      <c r="P1" s="4" t="s">
        <v>11</v>
      </c>
      <c r="Q1" s="8" t="s">
        <v>10</v>
      </c>
      <c r="R1" s="4" t="s">
        <v>11</v>
      </c>
      <c r="S1" s="8" t="s">
        <v>10</v>
      </c>
      <c r="T1" s="9" t="s">
        <v>12</v>
      </c>
      <c r="U1" s="6" t="s">
        <v>13</v>
      </c>
      <c r="V1" s="3" t="s">
        <v>14</v>
      </c>
      <c r="W1" s="10" t="s">
        <v>15</v>
      </c>
      <c r="X1" s="10" t="s">
        <v>16</v>
      </c>
      <c r="Y1" s="10" t="s">
        <v>17</v>
      </c>
      <c r="Z1" s="10" t="s">
        <v>18</v>
      </c>
      <c r="AA1" s="2" t="s">
        <v>19</v>
      </c>
      <c r="AB1" s="11" t="s">
        <v>20</v>
      </c>
      <c r="AC1" s="11" t="s">
        <v>21</v>
      </c>
      <c r="AD1" s="12" t="s">
        <v>22</v>
      </c>
      <c r="AE1" s="13"/>
    </row>
    <row r="2" spans="1:31" ht="15" x14ac:dyDescent="0.2">
      <c r="A2" s="14"/>
      <c r="B2" s="15"/>
      <c r="C2" s="16"/>
      <c r="D2" s="15"/>
      <c r="E2" s="15"/>
      <c r="F2" s="15"/>
      <c r="G2" s="15"/>
      <c r="H2" s="16"/>
      <c r="I2" s="15"/>
      <c r="J2" s="15"/>
      <c r="K2" s="15"/>
      <c r="L2" s="15"/>
      <c r="M2" s="17"/>
      <c r="N2" s="15"/>
      <c r="O2" s="15"/>
      <c r="P2" s="15"/>
      <c r="Q2" s="15"/>
      <c r="R2" s="15"/>
      <c r="S2" s="15"/>
      <c r="T2" s="16"/>
      <c r="U2" s="15"/>
      <c r="V2" s="16"/>
      <c r="W2" s="15"/>
      <c r="X2" s="18"/>
      <c r="Y2" s="18"/>
      <c r="Z2" s="18"/>
      <c r="AA2" s="15"/>
      <c r="AB2" s="19">
        <v>375</v>
      </c>
      <c r="AC2" s="19">
        <v>210</v>
      </c>
      <c r="AD2" s="20">
        <v>200000</v>
      </c>
      <c r="AE2" s="21">
        <v>250</v>
      </c>
    </row>
    <row r="3" spans="1:31" ht="15" x14ac:dyDescent="0.2">
      <c r="A3" s="22" t="s">
        <v>23</v>
      </c>
      <c r="B3" s="23"/>
      <c r="C3" s="24" t="s">
        <v>24</v>
      </c>
      <c r="D3" s="25">
        <v>5225301022</v>
      </c>
      <c r="E3" s="26">
        <v>8.64</v>
      </c>
      <c r="F3" s="23"/>
      <c r="G3" s="26">
        <v>3.88</v>
      </c>
      <c r="H3" s="27">
        <f>SUM(G3,E3)</f>
        <v>12.52</v>
      </c>
      <c r="I3" s="28"/>
      <c r="J3" s="29"/>
      <c r="K3" s="30" t="s">
        <v>25</v>
      </c>
      <c r="L3" s="26"/>
      <c r="M3" s="31"/>
      <c r="N3" s="26"/>
      <c r="O3" s="28"/>
      <c r="P3" s="23"/>
      <c r="Q3" s="28"/>
      <c r="R3" s="23"/>
      <c r="S3" s="28"/>
      <c r="T3" s="32">
        <f t="shared" ref="T3:T15" si="0">SUM(I3,M3,O3,Q3,S3)</f>
        <v>0</v>
      </c>
      <c r="U3" s="28"/>
      <c r="V3" s="33"/>
      <c r="W3" s="34"/>
      <c r="X3" s="35">
        <v>630</v>
      </c>
      <c r="Y3" s="35">
        <v>0</v>
      </c>
      <c r="Z3" s="35">
        <v>630</v>
      </c>
      <c r="AA3" s="23"/>
      <c r="AB3" s="23"/>
      <c r="AC3" s="23"/>
      <c r="AD3" s="33"/>
      <c r="AE3" s="23"/>
    </row>
    <row r="4" spans="1:31" ht="15" x14ac:dyDescent="0.2">
      <c r="A4" s="36"/>
      <c r="B4" s="37" t="s">
        <v>26</v>
      </c>
      <c r="C4" s="38"/>
      <c r="D4" s="39"/>
      <c r="E4" s="39"/>
      <c r="F4" s="39"/>
      <c r="G4" s="39"/>
      <c r="H4" s="38"/>
      <c r="I4" s="40">
        <v>63780</v>
      </c>
      <c r="J4" s="41">
        <v>2018</v>
      </c>
      <c r="K4" s="42"/>
      <c r="L4" s="39"/>
      <c r="M4" s="43"/>
      <c r="N4" s="39"/>
      <c r="O4" s="44"/>
      <c r="P4" s="39"/>
      <c r="Q4" s="44"/>
      <c r="R4" s="39"/>
      <c r="S4" s="44"/>
      <c r="T4" s="45">
        <f t="shared" si="0"/>
        <v>63780</v>
      </c>
      <c r="U4" s="46"/>
      <c r="V4" s="38"/>
      <c r="W4" s="47">
        <f>SUM(T4*$AB$2)</f>
        <v>23917500</v>
      </c>
      <c r="X4" s="48"/>
      <c r="Y4" s="48"/>
      <c r="Z4" s="48"/>
      <c r="AA4" s="39"/>
      <c r="AB4" s="39"/>
      <c r="AC4" s="39"/>
      <c r="AD4" s="38"/>
      <c r="AE4" s="39"/>
    </row>
    <row r="5" spans="1:31" ht="15" x14ac:dyDescent="0.2">
      <c r="A5" s="49" t="s">
        <v>27</v>
      </c>
      <c r="B5" s="50"/>
      <c r="C5" s="51" t="s">
        <v>28</v>
      </c>
      <c r="D5" s="52">
        <v>5301002006</v>
      </c>
      <c r="E5" s="53">
        <v>10.18</v>
      </c>
      <c r="F5" s="52" t="s">
        <v>29</v>
      </c>
      <c r="G5" s="53"/>
      <c r="H5" s="54">
        <f>SUM(G5,E5)</f>
        <v>10.18</v>
      </c>
      <c r="I5" s="55"/>
      <c r="J5" s="56"/>
      <c r="K5" s="56"/>
      <c r="L5" s="53"/>
      <c r="M5" s="57"/>
      <c r="N5" s="53"/>
      <c r="O5" s="55"/>
      <c r="P5" s="50"/>
      <c r="Q5" s="55"/>
      <c r="R5" s="50"/>
      <c r="S5" s="55"/>
      <c r="T5" s="58">
        <f t="shared" si="0"/>
        <v>0</v>
      </c>
      <c r="U5" s="55"/>
      <c r="V5" s="59"/>
      <c r="W5" s="60"/>
      <c r="X5" s="55"/>
      <c r="Y5" s="55"/>
      <c r="Z5" s="55"/>
      <c r="AA5" s="50"/>
      <c r="AB5" s="50"/>
      <c r="AC5" s="50"/>
      <c r="AD5" s="59"/>
      <c r="AE5" s="50"/>
    </row>
    <row r="6" spans="1:31" ht="15" x14ac:dyDescent="0.2">
      <c r="A6" s="36"/>
      <c r="B6" s="37" t="s">
        <v>30</v>
      </c>
      <c r="C6" s="38"/>
      <c r="D6" s="39"/>
      <c r="E6" s="39"/>
      <c r="F6" s="39"/>
      <c r="G6" s="39"/>
      <c r="H6" s="38"/>
      <c r="I6" s="46">
        <v>6134</v>
      </c>
      <c r="J6" s="42">
        <v>1981</v>
      </c>
      <c r="K6" s="42"/>
      <c r="L6" s="39"/>
      <c r="M6" s="43"/>
      <c r="N6" s="39"/>
      <c r="O6" s="44"/>
      <c r="P6" s="39"/>
      <c r="Q6" s="44"/>
      <c r="R6" s="39"/>
      <c r="S6" s="44"/>
      <c r="T6" s="45">
        <f t="shared" si="0"/>
        <v>6134</v>
      </c>
      <c r="U6" s="46"/>
      <c r="V6" s="38">
        <v>2016</v>
      </c>
      <c r="W6" s="47">
        <f>SUM(T6*$AB$2)</f>
        <v>2300250</v>
      </c>
      <c r="X6" s="48"/>
      <c r="Y6" s="48"/>
      <c r="Z6" s="48"/>
      <c r="AA6" s="39"/>
      <c r="AB6" s="61"/>
      <c r="AC6" s="39"/>
      <c r="AD6" s="38"/>
      <c r="AE6" s="39"/>
    </row>
    <row r="7" spans="1:31" ht="15" x14ac:dyDescent="0.2">
      <c r="A7" s="36"/>
      <c r="B7" s="37" t="s">
        <v>31</v>
      </c>
      <c r="C7" s="38"/>
      <c r="D7" s="39"/>
      <c r="E7" s="39"/>
      <c r="F7" s="39"/>
      <c r="G7" s="39"/>
      <c r="H7" s="38"/>
      <c r="I7" s="46">
        <v>25800</v>
      </c>
      <c r="J7" s="42">
        <v>2002</v>
      </c>
      <c r="K7" s="42"/>
      <c r="L7" s="39"/>
      <c r="M7" s="43"/>
      <c r="N7" s="39"/>
      <c r="O7" s="44"/>
      <c r="P7" s="39"/>
      <c r="Q7" s="44"/>
      <c r="R7" s="39"/>
      <c r="S7" s="44"/>
      <c r="T7" s="45">
        <f t="shared" si="0"/>
        <v>25800</v>
      </c>
      <c r="U7" s="46"/>
      <c r="V7" s="38"/>
      <c r="W7" s="47">
        <f>SUM(T7*$AC$2)</f>
        <v>5418000</v>
      </c>
      <c r="X7" s="48"/>
      <c r="Y7" s="48"/>
      <c r="Z7" s="48"/>
      <c r="AA7" s="39"/>
      <c r="AB7" s="39"/>
      <c r="AC7" s="39"/>
      <c r="AD7" s="38"/>
      <c r="AE7" s="39"/>
    </row>
    <row r="8" spans="1:31" ht="15" x14ac:dyDescent="0.2">
      <c r="A8" s="36"/>
      <c r="B8" s="62" t="s">
        <v>32</v>
      </c>
      <c r="C8" s="38"/>
      <c r="D8" s="39"/>
      <c r="E8" s="39"/>
      <c r="F8" s="39"/>
      <c r="G8" s="39"/>
      <c r="H8" s="38"/>
      <c r="I8" s="46">
        <v>1440</v>
      </c>
      <c r="J8" s="42">
        <v>1995</v>
      </c>
      <c r="K8" s="42"/>
      <c r="L8" s="39">
        <v>2008</v>
      </c>
      <c r="M8" s="43"/>
      <c r="N8" s="39">
        <f>1440+1440+6134</f>
        <v>9014</v>
      </c>
      <c r="O8" s="44"/>
      <c r="P8" s="39"/>
      <c r="Q8" s="44"/>
      <c r="R8" s="39"/>
      <c r="S8" s="44"/>
      <c r="T8" s="45">
        <f t="shared" si="0"/>
        <v>1440</v>
      </c>
      <c r="U8" s="46"/>
      <c r="V8" s="38"/>
      <c r="W8" s="47">
        <f>AD2</f>
        <v>200000</v>
      </c>
      <c r="X8" s="48"/>
      <c r="Y8" s="48"/>
      <c r="Z8" s="48"/>
      <c r="AA8" s="39"/>
      <c r="AB8" s="39"/>
      <c r="AC8" s="39"/>
      <c r="AD8" s="38"/>
      <c r="AE8" s="39"/>
    </row>
    <row r="9" spans="1:31" ht="15" x14ac:dyDescent="0.2">
      <c r="A9" s="36"/>
      <c r="B9" s="62" t="s">
        <v>33</v>
      </c>
      <c r="C9" s="38"/>
      <c r="D9" s="39"/>
      <c r="E9" s="39"/>
      <c r="F9" s="39"/>
      <c r="G9" s="39"/>
      <c r="H9" s="38"/>
      <c r="I9" s="46">
        <v>1140</v>
      </c>
      <c r="J9" s="42">
        <v>1999</v>
      </c>
      <c r="K9" s="42"/>
      <c r="L9" s="39"/>
      <c r="M9" s="43"/>
      <c r="N9" s="39"/>
      <c r="O9" s="44"/>
      <c r="P9" s="39"/>
      <c r="Q9" s="44"/>
      <c r="R9" s="39"/>
      <c r="S9" s="44"/>
      <c r="T9" s="45">
        <f t="shared" si="0"/>
        <v>1140</v>
      </c>
      <c r="U9" s="46"/>
      <c r="V9" s="38"/>
      <c r="W9" s="47">
        <f>SUM(T9*$AC$2)/2</f>
        <v>119700</v>
      </c>
      <c r="X9" s="48"/>
      <c r="Y9" s="48"/>
      <c r="Z9" s="48"/>
      <c r="AA9" s="39"/>
      <c r="AB9" s="39"/>
      <c r="AC9" s="39"/>
      <c r="AD9" s="38"/>
      <c r="AE9" s="39"/>
    </row>
    <row r="10" spans="1:31" ht="15" x14ac:dyDescent="0.2">
      <c r="A10" s="36"/>
      <c r="B10" s="62" t="s">
        <v>34</v>
      </c>
      <c r="C10" s="38"/>
      <c r="D10" s="39"/>
      <c r="E10" s="39"/>
      <c r="F10" s="39"/>
      <c r="G10" s="39"/>
      <c r="H10" s="38"/>
      <c r="I10" s="46">
        <v>1440</v>
      </c>
      <c r="J10" s="42">
        <v>1995</v>
      </c>
      <c r="K10" s="42"/>
      <c r="L10" s="39"/>
      <c r="M10" s="43"/>
      <c r="N10" s="39"/>
      <c r="O10" s="44"/>
      <c r="P10" s="39"/>
      <c r="Q10" s="44"/>
      <c r="R10" s="39"/>
      <c r="S10" s="44"/>
      <c r="T10" s="45">
        <f t="shared" si="0"/>
        <v>1440</v>
      </c>
      <c r="U10" s="46"/>
      <c r="V10" s="38"/>
      <c r="W10" s="47">
        <f>AD2</f>
        <v>200000</v>
      </c>
      <c r="X10" s="48"/>
      <c r="Y10" s="48"/>
      <c r="Z10" s="48"/>
      <c r="AA10" s="39"/>
      <c r="AB10" s="39" t="s">
        <v>35</v>
      </c>
      <c r="AC10" s="63">
        <v>9421</v>
      </c>
      <c r="AD10" s="64">
        <v>11227</v>
      </c>
      <c r="AE10" s="39"/>
    </row>
    <row r="11" spans="1:31" ht="15" x14ac:dyDescent="0.2">
      <c r="A11" s="36"/>
      <c r="B11" s="62" t="s">
        <v>36</v>
      </c>
      <c r="C11" s="38"/>
      <c r="D11" s="39"/>
      <c r="E11" s="39"/>
      <c r="F11" s="39"/>
      <c r="G11" s="39"/>
      <c r="H11" s="38"/>
      <c r="I11" s="46">
        <v>1440</v>
      </c>
      <c r="J11" s="42">
        <v>1999</v>
      </c>
      <c r="K11" s="42"/>
      <c r="L11" s="39"/>
      <c r="M11" s="43"/>
      <c r="N11" s="39"/>
      <c r="O11" s="44"/>
      <c r="P11" s="39"/>
      <c r="Q11" s="44"/>
      <c r="R11" s="39"/>
      <c r="S11" s="44"/>
      <c r="T11" s="45">
        <f t="shared" si="0"/>
        <v>1440</v>
      </c>
      <c r="U11" s="46"/>
      <c r="V11" s="38"/>
      <c r="W11" s="47">
        <f>AD2</f>
        <v>200000</v>
      </c>
      <c r="X11" s="48"/>
      <c r="Y11" s="48"/>
      <c r="Z11" s="48"/>
      <c r="AA11" s="39"/>
      <c r="AB11" s="39"/>
      <c r="AC11" s="39"/>
      <c r="AD11" s="64" t="e">
        <f>SUM(#REF!-AD10)</f>
        <v>#REF!</v>
      </c>
      <c r="AE11" s="39"/>
    </row>
    <row r="12" spans="1:31" ht="15" x14ac:dyDescent="0.2">
      <c r="A12" s="36"/>
      <c r="B12" s="62" t="s">
        <v>37</v>
      </c>
      <c r="C12" s="38"/>
      <c r="D12" s="39"/>
      <c r="E12" s="39"/>
      <c r="F12" s="39"/>
      <c r="G12" s="39"/>
      <c r="H12" s="38"/>
      <c r="I12" s="46">
        <v>1884</v>
      </c>
      <c r="J12" s="42">
        <v>1999</v>
      </c>
      <c r="K12" s="42"/>
      <c r="L12" s="39"/>
      <c r="M12" s="43"/>
      <c r="N12" s="39"/>
      <c r="O12" s="44"/>
      <c r="P12" s="39"/>
      <c r="Q12" s="44"/>
      <c r="R12" s="39"/>
      <c r="S12" s="44"/>
      <c r="T12" s="45">
        <f t="shared" si="0"/>
        <v>1884</v>
      </c>
      <c r="U12" s="46"/>
      <c r="V12" s="38"/>
      <c r="W12" s="47">
        <f>AD2</f>
        <v>200000</v>
      </c>
      <c r="X12" s="48"/>
      <c r="Y12" s="48"/>
      <c r="Z12" s="48"/>
      <c r="AA12" s="39"/>
      <c r="AB12" s="39"/>
      <c r="AC12" s="39"/>
      <c r="AD12" s="38"/>
      <c r="AE12" s="39"/>
    </row>
    <row r="13" spans="1:31" ht="15" x14ac:dyDescent="0.2">
      <c r="A13" s="49" t="s">
        <v>38</v>
      </c>
      <c r="B13" s="50"/>
      <c r="C13" s="51" t="s">
        <v>39</v>
      </c>
      <c r="D13" s="52">
        <v>5330401113</v>
      </c>
      <c r="E13" s="53">
        <v>4.41</v>
      </c>
      <c r="F13" s="50"/>
      <c r="G13" s="53"/>
      <c r="H13" s="54">
        <f>SUM(G13,E13)</f>
        <v>4.41</v>
      </c>
      <c r="I13" s="55"/>
      <c r="J13" s="56"/>
      <c r="K13" s="56"/>
      <c r="L13" s="53"/>
      <c r="M13" s="57"/>
      <c r="N13" s="53"/>
      <c r="O13" s="55"/>
      <c r="P13" s="50"/>
      <c r="Q13" s="55"/>
      <c r="R13" s="50"/>
      <c r="S13" s="55"/>
      <c r="T13" s="58">
        <f t="shared" si="0"/>
        <v>0</v>
      </c>
      <c r="U13" s="55"/>
      <c r="V13" s="59"/>
      <c r="W13" s="60"/>
      <c r="X13" s="55"/>
      <c r="Y13" s="55"/>
      <c r="Z13" s="55"/>
      <c r="AA13" s="50"/>
      <c r="AB13" s="50"/>
      <c r="AC13" s="50"/>
      <c r="AD13" s="59"/>
      <c r="AE13" s="50"/>
    </row>
    <row r="14" spans="1:31" ht="15" x14ac:dyDescent="0.2">
      <c r="A14" s="36"/>
      <c r="B14" s="37" t="s">
        <v>40</v>
      </c>
      <c r="C14" s="38"/>
      <c r="D14" s="39"/>
      <c r="E14" s="39"/>
      <c r="F14" s="39"/>
      <c r="G14" s="39"/>
      <c r="H14" s="38"/>
      <c r="I14" s="46">
        <v>35806</v>
      </c>
      <c r="J14" s="42">
        <v>2008</v>
      </c>
      <c r="K14" s="42"/>
      <c r="L14" s="39"/>
      <c r="M14" s="43"/>
      <c r="N14" s="39"/>
      <c r="O14" s="44"/>
      <c r="P14" s="39"/>
      <c r="Q14" s="44"/>
      <c r="R14" s="39"/>
      <c r="S14" s="44"/>
      <c r="T14" s="45">
        <f t="shared" si="0"/>
        <v>35806</v>
      </c>
      <c r="U14" s="46"/>
      <c r="V14" s="38"/>
      <c r="W14" s="47">
        <f>SUM(T14*$AB$2)</f>
        <v>13427250</v>
      </c>
      <c r="X14" s="48"/>
      <c r="Y14" s="48"/>
      <c r="Z14" s="48"/>
      <c r="AA14" s="39"/>
      <c r="AB14" s="39"/>
      <c r="AC14" s="39"/>
      <c r="AD14" s="38"/>
      <c r="AE14" s="39"/>
    </row>
    <row r="15" spans="1:31" ht="15" x14ac:dyDescent="0.2">
      <c r="A15" s="22" t="s">
        <v>41</v>
      </c>
      <c r="B15" s="23"/>
      <c r="C15" s="24" t="s">
        <v>42</v>
      </c>
      <c r="D15" s="25">
        <v>5405306059</v>
      </c>
      <c r="E15" s="26">
        <v>8.7200000000000006</v>
      </c>
      <c r="F15" s="25"/>
      <c r="G15" s="26"/>
      <c r="H15" s="27">
        <f>SUM(G15,E15)</f>
        <v>8.7200000000000006</v>
      </c>
      <c r="I15" s="28"/>
      <c r="J15" s="29"/>
      <c r="K15" s="29"/>
      <c r="L15" s="26"/>
      <c r="M15" s="31"/>
      <c r="N15" s="26"/>
      <c r="O15" s="28"/>
      <c r="P15" s="23"/>
      <c r="Q15" s="28"/>
      <c r="R15" s="23"/>
      <c r="S15" s="28"/>
      <c r="T15" s="32">
        <f t="shared" si="0"/>
        <v>0</v>
      </c>
      <c r="U15" s="28"/>
      <c r="V15" s="33"/>
      <c r="W15" s="34"/>
      <c r="X15" s="35">
        <v>550</v>
      </c>
      <c r="Y15" s="35">
        <v>250</v>
      </c>
      <c r="Z15" s="35">
        <v>800</v>
      </c>
      <c r="AA15" s="23"/>
      <c r="AB15" s="23"/>
      <c r="AC15" s="23"/>
      <c r="AD15" s="33"/>
      <c r="AE15" s="23"/>
    </row>
    <row r="16" spans="1:31" ht="15" x14ac:dyDescent="0.2">
      <c r="A16" s="36">
        <v>200</v>
      </c>
      <c r="B16" s="62" t="s">
        <v>43</v>
      </c>
      <c r="C16" s="38"/>
      <c r="D16" s="39"/>
      <c r="E16" s="39"/>
      <c r="F16" s="39"/>
      <c r="G16" s="39"/>
      <c r="H16" s="38"/>
      <c r="I16" s="46">
        <v>9421</v>
      </c>
      <c r="J16" s="42">
        <v>1976</v>
      </c>
      <c r="K16" s="42">
        <v>4</v>
      </c>
      <c r="L16" s="39">
        <v>1979</v>
      </c>
      <c r="M16" s="43">
        <v>14500</v>
      </c>
      <c r="N16" s="39">
        <v>1981</v>
      </c>
      <c r="O16" s="44">
        <v>11227</v>
      </c>
      <c r="P16" s="39">
        <v>2000</v>
      </c>
      <c r="Q16" s="44">
        <v>5000</v>
      </c>
      <c r="R16" s="39">
        <v>2003</v>
      </c>
      <c r="S16" s="42">
        <v>13000</v>
      </c>
      <c r="T16" s="45">
        <f t="shared" ref="T16:T17" si="1">SUM(S16,Q16,O16,M16,I16)</f>
        <v>53148</v>
      </c>
      <c r="U16" s="46">
        <f>I6*AB2</f>
        <v>2300250</v>
      </c>
      <c r="V16" s="38"/>
      <c r="W16" s="47">
        <f>SUM(T16*$AB$2)</f>
        <v>19930500</v>
      </c>
      <c r="X16" s="48"/>
      <c r="Y16" s="48"/>
      <c r="Z16" s="48"/>
      <c r="AA16" s="39"/>
      <c r="AB16" s="48">
        <f>SUM(53148-I16)</f>
        <v>43727</v>
      </c>
      <c r="AC16" s="39"/>
      <c r="AD16" s="38"/>
      <c r="AE16" s="39"/>
    </row>
    <row r="17" spans="1:31" ht="15" x14ac:dyDescent="0.2">
      <c r="A17" s="36"/>
      <c r="B17" s="62" t="s">
        <v>44</v>
      </c>
      <c r="C17" s="38"/>
      <c r="D17" s="39"/>
      <c r="E17" s="39"/>
      <c r="F17" s="39"/>
      <c r="G17" s="44"/>
      <c r="H17" s="38"/>
      <c r="I17" s="46">
        <v>9856</v>
      </c>
      <c r="J17" s="42">
        <v>2013</v>
      </c>
      <c r="K17" s="42"/>
      <c r="L17" s="39"/>
      <c r="M17" s="43"/>
      <c r="N17" s="39"/>
      <c r="O17" s="44"/>
      <c r="P17" s="39"/>
      <c r="Q17" s="44"/>
      <c r="R17" s="39"/>
      <c r="S17" s="44"/>
      <c r="T17" s="45">
        <f t="shared" si="1"/>
        <v>9856</v>
      </c>
      <c r="U17" s="46"/>
      <c r="V17" s="38"/>
      <c r="W17" s="47">
        <f>AD2*5</f>
        <v>1000000</v>
      </c>
      <c r="X17" s="48"/>
      <c r="Y17" s="48"/>
      <c r="Z17" s="48"/>
      <c r="AA17" s="39"/>
      <c r="AB17" s="39"/>
      <c r="AC17" s="39"/>
      <c r="AD17" s="38"/>
      <c r="AE17" s="39"/>
    </row>
    <row r="18" spans="1:31" ht="15" x14ac:dyDescent="0.2">
      <c r="A18" s="22" t="s">
        <v>45</v>
      </c>
      <c r="B18" s="23"/>
      <c r="C18" s="24" t="s">
        <v>46</v>
      </c>
      <c r="D18" s="25">
        <v>4307300006</v>
      </c>
      <c r="E18" s="26">
        <v>39.369999999999997</v>
      </c>
      <c r="F18" s="25"/>
      <c r="G18" s="26"/>
      <c r="H18" s="27">
        <f>SUM(G18,E18)</f>
        <v>39.369999999999997</v>
      </c>
      <c r="I18" s="28"/>
      <c r="J18" s="29"/>
      <c r="K18" s="29"/>
      <c r="L18" s="26"/>
      <c r="M18" s="31"/>
      <c r="N18" s="26"/>
      <c r="O18" s="28"/>
      <c r="P18" s="23"/>
      <c r="Q18" s="28"/>
      <c r="R18" s="23"/>
      <c r="S18" s="28"/>
      <c r="T18" s="32">
        <f>SUM(I18,M18,O18,Q18,S18)</f>
        <v>0</v>
      </c>
      <c r="U18" s="28"/>
      <c r="V18" s="33"/>
      <c r="W18" s="34"/>
      <c r="X18" s="35">
        <v>425</v>
      </c>
      <c r="Y18" s="35">
        <v>150</v>
      </c>
      <c r="Z18" s="35">
        <v>575</v>
      </c>
      <c r="AA18" s="23"/>
      <c r="AB18" s="23"/>
      <c r="AC18" s="23"/>
      <c r="AD18" s="33"/>
      <c r="AE18" s="23"/>
    </row>
    <row r="19" spans="1:31" ht="15" x14ac:dyDescent="0.2">
      <c r="A19" s="36"/>
      <c r="B19" s="37" t="s">
        <v>47</v>
      </c>
      <c r="C19" s="38"/>
      <c r="D19" s="39"/>
      <c r="E19" s="39"/>
      <c r="F19" s="39"/>
      <c r="G19" s="39"/>
      <c r="H19" s="38"/>
      <c r="I19" s="46">
        <v>34381</v>
      </c>
      <c r="J19" s="42">
        <v>1982</v>
      </c>
      <c r="K19" s="42">
        <v>1</v>
      </c>
      <c r="L19" s="39">
        <v>2000</v>
      </c>
      <c r="M19" s="65">
        <v>4180</v>
      </c>
      <c r="N19" s="39"/>
      <c r="O19" s="44"/>
      <c r="P19" s="39"/>
      <c r="Q19" s="44"/>
      <c r="R19" s="39"/>
      <c r="S19" s="44"/>
      <c r="T19" s="45">
        <f t="shared" ref="T19:T20" si="2">SUM(S19,Q19,O19,M19,I19)</f>
        <v>38561</v>
      </c>
      <c r="U19" s="39"/>
      <c r="V19" s="38"/>
      <c r="W19" s="47">
        <f>SUM(T19*$AB$2)</f>
        <v>14460375</v>
      </c>
      <c r="X19" s="48"/>
      <c r="Y19" s="48"/>
      <c r="Z19" s="48"/>
      <c r="AA19" s="39"/>
      <c r="AB19" s="39"/>
      <c r="AC19" s="39"/>
      <c r="AD19" s="38"/>
      <c r="AE19" s="39"/>
    </row>
    <row r="20" spans="1:31" ht="15" x14ac:dyDescent="0.2">
      <c r="A20" s="36"/>
      <c r="B20" s="62" t="s">
        <v>48</v>
      </c>
      <c r="C20" s="38"/>
      <c r="D20" s="39"/>
      <c r="E20" s="39"/>
      <c r="F20" s="39"/>
      <c r="G20" s="39"/>
      <c r="H20" s="38"/>
      <c r="I20" s="46">
        <v>4200</v>
      </c>
      <c r="J20" s="42">
        <v>2001</v>
      </c>
      <c r="K20" s="42"/>
      <c r="L20" s="39">
        <v>2002</v>
      </c>
      <c r="M20" s="43"/>
      <c r="N20" s="39"/>
      <c r="O20" s="44"/>
      <c r="P20" s="39"/>
      <c r="Q20" s="44"/>
      <c r="R20" s="39"/>
      <c r="S20" s="44"/>
      <c r="T20" s="45">
        <f t="shared" si="2"/>
        <v>4200</v>
      </c>
      <c r="U20" s="46"/>
      <c r="V20" s="38"/>
      <c r="W20" s="47">
        <f>SUM(AD2*2)</f>
        <v>400000</v>
      </c>
      <c r="X20" s="48"/>
      <c r="Y20" s="48"/>
      <c r="Z20" s="48"/>
      <c r="AA20" s="39"/>
      <c r="AB20" s="39"/>
      <c r="AC20" s="39"/>
      <c r="AD20" s="38"/>
      <c r="AE20" s="39"/>
    </row>
    <row r="21" spans="1:31" ht="15" x14ac:dyDescent="0.2">
      <c r="A21" s="36"/>
      <c r="B21" s="62" t="s">
        <v>49</v>
      </c>
      <c r="C21" s="38"/>
      <c r="D21" s="39"/>
      <c r="E21" s="39"/>
      <c r="F21" s="39"/>
      <c r="G21" s="39"/>
      <c r="H21" s="38"/>
      <c r="I21" s="46">
        <v>1440</v>
      </c>
      <c r="J21" s="42">
        <v>2001</v>
      </c>
      <c r="K21" s="42"/>
      <c r="L21" s="39"/>
      <c r="M21" s="43"/>
      <c r="N21" s="39"/>
      <c r="O21" s="44"/>
      <c r="P21" s="39"/>
      <c r="Q21" s="44"/>
      <c r="R21" s="39"/>
      <c r="S21" s="44"/>
      <c r="T21" s="45">
        <v>1440</v>
      </c>
      <c r="U21" s="46"/>
      <c r="V21" s="38"/>
      <c r="W21" s="47">
        <f>AD2</f>
        <v>200000</v>
      </c>
      <c r="X21" s="48"/>
      <c r="Y21" s="48"/>
      <c r="Z21" s="48"/>
      <c r="AA21" s="39"/>
      <c r="AB21" s="39"/>
      <c r="AC21" s="39"/>
      <c r="AD21" s="38"/>
      <c r="AE21" s="39"/>
    </row>
    <row r="22" spans="1:31" ht="15" x14ac:dyDescent="0.2">
      <c r="A22" s="66" t="s">
        <v>50</v>
      </c>
      <c r="B22" s="67"/>
      <c r="C22" s="68" t="s">
        <v>51</v>
      </c>
      <c r="D22" s="69">
        <v>4200000335</v>
      </c>
      <c r="E22" s="70">
        <v>70</v>
      </c>
      <c r="F22" s="67"/>
      <c r="G22" s="70"/>
      <c r="H22" s="71">
        <f>SUM(G22,E22)</f>
        <v>70</v>
      </c>
      <c r="I22" s="72"/>
      <c r="J22" s="73"/>
      <c r="K22" s="73"/>
      <c r="L22" s="70"/>
      <c r="M22" s="74"/>
      <c r="N22" s="70"/>
      <c r="O22" s="72"/>
      <c r="P22" s="67"/>
      <c r="Q22" s="72"/>
      <c r="R22" s="67"/>
      <c r="S22" s="72"/>
      <c r="T22" s="75">
        <f>SUM(I22,M22,O22,Q22,S22)</f>
        <v>0</v>
      </c>
      <c r="U22" s="72"/>
      <c r="V22" s="76"/>
      <c r="W22" s="77"/>
      <c r="X22" s="78">
        <v>1200</v>
      </c>
      <c r="Y22" s="78">
        <v>0</v>
      </c>
      <c r="Z22" s="78">
        <v>1200</v>
      </c>
      <c r="AA22" s="67"/>
      <c r="AB22" s="67"/>
      <c r="AC22" s="67"/>
      <c r="AD22" s="76"/>
      <c r="AE22" s="67"/>
    </row>
    <row r="23" spans="1:31" ht="15" x14ac:dyDescent="0.2">
      <c r="A23" s="36"/>
      <c r="B23" s="62" t="s">
        <v>52</v>
      </c>
      <c r="C23" s="38"/>
      <c r="D23" s="39"/>
      <c r="E23" s="39"/>
      <c r="F23" s="39"/>
      <c r="G23" s="39"/>
      <c r="H23" s="38"/>
      <c r="I23" s="46">
        <v>176352</v>
      </c>
      <c r="J23" s="42">
        <v>2007</v>
      </c>
      <c r="K23" s="42">
        <v>1</v>
      </c>
      <c r="L23" s="39">
        <v>2018</v>
      </c>
      <c r="M23" s="43">
        <v>15946</v>
      </c>
      <c r="N23" s="39"/>
      <c r="O23" s="44"/>
      <c r="P23" s="39"/>
      <c r="Q23" s="44"/>
      <c r="R23" s="39"/>
      <c r="S23" s="44"/>
      <c r="T23" s="45">
        <f t="shared" ref="T23:T26" si="3">SUM(S23,Q23,O23,M23,I23)</f>
        <v>192298</v>
      </c>
      <c r="U23" s="46"/>
      <c r="V23" s="38"/>
      <c r="W23" s="47">
        <f t="shared" ref="W23:W24" si="4">SUM(T23*$AB$2)</f>
        <v>72111750</v>
      </c>
      <c r="X23" s="48"/>
      <c r="Y23" s="48"/>
      <c r="Z23" s="48"/>
      <c r="AA23" s="39"/>
      <c r="AB23" s="39"/>
      <c r="AC23" s="39"/>
      <c r="AD23" s="38"/>
      <c r="AE23" s="39"/>
    </row>
    <row r="24" spans="1:31" ht="15" x14ac:dyDescent="0.2">
      <c r="A24" s="36"/>
      <c r="B24" s="62" t="s">
        <v>53</v>
      </c>
      <c r="C24" s="38"/>
      <c r="D24" s="39"/>
      <c r="E24" s="39"/>
      <c r="F24" s="39"/>
      <c r="G24" s="39"/>
      <c r="H24" s="38"/>
      <c r="I24" s="46">
        <v>1701</v>
      </c>
      <c r="J24" s="42">
        <v>2008</v>
      </c>
      <c r="K24" s="42"/>
      <c r="L24" s="39"/>
      <c r="M24" s="43"/>
      <c r="N24" s="39"/>
      <c r="O24" s="44"/>
      <c r="P24" s="39"/>
      <c r="Q24" s="44"/>
      <c r="R24" s="39"/>
      <c r="S24" s="44"/>
      <c r="T24" s="45">
        <f t="shared" si="3"/>
        <v>1701</v>
      </c>
      <c r="U24" s="46"/>
      <c r="V24" s="38"/>
      <c r="W24" s="47">
        <f t="shared" si="4"/>
        <v>637875</v>
      </c>
      <c r="X24" s="48"/>
      <c r="Y24" s="48"/>
      <c r="Z24" s="48"/>
      <c r="AA24" s="39"/>
      <c r="AB24" s="39"/>
      <c r="AC24" s="39"/>
      <c r="AD24" s="38"/>
      <c r="AE24" s="39"/>
    </row>
    <row r="25" spans="1:31" ht="15" x14ac:dyDescent="0.2">
      <c r="A25" s="36"/>
      <c r="B25" s="62" t="s">
        <v>54</v>
      </c>
      <c r="C25" s="38"/>
      <c r="D25" s="39"/>
      <c r="E25" s="39"/>
      <c r="F25" s="39"/>
      <c r="G25" s="39"/>
      <c r="H25" s="38"/>
      <c r="I25" s="46">
        <v>1050</v>
      </c>
      <c r="J25" s="42">
        <v>2008</v>
      </c>
      <c r="K25" s="42"/>
      <c r="L25" s="39"/>
      <c r="M25" s="43"/>
      <c r="N25" s="39"/>
      <c r="O25" s="44"/>
      <c r="P25" s="39"/>
      <c r="Q25" s="44"/>
      <c r="R25" s="39"/>
      <c r="S25" s="44"/>
      <c r="T25" s="45">
        <f t="shared" si="3"/>
        <v>1050</v>
      </c>
      <c r="U25" s="46"/>
      <c r="V25" s="38"/>
      <c r="W25" s="47">
        <f>SUM(T25*($AC$2/2))</f>
        <v>110250</v>
      </c>
      <c r="X25" s="48"/>
      <c r="Y25" s="48"/>
      <c r="Z25" s="48"/>
      <c r="AA25" s="39"/>
      <c r="AB25" s="39"/>
      <c r="AC25" s="39"/>
      <c r="AD25" s="38"/>
      <c r="AE25" s="39"/>
    </row>
    <row r="26" spans="1:31" ht="15" x14ac:dyDescent="0.2">
      <c r="A26" s="36"/>
      <c r="B26" s="62" t="s">
        <v>55</v>
      </c>
      <c r="C26" s="38"/>
      <c r="D26" s="39"/>
      <c r="E26" s="39"/>
      <c r="F26" s="39"/>
      <c r="G26" s="39"/>
      <c r="H26" s="38"/>
      <c r="I26" s="46">
        <v>336</v>
      </c>
      <c r="J26" s="42">
        <v>2008</v>
      </c>
      <c r="K26" s="42"/>
      <c r="L26" s="39"/>
      <c r="M26" s="43"/>
      <c r="N26" s="39"/>
      <c r="O26" s="44"/>
      <c r="P26" s="39"/>
      <c r="Q26" s="44"/>
      <c r="R26" s="39"/>
      <c r="S26" s="44"/>
      <c r="T26" s="45">
        <f t="shared" si="3"/>
        <v>336</v>
      </c>
      <c r="U26" s="46"/>
      <c r="V26" s="38"/>
      <c r="W26" s="47">
        <f>SUM(T26*($AC$2))</f>
        <v>70560</v>
      </c>
      <c r="X26" s="48"/>
      <c r="Y26" s="48"/>
      <c r="Z26" s="48"/>
      <c r="AA26" s="39"/>
      <c r="AB26" s="39"/>
      <c r="AC26" s="39"/>
      <c r="AD26" s="38"/>
      <c r="AE26" s="39"/>
    </row>
    <row r="27" spans="1:31" ht="15" x14ac:dyDescent="0.2">
      <c r="A27" s="79" t="s">
        <v>56</v>
      </c>
      <c r="B27" s="80"/>
      <c r="C27" s="81" t="s">
        <v>57</v>
      </c>
      <c r="D27" s="82">
        <v>5225300002</v>
      </c>
      <c r="E27" s="83">
        <v>39.08</v>
      </c>
      <c r="F27" s="82"/>
      <c r="G27" s="83"/>
      <c r="H27" s="84">
        <f>SUM(G27,E27)</f>
        <v>39.08</v>
      </c>
      <c r="I27" s="85"/>
      <c r="J27" s="86"/>
      <c r="K27" s="86"/>
      <c r="L27" s="83"/>
      <c r="M27" s="87"/>
      <c r="N27" s="83"/>
      <c r="O27" s="85"/>
      <c r="P27" s="80"/>
      <c r="Q27" s="85"/>
      <c r="R27" s="80"/>
      <c r="S27" s="85"/>
      <c r="T27" s="88"/>
      <c r="U27" s="85"/>
      <c r="V27" s="89"/>
      <c r="W27" s="90"/>
      <c r="X27" s="91">
        <v>875</v>
      </c>
      <c r="Y27" s="91">
        <v>150</v>
      </c>
      <c r="Z27" s="91">
        <v>1025</v>
      </c>
      <c r="AA27" s="80"/>
      <c r="AB27" s="80"/>
      <c r="AC27" s="80"/>
      <c r="AD27" s="89"/>
      <c r="AE27" s="80"/>
    </row>
    <row r="28" spans="1:31" ht="15" x14ac:dyDescent="0.2">
      <c r="A28" s="36"/>
      <c r="B28" s="37" t="s">
        <v>58</v>
      </c>
      <c r="C28" s="38"/>
      <c r="D28" s="39"/>
      <c r="E28" s="39"/>
      <c r="F28" s="39"/>
      <c r="G28" s="39"/>
      <c r="H28" s="38"/>
      <c r="I28" s="46">
        <v>61210</v>
      </c>
      <c r="J28" s="42">
        <v>1976</v>
      </c>
      <c r="K28" s="42">
        <v>4</v>
      </c>
      <c r="L28" s="39">
        <v>1980</v>
      </c>
      <c r="M28" s="43">
        <v>24469</v>
      </c>
      <c r="N28" s="39">
        <v>1996</v>
      </c>
      <c r="O28" s="44">
        <v>8430</v>
      </c>
      <c r="P28" s="39">
        <v>2002</v>
      </c>
      <c r="Q28" s="44">
        <v>29468</v>
      </c>
      <c r="R28" s="39">
        <v>2006</v>
      </c>
      <c r="S28" s="44">
        <v>5183</v>
      </c>
      <c r="T28" s="45">
        <f t="shared" ref="T28:T38" si="5">SUM(S28,Q28,O28,M28,I28)</f>
        <v>128760</v>
      </c>
      <c r="U28" s="46">
        <v>1</v>
      </c>
      <c r="V28" s="38">
        <v>1980</v>
      </c>
      <c r="W28" s="47">
        <f>SUM(T28*$AB$2)</f>
        <v>48285000</v>
      </c>
      <c r="X28" s="48"/>
      <c r="Y28" s="48"/>
      <c r="Z28" s="48"/>
      <c r="AA28" s="39"/>
      <c r="AB28" s="39"/>
      <c r="AC28" s="39"/>
      <c r="AD28" s="38"/>
      <c r="AE28" s="39"/>
    </row>
    <row r="29" spans="1:31" ht="15" x14ac:dyDescent="0.2">
      <c r="A29" s="36"/>
      <c r="B29" s="62" t="s">
        <v>59</v>
      </c>
      <c r="C29" s="38"/>
      <c r="D29" s="39"/>
      <c r="E29" s="39"/>
      <c r="F29" s="39"/>
      <c r="G29" s="39"/>
      <c r="H29" s="38"/>
      <c r="I29" s="46">
        <v>1320</v>
      </c>
      <c r="J29" s="42">
        <v>1980</v>
      </c>
      <c r="K29" s="42"/>
      <c r="L29" s="39">
        <v>2005</v>
      </c>
      <c r="M29" s="43"/>
      <c r="N29" s="39"/>
      <c r="O29" s="44"/>
      <c r="P29" s="39"/>
      <c r="Q29" s="44"/>
      <c r="R29" s="39"/>
      <c r="S29" s="44"/>
      <c r="T29" s="45">
        <f t="shared" si="5"/>
        <v>1320</v>
      </c>
      <c r="U29" s="46"/>
      <c r="V29" s="38"/>
      <c r="W29" s="47">
        <f>AD2</f>
        <v>200000</v>
      </c>
      <c r="X29" s="48"/>
      <c r="Y29" s="48"/>
      <c r="Z29" s="48"/>
      <c r="AA29" s="39"/>
      <c r="AB29" s="39"/>
      <c r="AC29" s="39"/>
      <c r="AD29" s="38"/>
      <c r="AE29" s="92" t="e">
        <f t="shared" ref="AE29:AE30" si="6">SUM(#REF!)</f>
        <v>#REF!</v>
      </c>
    </row>
    <row r="30" spans="1:31" ht="15" x14ac:dyDescent="0.2">
      <c r="A30" s="36"/>
      <c r="B30" s="62" t="s">
        <v>60</v>
      </c>
      <c r="C30" s="38"/>
      <c r="D30" s="39"/>
      <c r="E30" s="39"/>
      <c r="F30" s="39"/>
      <c r="G30" s="39"/>
      <c r="H30" s="38"/>
      <c r="I30" s="46">
        <v>1440</v>
      </c>
      <c r="J30" s="42">
        <v>2005</v>
      </c>
      <c r="K30" s="42"/>
      <c r="L30" s="39"/>
      <c r="M30" s="43"/>
      <c r="N30" s="39"/>
      <c r="O30" s="44"/>
      <c r="P30" s="39"/>
      <c r="Q30" s="44"/>
      <c r="R30" s="39"/>
      <c r="S30" s="44"/>
      <c r="T30" s="45">
        <f t="shared" si="5"/>
        <v>1440</v>
      </c>
      <c r="U30" s="46"/>
      <c r="V30" s="38"/>
      <c r="W30" s="47">
        <f>AD2</f>
        <v>200000</v>
      </c>
      <c r="X30" s="48"/>
      <c r="Y30" s="48"/>
      <c r="Z30" s="48"/>
      <c r="AA30" s="39"/>
      <c r="AB30" s="39"/>
      <c r="AC30" s="39"/>
      <c r="AD30" s="38"/>
      <c r="AE30" s="92" t="e">
        <f t="shared" si="6"/>
        <v>#REF!</v>
      </c>
    </row>
    <row r="31" spans="1:31" ht="15" x14ac:dyDescent="0.2">
      <c r="A31" s="36"/>
      <c r="B31" s="62" t="s">
        <v>61</v>
      </c>
      <c r="C31" s="38"/>
      <c r="D31" s="39"/>
      <c r="E31" s="39"/>
      <c r="F31" s="39"/>
      <c r="G31" s="39"/>
      <c r="H31" s="38"/>
      <c r="I31" s="46">
        <v>1440</v>
      </c>
      <c r="J31" s="42">
        <v>2005</v>
      </c>
      <c r="K31" s="42"/>
      <c r="L31" s="39"/>
      <c r="M31" s="43"/>
      <c r="N31" s="39"/>
      <c r="O31" s="44"/>
      <c r="P31" s="39"/>
      <c r="Q31" s="44"/>
      <c r="R31" s="39"/>
      <c r="S31" s="44"/>
      <c r="T31" s="45">
        <f t="shared" si="5"/>
        <v>1440</v>
      </c>
      <c r="U31" s="46"/>
      <c r="V31" s="38"/>
      <c r="W31" s="47">
        <f>AD2</f>
        <v>200000</v>
      </c>
      <c r="X31" s="48"/>
      <c r="Y31" s="48"/>
      <c r="Z31" s="48"/>
      <c r="AA31" s="39"/>
      <c r="AB31" s="39"/>
      <c r="AC31" s="39"/>
      <c r="AD31" s="38"/>
      <c r="AE31" s="39"/>
    </row>
    <row r="32" spans="1:31" ht="15" x14ac:dyDescent="0.2">
      <c r="A32" s="36"/>
      <c r="B32" s="62" t="s">
        <v>62</v>
      </c>
      <c r="C32" s="38"/>
      <c r="D32" s="39"/>
      <c r="E32" s="39"/>
      <c r="F32" s="39"/>
      <c r="G32" s="39"/>
      <c r="H32" s="38"/>
      <c r="I32" s="46">
        <v>1440</v>
      </c>
      <c r="J32" s="42">
        <v>1993</v>
      </c>
      <c r="K32" s="42"/>
      <c r="L32" s="39"/>
      <c r="M32" s="43"/>
      <c r="N32" s="39"/>
      <c r="O32" s="44"/>
      <c r="P32" s="39"/>
      <c r="Q32" s="44"/>
      <c r="R32" s="39"/>
      <c r="S32" s="44"/>
      <c r="T32" s="45">
        <f t="shared" si="5"/>
        <v>1440</v>
      </c>
      <c r="U32" s="46"/>
      <c r="V32" s="38"/>
      <c r="W32" s="47">
        <f>AD2</f>
        <v>200000</v>
      </c>
      <c r="X32" s="48"/>
      <c r="Y32" s="48"/>
      <c r="Z32" s="48"/>
      <c r="AA32" s="39"/>
      <c r="AB32" s="39"/>
      <c r="AC32" s="39"/>
      <c r="AD32" s="38"/>
      <c r="AE32" s="39"/>
    </row>
    <row r="33" spans="1:31" ht="15" x14ac:dyDescent="0.2">
      <c r="A33" s="36"/>
      <c r="B33" s="62" t="s">
        <v>63</v>
      </c>
      <c r="C33" s="38"/>
      <c r="D33" s="39"/>
      <c r="E33" s="39"/>
      <c r="F33" s="39"/>
      <c r="G33" s="39"/>
      <c r="H33" s="38"/>
      <c r="I33" s="46">
        <v>576</v>
      </c>
      <c r="J33" s="42">
        <v>1976</v>
      </c>
      <c r="K33" s="42"/>
      <c r="L33" s="39"/>
      <c r="M33" s="43"/>
      <c r="N33" s="39"/>
      <c r="O33" s="44"/>
      <c r="P33" s="39"/>
      <c r="Q33" s="44"/>
      <c r="R33" s="39"/>
      <c r="S33" s="44"/>
      <c r="T33" s="45">
        <f t="shared" si="5"/>
        <v>576</v>
      </c>
      <c r="U33" s="46"/>
      <c r="V33" s="38"/>
      <c r="W33" s="47">
        <v>13500</v>
      </c>
      <c r="X33" s="48"/>
      <c r="Y33" s="48"/>
      <c r="Z33" s="48"/>
      <c r="AA33" s="39"/>
      <c r="AB33" s="39"/>
      <c r="AC33" s="39"/>
      <c r="AD33" s="38"/>
      <c r="AE33" s="39"/>
    </row>
    <row r="34" spans="1:31" ht="15" x14ac:dyDescent="0.2">
      <c r="A34" s="36"/>
      <c r="B34" s="62" t="s">
        <v>64</v>
      </c>
      <c r="C34" s="38"/>
      <c r="D34" s="39"/>
      <c r="E34" s="39"/>
      <c r="F34" s="39"/>
      <c r="G34" s="39"/>
      <c r="H34" s="38"/>
      <c r="I34" s="46">
        <v>384</v>
      </c>
      <c r="J34" s="42">
        <v>2001</v>
      </c>
      <c r="K34" s="42"/>
      <c r="L34" s="39"/>
      <c r="M34" s="43"/>
      <c r="N34" s="39"/>
      <c r="O34" s="44"/>
      <c r="P34" s="39"/>
      <c r="Q34" s="44"/>
      <c r="R34" s="39"/>
      <c r="S34" s="44"/>
      <c r="T34" s="45">
        <f t="shared" si="5"/>
        <v>384</v>
      </c>
      <c r="U34" s="46"/>
      <c r="V34" s="38"/>
      <c r="W34" s="47">
        <f>SUM(T34*($AB$2/2))</f>
        <v>72000</v>
      </c>
      <c r="X34" s="48"/>
      <c r="Y34" s="48"/>
      <c r="Z34" s="48"/>
      <c r="AA34" s="39"/>
      <c r="AB34" s="39"/>
      <c r="AC34" s="39"/>
      <c r="AD34" s="38"/>
      <c r="AE34" s="39"/>
    </row>
    <row r="35" spans="1:31" ht="15" x14ac:dyDescent="0.2">
      <c r="A35" s="36"/>
      <c r="B35" s="62" t="s">
        <v>65</v>
      </c>
      <c r="C35" s="38"/>
      <c r="D35" s="39"/>
      <c r="E35" s="39"/>
      <c r="F35" s="39"/>
      <c r="G35" s="39"/>
      <c r="H35" s="38"/>
      <c r="I35" s="46">
        <v>1200</v>
      </c>
      <c r="J35" s="42">
        <v>2001</v>
      </c>
      <c r="K35" s="42"/>
      <c r="L35" s="39"/>
      <c r="M35" s="43"/>
      <c r="N35" s="39"/>
      <c r="O35" s="44"/>
      <c r="P35" s="39"/>
      <c r="Q35" s="44"/>
      <c r="R35" s="39"/>
      <c r="S35" s="44"/>
      <c r="T35" s="45">
        <f t="shared" si="5"/>
        <v>1200</v>
      </c>
      <c r="U35" s="46"/>
      <c r="V35" s="38"/>
      <c r="W35" s="47">
        <f t="shared" ref="W35:W36" si="7">SUM(T35*$AB$2)</f>
        <v>450000</v>
      </c>
      <c r="X35" s="48"/>
      <c r="Y35" s="48"/>
      <c r="Z35" s="48"/>
      <c r="AA35" s="39"/>
      <c r="AB35" s="39"/>
      <c r="AC35" s="39"/>
      <c r="AD35" s="38"/>
      <c r="AE35" s="39"/>
    </row>
    <row r="36" spans="1:31" ht="15" x14ac:dyDescent="0.2">
      <c r="A36" s="36"/>
      <c r="B36" s="62" t="s">
        <v>66</v>
      </c>
      <c r="C36" s="38"/>
      <c r="D36" s="39"/>
      <c r="E36" s="39"/>
      <c r="F36" s="39"/>
      <c r="G36" s="39"/>
      <c r="H36" s="38"/>
      <c r="I36" s="46">
        <v>1230</v>
      </c>
      <c r="J36" s="42">
        <v>2002</v>
      </c>
      <c r="K36" s="42"/>
      <c r="L36" s="39"/>
      <c r="M36" s="43"/>
      <c r="N36" s="39"/>
      <c r="O36" s="44"/>
      <c r="P36" s="39"/>
      <c r="Q36" s="44"/>
      <c r="R36" s="39"/>
      <c r="S36" s="44"/>
      <c r="T36" s="45">
        <f t="shared" si="5"/>
        <v>1230</v>
      </c>
      <c r="U36" s="46"/>
      <c r="V36" s="38"/>
      <c r="W36" s="47">
        <f t="shared" si="7"/>
        <v>461250</v>
      </c>
      <c r="X36" s="48"/>
      <c r="Y36" s="48"/>
      <c r="Z36" s="48"/>
      <c r="AA36" s="39"/>
      <c r="AB36" s="39"/>
      <c r="AC36" s="39"/>
      <c r="AD36" s="38"/>
      <c r="AE36" s="39"/>
    </row>
    <row r="37" spans="1:31" ht="15" x14ac:dyDescent="0.2">
      <c r="A37" s="36"/>
      <c r="B37" s="62" t="s">
        <v>67</v>
      </c>
      <c r="C37" s="38"/>
      <c r="D37" s="39"/>
      <c r="E37" s="39"/>
      <c r="F37" s="39"/>
      <c r="G37" s="39"/>
      <c r="H37" s="38"/>
      <c r="I37" s="46">
        <v>576</v>
      </c>
      <c r="J37" s="42">
        <v>2002</v>
      </c>
      <c r="K37" s="42"/>
      <c r="L37" s="39"/>
      <c r="M37" s="43"/>
      <c r="N37" s="39"/>
      <c r="O37" s="44"/>
      <c r="P37" s="39"/>
      <c r="Q37" s="44"/>
      <c r="R37" s="39"/>
      <c r="S37" s="44"/>
      <c r="T37" s="45">
        <f t="shared" si="5"/>
        <v>576</v>
      </c>
      <c r="U37" s="46"/>
      <c r="V37" s="38"/>
      <c r="W37" s="47">
        <v>18000</v>
      </c>
      <c r="X37" s="48"/>
      <c r="Y37" s="48"/>
      <c r="Z37" s="48"/>
      <c r="AA37" s="39"/>
      <c r="AB37" s="39"/>
      <c r="AC37" s="39"/>
      <c r="AD37" s="38"/>
      <c r="AE37" s="39"/>
    </row>
    <row r="38" spans="1:31" ht="15" x14ac:dyDescent="0.2">
      <c r="A38" s="36"/>
      <c r="B38" s="62" t="s">
        <v>68</v>
      </c>
      <c r="C38" s="38"/>
      <c r="D38" s="39"/>
      <c r="E38" s="39"/>
      <c r="F38" s="39"/>
      <c r="G38" s="39"/>
      <c r="H38" s="38"/>
      <c r="I38" s="46">
        <v>574</v>
      </c>
      <c r="J38" s="42">
        <v>2002</v>
      </c>
      <c r="K38" s="42"/>
      <c r="L38" s="39"/>
      <c r="M38" s="43"/>
      <c r="N38" s="39"/>
      <c r="O38" s="44"/>
      <c r="P38" s="39"/>
      <c r="Q38" s="44"/>
      <c r="R38" s="39"/>
      <c r="S38" s="44"/>
      <c r="T38" s="45">
        <f t="shared" si="5"/>
        <v>574</v>
      </c>
      <c r="U38" s="46"/>
      <c r="V38" s="38"/>
      <c r="W38" s="47">
        <f>SUM(T38*$AB$2)</f>
        <v>215250</v>
      </c>
      <c r="X38" s="48"/>
      <c r="Y38" s="48"/>
      <c r="Z38" s="48"/>
      <c r="AA38" s="39"/>
      <c r="AB38" s="39"/>
      <c r="AC38" s="39"/>
      <c r="AD38" s="38"/>
      <c r="AE38" s="39"/>
    </row>
    <row r="39" spans="1:31" ht="15" x14ac:dyDescent="0.2">
      <c r="A39" s="93" t="s">
        <v>69</v>
      </c>
      <c r="B39" s="94"/>
      <c r="C39" s="95" t="s">
        <v>70</v>
      </c>
      <c r="D39" s="96">
        <v>5331301008</v>
      </c>
      <c r="E39" s="97">
        <v>5.96</v>
      </c>
      <c r="F39" s="94"/>
      <c r="G39" s="97"/>
      <c r="H39" s="98">
        <f>SUM(G39,E39)</f>
        <v>5.96</v>
      </c>
      <c r="I39" s="99"/>
      <c r="J39" s="100"/>
      <c r="K39" s="100"/>
      <c r="L39" s="97"/>
      <c r="M39" s="101"/>
      <c r="N39" s="97"/>
      <c r="O39" s="99"/>
      <c r="P39" s="94"/>
      <c r="Q39" s="99"/>
      <c r="R39" s="94"/>
      <c r="S39" s="99"/>
      <c r="T39" s="102"/>
      <c r="U39" s="99"/>
      <c r="V39" s="103"/>
      <c r="W39" s="104"/>
      <c r="X39" s="99"/>
      <c r="Y39" s="99"/>
      <c r="Z39" s="99"/>
      <c r="AA39" s="94"/>
      <c r="AB39" s="94"/>
      <c r="AC39" s="94"/>
      <c r="AD39" s="103"/>
      <c r="AE39" s="94"/>
    </row>
    <row r="40" spans="1:31" ht="15" x14ac:dyDescent="0.2">
      <c r="A40" s="36"/>
      <c r="B40" s="62" t="s">
        <v>71</v>
      </c>
      <c r="C40" s="38"/>
      <c r="D40" s="39"/>
      <c r="E40" s="39"/>
      <c r="F40" s="39"/>
      <c r="G40" s="39"/>
      <c r="H40" s="38"/>
      <c r="I40" s="46">
        <v>20000</v>
      </c>
      <c r="J40" s="63">
        <v>1998</v>
      </c>
      <c r="K40" s="42">
        <v>1</v>
      </c>
      <c r="L40" s="42">
        <v>2020</v>
      </c>
      <c r="M40" s="43">
        <v>20000</v>
      </c>
      <c r="N40" s="39"/>
      <c r="O40" s="44"/>
      <c r="P40" s="39"/>
      <c r="Q40" s="44"/>
      <c r="R40" s="39"/>
      <c r="S40" s="44"/>
      <c r="T40" s="45">
        <f>SUM(S40,Q40,O40,M40,I40)</f>
        <v>40000</v>
      </c>
      <c r="U40" s="46"/>
      <c r="V40" s="105" t="s">
        <v>72</v>
      </c>
      <c r="W40" s="47">
        <f>SUM(T40*$AC$2)</f>
        <v>8400000</v>
      </c>
      <c r="X40" s="48"/>
      <c r="Y40" s="48"/>
      <c r="Z40" s="48"/>
      <c r="AA40" s="39"/>
      <c r="AB40" s="39"/>
      <c r="AC40" s="39"/>
      <c r="AD40" s="38"/>
      <c r="AE40" s="39"/>
    </row>
    <row r="41" spans="1:31" ht="15" x14ac:dyDescent="0.2">
      <c r="A41" s="106"/>
      <c r="B41" s="107" t="s">
        <v>73</v>
      </c>
      <c r="C41" s="38"/>
      <c r="D41" s="39"/>
      <c r="E41" s="39"/>
      <c r="F41" s="39"/>
      <c r="G41" s="39"/>
      <c r="H41" s="38"/>
      <c r="I41" s="46"/>
      <c r="J41" s="63"/>
      <c r="K41" s="42"/>
      <c r="L41" s="42"/>
      <c r="M41" s="43"/>
      <c r="N41" s="39"/>
      <c r="O41" s="44"/>
      <c r="P41" s="39"/>
      <c r="Q41" s="44"/>
      <c r="R41" s="39"/>
      <c r="S41" s="44"/>
      <c r="T41" s="45"/>
      <c r="U41" s="46"/>
      <c r="V41" s="38"/>
      <c r="W41" s="47"/>
      <c r="X41" s="48"/>
      <c r="Y41" s="48"/>
      <c r="Z41" s="48"/>
      <c r="AA41" s="39"/>
      <c r="AB41" s="39"/>
      <c r="AC41" s="39"/>
      <c r="AD41" s="38"/>
      <c r="AE41" s="39"/>
    </row>
    <row r="42" spans="1:31" ht="15" x14ac:dyDescent="0.2">
      <c r="A42" s="79" t="s">
        <v>74</v>
      </c>
      <c r="B42" s="80"/>
      <c r="C42" s="81" t="s">
        <v>75</v>
      </c>
      <c r="D42" s="82">
        <v>5406107016</v>
      </c>
      <c r="E42" s="83">
        <v>15</v>
      </c>
      <c r="F42" s="82">
        <v>5406107015</v>
      </c>
      <c r="G42" s="83">
        <v>5</v>
      </c>
      <c r="H42" s="84">
        <f>SUM(G42,E42)</f>
        <v>20</v>
      </c>
      <c r="I42" s="85"/>
      <c r="J42" s="86"/>
      <c r="K42" s="86"/>
      <c r="L42" s="83"/>
      <c r="M42" s="87"/>
      <c r="N42" s="83"/>
      <c r="O42" s="85"/>
      <c r="P42" s="80"/>
      <c r="Q42" s="85"/>
      <c r="R42" s="80"/>
      <c r="S42" s="85"/>
      <c r="T42" s="88"/>
      <c r="U42" s="85"/>
      <c r="V42" s="89"/>
      <c r="W42" s="90"/>
      <c r="X42" s="91">
        <v>575</v>
      </c>
      <c r="Y42" s="91">
        <v>500</v>
      </c>
      <c r="Z42" s="91">
        <v>1100</v>
      </c>
      <c r="AA42" s="80"/>
      <c r="AB42" s="80"/>
      <c r="AC42" s="80"/>
      <c r="AD42" s="89"/>
      <c r="AE42" s="80"/>
    </row>
    <row r="43" spans="1:31" ht="15" x14ac:dyDescent="0.2">
      <c r="A43" s="36"/>
      <c r="B43" s="37" t="s">
        <v>76</v>
      </c>
      <c r="C43" s="38"/>
      <c r="D43" s="39"/>
      <c r="E43" s="39"/>
      <c r="F43" s="39"/>
      <c r="G43" s="39"/>
      <c r="H43" s="38"/>
      <c r="I43" s="46">
        <v>53019</v>
      </c>
      <c r="J43" s="42">
        <v>1985</v>
      </c>
      <c r="K43" s="42">
        <v>1</v>
      </c>
      <c r="L43" s="39">
        <v>2003</v>
      </c>
      <c r="M43" s="43">
        <v>13416</v>
      </c>
      <c r="N43" s="39">
        <v>2017</v>
      </c>
      <c r="O43" s="44">
        <v>795</v>
      </c>
      <c r="P43" s="39"/>
      <c r="Q43" s="44"/>
      <c r="R43" s="39"/>
      <c r="S43" s="44"/>
      <c r="T43" s="45">
        <f t="shared" ref="T43:T52" si="8">SUM(S43,Q43,O43,M43,I43)</f>
        <v>67230</v>
      </c>
      <c r="U43" s="46"/>
      <c r="V43" s="38"/>
      <c r="W43" s="47">
        <f>SUM(T43*$AB$2)</f>
        <v>25211250</v>
      </c>
      <c r="X43" s="48"/>
      <c r="Y43" s="48"/>
      <c r="Z43" s="48"/>
      <c r="AA43" s="39"/>
      <c r="AB43" s="39"/>
      <c r="AC43" s="39"/>
      <c r="AD43" s="38"/>
      <c r="AE43" s="39"/>
    </row>
    <row r="44" spans="1:31" ht="15" x14ac:dyDescent="0.2">
      <c r="A44" s="36"/>
      <c r="B44" s="62" t="s">
        <v>77</v>
      </c>
      <c r="C44" s="38"/>
      <c r="D44" s="39"/>
      <c r="E44" s="39"/>
      <c r="F44" s="39"/>
      <c r="G44" s="39"/>
      <c r="H44" s="38"/>
      <c r="I44" s="46">
        <v>1440</v>
      </c>
      <c r="J44" s="42">
        <v>1991</v>
      </c>
      <c r="K44" s="42"/>
      <c r="L44" s="39"/>
      <c r="M44" s="43"/>
      <c r="N44" s="39"/>
      <c r="O44" s="44"/>
      <c r="P44" s="39"/>
      <c r="Q44" s="44"/>
      <c r="R44" s="39"/>
      <c r="S44" s="44"/>
      <c r="T44" s="45">
        <f t="shared" si="8"/>
        <v>1440</v>
      </c>
      <c r="U44" s="46"/>
      <c r="V44" s="38"/>
      <c r="W44" s="47">
        <f t="shared" ref="W44:W47" si="9">$AD$2</f>
        <v>200000</v>
      </c>
      <c r="X44" s="48"/>
      <c r="Y44" s="48"/>
      <c r="Z44" s="48"/>
      <c r="AA44" s="39"/>
      <c r="AB44" s="39"/>
      <c r="AC44" s="39"/>
      <c r="AD44" s="38"/>
      <c r="AE44" s="39"/>
    </row>
    <row r="45" spans="1:31" ht="15" x14ac:dyDescent="0.2">
      <c r="A45" s="36"/>
      <c r="B45" s="62" t="s">
        <v>78</v>
      </c>
      <c r="C45" s="38"/>
      <c r="D45" s="39"/>
      <c r="E45" s="39"/>
      <c r="F45" s="39"/>
      <c r="G45" s="39"/>
      <c r="H45" s="38"/>
      <c r="I45" s="46">
        <v>1440</v>
      </c>
      <c r="J45" s="42">
        <v>1993</v>
      </c>
      <c r="K45" s="42"/>
      <c r="L45" s="39"/>
      <c r="M45" s="43"/>
      <c r="N45" s="39"/>
      <c r="O45" s="44"/>
      <c r="P45" s="39"/>
      <c r="Q45" s="44"/>
      <c r="R45" s="39"/>
      <c r="S45" s="44"/>
      <c r="T45" s="45">
        <f t="shared" si="8"/>
        <v>1440</v>
      </c>
      <c r="U45" s="46"/>
      <c r="V45" s="38"/>
      <c r="W45" s="47">
        <f t="shared" si="9"/>
        <v>200000</v>
      </c>
      <c r="X45" s="48"/>
      <c r="Y45" s="48"/>
      <c r="Z45" s="48"/>
      <c r="AA45" s="39"/>
      <c r="AB45" s="39"/>
      <c r="AC45" s="39"/>
      <c r="AD45" s="38"/>
      <c r="AE45" s="39"/>
    </row>
    <row r="46" spans="1:31" ht="15" x14ac:dyDescent="0.2">
      <c r="A46" s="36"/>
      <c r="B46" s="62" t="s">
        <v>79</v>
      </c>
      <c r="C46" s="38"/>
      <c r="D46" s="39"/>
      <c r="E46" s="39"/>
      <c r="F46" s="39"/>
      <c r="G46" s="39"/>
      <c r="H46" s="38"/>
      <c r="I46" s="46">
        <v>1440</v>
      </c>
      <c r="J46" s="42">
        <v>1993</v>
      </c>
      <c r="K46" s="42"/>
      <c r="L46" s="39">
        <v>1997</v>
      </c>
      <c r="M46" s="43"/>
      <c r="N46" s="39"/>
      <c r="O46" s="44"/>
      <c r="P46" s="39"/>
      <c r="Q46" s="44"/>
      <c r="R46" s="39"/>
      <c r="S46" s="44"/>
      <c r="T46" s="45">
        <f t="shared" si="8"/>
        <v>1440</v>
      </c>
      <c r="U46" s="39"/>
      <c r="V46" s="38"/>
      <c r="W46" s="47">
        <f t="shared" si="9"/>
        <v>200000</v>
      </c>
      <c r="X46" s="48"/>
      <c r="Y46" s="48"/>
      <c r="Z46" s="48"/>
      <c r="AA46" s="39"/>
      <c r="AB46" s="39"/>
      <c r="AC46" s="39"/>
      <c r="AD46" s="38"/>
      <c r="AE46" s="39"/>
    </row>
    <row r="47" spans="1:31" ht="15" x14ac:dyDescent="0.2">
      <c r="A47" s="36"/>
      <c r="B47" s="62" t="s">
        <v>80</v>
      </c>
      <c r="C47" s="38"/>
      <c r="D47" s="39"/>
      <c r="E47" s="39"/>
      <c r="F47" s="39"/>
      <c r="G47" s="44"/>
      <c r="H47" s="38"/>
      <c r="I47" s="46">
        <v>1440</v>
      </c>
      <c r="J47" s="42">
        <v>1998</v>
      </c>
      <c r="K47" s="42"/>
      <c r="L47" s="39">
        <v>2001</v>
      </c>
      <c r="M47" s="43"/>
      <c r="N47" s="39"/>
      <c r="O47" s="44"/>
      <c r="P47" s="39"/>
      <c r="Q47" s="44"/>
      <c r="R47" s="39"/>
      <c r="S47" s="44"/>
      <c r="T47" s="45">
        <f t="shared" si="8"/>
        <v>1440</v>
      </c>
      <c r="U47" s="46"/>
      <c r="V47" s="38"/>
      <c r="W47" s="47">
        <f t="shared" si="9"/>
        <v>200000</v>
      </c>
      <c r="X47" s="48"/>
      <c r="Y47" s="48"/>
      <c r="Z47" s="48"/>
      <c r="AA47" s="39"/>
      <c r="AB47" s="39"/>
      <c r="AC47" s="39"/>
      <c r="AD47" s="38"/>
      <c r="AE47" s="39"/>
    </row>
    <row r="48" spans="1:31" ht="15" x14ac:dyDescent="0.2">
      <c r="A48" s="36"/>
      <c r="B48" s="62" t="s">
        <v>81</v>
      </c>
      <c r="C48" s="38"/>
      <c r="D48" s="39"/>
      <c r="E48" s="39"/>
      <c r="F48" s="39"/>
      <c r="G48" s="39"/>
      <c r="H48" s="38"/>
      <c r="I48" s="46">
        <v>13104</v>
      </c>
      <c r="J48" s="42">
        <v>1987</v>
      </c>
      <c r="K48" s="42"/>
      <c r="L48" s="39"/>
      <c r="M48" s="43"/>
      <c r="N48" s="39"/>
      <c r="O48" s="44"/>
      <c r="P48" s="39"/>
      <c r="Q48" s="44"/>
      <c r="R48" s="39"/>
      <c r="S48" s="44"/>
      <c r="T48" s="45">
        <f t="shared" si="8"/>
        <v>13104</v>
      </c>
      <c r="U48" s="46">
        <f>M63*AB2</f>
        <v>7590000</v>
      </c>
      <c r="V48" s="38"/>
      <c r="W48" s="47">
        <f t="shared" ref="W48:W50" si="10">SUM(T48*101.46)</f>
        <v>1329531.8399999999</v>
      </c>
      <c r="X48" s="48"/>
      <c r="Y48" s="48"/>
      <c r="Z48" s="48"/>
      <c r="AA48" s="39"/>
      <c r="AB48" s="39"/>
      <c r="AC48" s="39"/>
      <c r="AD48" s="38"/>
      <c r="AE48" s="39"/>
    </row>
    <row r="49" spans="1:31" ht="15" x14ac:dyDescent="0.2">
      <c r="A49" s="36"/>
      <c r="B49" s="62" t="s">
        <v>82</v>
      </c>
      <c r="C49" s="38"/>
      <c r="D49" s="39"/>
      <c r="E49" s="39"/>
      <c r="F49" s="39"/>
      <c r="G49" s="39"/>
      <c r="H49" s="38"/>
      <c r="I49" s="46">
        <v>13104</v>
      </c>
      <c r="J49" s="42">
        <v>2000</v>
      </c>
      <c r="K49" s="42"/>
      <c r="L49" s="39"/>
      <c r="M49" s="43"/>
      <c r="N49" s="39"/>
      <c r="O49" s="44"/>
      <c r="P49" s="39"/>
      <c r="Q49" s="44"/>
      <c r="R49" s="39"/>
      <c r="S49" s="44"/>
      <c r="T49" s="45">
        <f t="shared" si="8"/>
        <v>13104</v>
      </c>
      <c r="U49" s="46"/>
      <c r="V49" s="38"/>
      <c r="W49" s="47">
        <f t="shared" si="10"/>
        <v>1329531.8399999999</v>
      </c>
      <c r="X49" s="48"/>
      <c r="Y49" s="48"/>
      <c r="Z49" s="48"/>
      <c r="AA49" s="39"/>
      <c r="AB49" s="39"/>
      <c r="AC49" s="39"/>
      <c r="AD49" s="38"/>
      <c r="AE49" s="39"/>
    </row>
    <row r="50" spans="1:31" ht="15" x14ac:dyDescent="0.2">
      <c r="A50" s="36"/>
      <c r="B50" s="62" t="s">
        <v>83</v>
      </c>
      <c r="C50" s="38"/>
      <c r="D50" s="39"/>
      <c r="E50" s="39"/>
      <c r="F50" s="39"/>
      <c r="G50" s="39"/>
      <c r="H50" s="38"/>
      <c r="I50" s="46">
        <v>10080</v>
      </c>
      <c r="J50" s="42"/>
      <c r="K50" s="42"/>
      <c r="L50" s="39"/>
      <c r="M50" s="43"/>
      <c r="N50" s="39"/>
      <c r="O50" s="44"/>
      <c r="P50" s="39"/>
      <c r="Q50" s="44"/>
      <c r="R50" s="39"/>
      <c r="S50" s="44"/>
      <c r="T50" s="45">
        <f t="shared" si="8"/>
        <v>10080</v>
      </c>
      <c r="U50" s="46"/>
      <c r="V50" s="38"/>
      <c r="W50" s="47">
        <f t="shared" si="10"/>
        <v>1022716.7999999999</v>
      </c>
      <c r="X50" s="48"/>
      <c r="Y50" s="48"/>
      <c r="Z50" s="48"/>
      <c r="AA50" s="39"/>
      <c r="AB50" s="39"/>
      <c r="AC50" s="39"/>
      <c r="AD50" s="38"/>
      <c r="AE50" s="39"/>
    </row>
    <row r="51" spans="1:31" ht="15" x14ac:dyDescent="0.2">
      <c r="A51" s="36"/>
      <c r="B51" s="62" t="s">
        <v>84</v>
      </c>
      <c r="C51" s="38"/>
      <c r="D51" s="39"/>
      <c r="E51" s="39"/>
      <c r="F51" s="39"/>
      <c r="G51" s="39"/>
      <c r="H51" s="38"/>
      <c r="I51" s="46">
        <v>720</v>
      </c>
      <c r="J51" s="42">
        <v>1985</v>
      </c>
      <c r="K51" s="42"/>
      <c r="L51" s="39"/>
      <c r="M51" s="43"/>
      <c r="N51" s="39"/>
      <c r="O51" s="44"/>
      <c r="P51" s="39"/>
      <c r="Q51" s="44"/>
      <c r="R51" s="39"/>
      <c r="S51" s="44"/>
      <c r="T51" s="45">
        <f t="shared" si="8"/>
        <v>720</v>
      </c>
      <c r="U51" s="46"/>
      <c r="V51" s="38"/>
      <c r="W51" s="47">
        <v>15750</v>
      </c>
      <c r="X51" s="48"/>
      <c r="Y51" s="48"/>
      <c r="Z51" s="48"/>
      <c r="AA51" s="39"/>
      <c r="AB51" s="39"/>
      <c r="AC51" s="39"/>
      <c r="AD51" s="38"/>
      <c r="AE51" s="39"/>
    </row>
    <row r="52" spans="1:31" ht="15" x14ac:dyDescent="0.2">
      <c r="A52" s="36"/>
      <c r="B52" s="62" t="s">
        <v>85</v>
      </c>
      <c r="C52" s="38"/>
      <c r="D52" s="39"/>
      <c r="E52" s="39"/>
      <c r="F52" s="39"/>
      <c r="G52" s="39"/>
      <c r="H52" s="38"/>
      <c r="I52" s="46">
        <v>1152</v>
      </c>
      <c r="J52" s="42">
        <v>2016</v>
      </c>
      <c r="K52" s="42"/>
      <c r="L52" s="39"/>
      <c r="M52" s="43"/>
      <c r="N52" s="39"/>
      <c r="O52" s="44"/>
      <c r="P52" s="39"/>
      <c r="Q52" s="44"/>
      <c r="R52" s="39"/>
      <c r="S52" s="44"/>
      <c r="T52" s="45">
        <f t="shared" si="8"/>
        <v>1152</v>
      </c>
      <c r="U52" s="46"/>
      <c r="V52" s="38"/>
      <c r="W52" s="61"/>
      <c r="X52" s="44"/>
      <c r="Y52" s="44"/>
      <c r="Z52" s="44"/>
      <c r="AA52" s="39"/>
      <c r="AB52" s="39"/>
      <c r="AC52" s="39"/>
      <c r="AD52" s="38"/>
      <c r="AE52" s="39"/>
    </row>
    <row r="53" spans="1:31" ht="15" x14ac:dyDescent="0.2">
      <c r="A53" s="22" t="s">
        <v>86</v>
      </c>
      <c r="B53" s="23"/>
      <c r="C53" s="24" t="s">
        <v>87</v>
      </c>
      <c r="D53" s="25">
        <v>5310301004</v>
      </c>
      <c r="E53" s="26">
        <v>7.7</v>
      </c>
      <c r="F53" s="23"/>
      <c r="G53" s="26"/>
      <c r="H53" s="27">
        <f>SUM(G53,E53)</f>
        <v>7.7</v>
      </c>
      <c r="I53" s="28"/>
      <c r="J53" s="29"/>
      <c r="K53" s="29"/>
      <c r="L53" s="26"/>
      <c r="M53" s="31"/>
      <c r="N53" s="26"/>
      <c r="O53" s="28"/>
      <c r="P53" s="23"/>
      <c r="Q53" s="28"/>
      <c r="R53" s="23"/>
      <c r="S53" s="28"/>
      <c r="T53" s="32"/>
      <c r="U53" s="28"/>
      <c r="V53" s="33"/>
      <c r="W53" s="34"/>
      <c r="X53" s="35">
        <v>620</v>
      </c>
      <c r="Y53" s="35">
        <v>0</v>
      </c>
      <c r="Z53" s="35">
        <v>620</v>
      </c>
      <c r="AA53" s="23"/>
      <c r="AB53" s="23"/>
      <c r="AC53" s="23"/>
      <c r="AD53" s="33"/>
      <c r="AE53" s="23"/>
    </row>
    <row r="54" spans="1:31" ht="15" x14ac:dyDescent="0.2">
      <c r="A54" s="36"/>
      <c r="B54" s="37" t="s">
        <v>88</v>
      </c>
      <c r="C54" s="38"/>
      <c r="D54" s="39"/>
      <c r="E54" s="39"/>
      <c r="F54" s="39"/>
      <c r="G54" s="39"/>
      <c r="H54" s="38"/>
      <c r="I54" s="46">
        <v>70554</v>
      </c>
      <c r="J54" s="42">
        <v>2019</v>
      </c>
      <c r="K54" s="42"/>
      <c r="L54" s="39"/>
      <c r="M54" s="43"/>
      <c r="N54" s="39"/>
      <c r="O54" s="44"/>
      <c r="P54" s="39"/>
      <c r="Q54" s="44"/>
      <c r="R54" s="39"/>
      <c r="S54" s="44"/>
      <c r="T54" s="45">
        <f>SUM(I54,M54,O54,Q54,S54)</f>
        <v>70554</v>
      </c>
      <c r="U54" s="46"/>
      <c r="V54" s="38"/>
      <c r="W54" s="47">
        <f>SUM(T54*$AB$2)</f>
        <v>26457750</v>
      </c>
      <c r="X54" s="48"/>
      <c r="Y54" s="48"/>
      <c r="Z54" s="48"/>
      <c r="AA54" s="39"/>
      <c r="AB54" s="39"/>
      <c r="AC54" s="39"/>
      <c r="AD54" s="38"/>
      <c r="AE54" s="39"/>
    </row>
    <row r="55" spans="1:31" ht="15" x14ac:dyDescent="0.2">
      <c r="A55" s="22" t="s">
        <v>89</v>
      </c>
      <c r="B55" s="23"/>
      <c r="C55" s="24" t="s">
        <v>90</v>
      </c>
      <c r="D55" s="25">
        <v>4230108022</v>
      </c>
      <c r="E55" s="26">
        <v>12.55</v>
      </c>
      <c r="F55" s="23"/>
      <c r="G55" s="26"/>
      <c r="H55" s="27">
        <f>SUM(G55,E55)</f>
        <v>12.55</v>
      </c>
      <c r="I55" s="28"/>
      <c r="J55" s="29"/>
      <c r="K55" s="29"/>
      <c r="L55" s="23"/>
      <c r="M55" s="31"/>
      <c r="N55" s="23"/>
      <c r="O55" s="28"/>
      <c r="P55" s="23"/>
      <c r="Q55" s="28"/>
      <c r="R55" s="23"/>
      <c r="S55" s="28"/>
      <c r="T55" s="32"/>
      <c r="U55" s="28"/>
      <c r="V55" s="33"/>
      <c r="W55" s="23"/>
      <c r="X55" s="35">
        <v>750</v>
      </c>
      <c r="Y55" s="35">
        <v>50</v>
      </c>
      <c r="Z55" s="35">
        <v>800</v>
      </c>
      <c r="AA55" s="23"/>
      <c r="AB55" s="23"/>
      <c r="AC55" s="23"/>
      <c r="AD55" s="33"/>
      <c r="AE55" s="23"/>
    </row>
    <row r="56" spans="1:31" ht="15" x14ac:dyDescent="0.2">
      <c r="A56" s="36"/>
      <c r="B56" s="37" t="s">
        <v>91</v>
      </c>
      <c r="C56" s="38"/>
      <c r="D56" s="39"/>
      <c r="E56" s="39"/>
      <c r="F56" s="39"/>
      <c r="G56" s="39"/>
      <c r="H56" s="38"/>
      <c r="I56" s="46">
        <v>32537</v>
      </c>
      <c r="J56" s="42">
        <v>2003</v>
      </c>
      <c r="K56" s="42">
        <v>1</v>
      </c>
      <c r="L56" s="39">
        <v>2006</v>
      </c>
      <c r="M56" s="43">
        <v>25781</v>
      </c>
      <c r="N56" s="39"/>
      <c r="O56" s="44"/>
      <c r="P56" s="39"/>
      <c r="Q56" s="44"/>
      <c r="R56" s="39"/>
      <c r="S56" s="44"/>
      <c r="T56" s="45">
        <f t="shared" ref="T56:T57" si="11">SUM(S56,Q56,O56,M56,I56)</f>
        <v>58318</v>
      </c>
      <c r="U56" s="39"/>
      <c r="V56" s="38"/>
      <c r="W56" s="47">
        <f>SUM(T56*$AB$2)</f>
        <v>21869250</v>
      </c>
      <c r="X56" s="48"/>
      <c r="Y56" s="48"/>
      <c r="Z56" s="48"/>
      <c r="AA56" s="39"/>
      <c r="AB56" s="39"/>
      <c r="AC56" s="39"/>
      <c r="AD56" s="38"/>
      <c r="AE56" s="39"/>
    </row>
    <row r="57" spans="1:31" ht="15" x14ac:dyDescent="0.2">
      <c r="A57" s="36"/>
      <c r="B57" s="62" t="s">
        <v>92</v>
      </c>
      <c r="C57" s="38"/>
      <c r="D57" s="39"/>
      <c r="E57" s="39"/>
      <c r="F57" s="39"/>
      <c r="G57" s="39"/>
      <c r="H57" s="38"/>
      <c r="I57" s="46">
        <v>1440</v>
      </c>
      <c r="J57" s="42">
        <v>1995</v>
      </c>
      <c r="K57" s="42"/>
      <c r="L57" s="39">
        <v>2005</v>
      </c>
      <c r="M57" s="43"/>
      <c r="N57" s="39"/>
      <c r="O57" s="44"/>
      <c r="P57" s="39"/>
      <c r="Q57" s="44"/>
      <c r="R57" s="39"/>
      <c r="S57" s="44"/>
      <c r="T57" s="45">
        <f t="shared" si="11"/>
        <v>1440</v>
      </c>
      <c r="U57" s="46"/>
      <c r="V57" s="38"/>
      <c r="W57" s="47">
        <f>$AD$2</f>
        <v>200000</v>
      </c>
      <c r="X57" s="48"/>
      <c r="Y57" s="48"/>
      <c r="Z57" s="48"/>
      <c r="AA57" s="39"/>
      <c r="AB57" s="39"/>
      <c r="AC57" s="39"/>
      <c r="AD57" s="38"/>
      <c r="AE57" s="39"/>
    </row>
    <row r="58" spans="1:31" ht="15" x14ac:dyDescent="0.2">
      <c r="A58" s="108" t="s">
        <v>93</v>
      </c>
      <c r="B58" s="94"/>
      <c r="C58" s="95" t="s">
        <v>94</v>
      </c>
      <c r="D58" s="96">
        <v>5303003016</v>
      </c>
      <c r="E58" s="97">
        <v>4.72</v>
      </c>
      <c r="F58" s="94"/>
      <c r="G58" s="97"/>
      <c r="H58" s="98">
        <f>SUM(G58,E58)</f>
        <v>4.72</v>
      </c>
      <c r="I58" s="99"/>
      <c r="J58" s="100"/>
      <c r="K58" s="100"/>
      <c r="L58" s="97"/>
      <c r="M58" s="101"/>
      <c r="N58" s="97"/>
      <c r="O58" s="99"/>
      <c r="P58" s="94"/>
      <c r="Q58" s="99"/>
      <c r="R58" s="94"/>
      <c r="S58" s="99"/>
      <c r="T58" s="102"/>
      <c r="U58" s="99"/>
      <c r="V58" s="103"/>
      <c r="W58" s="94"/>
      <c r="X58" s="99"/>
      <c r="Y58" s="99"/>
      <c r="Z58" s="99"/>
      <c r="AA58" s="94"/>
      <c r="AB58" s="94"/>
      <c r="AC58" s="94"/>
      <c r="AD58" s="103"/>
      <c r="AE58" s="94"/>
    </row>
    <row r="59" spans="1:31" ht="15" x14ac:dyDescent="0.2">
      <c r="A59" s="36"/>
      <c r="B59" s="37" t="s">
        <v>95</v>
      </c>
      <c r="C59" s="38"/>
      <c r="D59" s="39"/>
      <c r="E59" s="39"/>
      <c r="F59" s="39"/>
      <c r="G59" s="39"/>
      <c r="H59" s="38"/>
      <c r="I59" s="46">
        <v>7000</v>
      </c>
      <c r="J59" s="42">
        <v>2001</v>
      </c>
      <c r="K59" s="42"/>
      <c r="L59" s="39"/>
      <c r="M59" s="43"/>
      <c r="N59" s="39"/>
      <c r="O59" s="44"/>
      <c r="P59" s="39"/>
      <c r="Q59" s="44"/>
      <c r="R59" s="39"/>
      <c r="S59" s="44"/>
      <c r="T59" s="45">
        <f>SUM(S59,Q59,O59,M59,I59)</f>
        <v>7000</v>
      </c>
      <c r="U59" s="46"/>
      <c r="V59" s="38"/>
      <c r="W59" s="47">
        <f>SUM(T59*$AC$2)</f>
        <v>1470000</v>
      </c>
      <c r="X59" s="48"/>
      <c r="Y59" s="48"/>
      <c r="Z59" s="48"/>
      <c r="AA59" s="39"/>
      <c r="AB59" s="39"/>
      <c r="AC59" s="39"/>
      <c r="AD59" s="38"/>
      <c r="AE59" s="39"/>
    </row>
    <row r="60" spans="1:31" ht="15" x14ac:dyDescent="0.2">
      <c r="A60" s="22" t="s">
        <v>96</v>
      </c>
      <c r="B60" s="23"/>
      <c r="C60" s="24" t="s">
        <v>97</v>
      </c>
      <c r="D60" s="25">
        <v>5319200013</v>
      </c>
      <c r="E60" s="26">
        <v>7</v>
      </c>
      <c r="F60" s="23">
        <v>5319200023</v>
      </c>
      <c r="G60" s="26">
        <v>1.48</v>
      </c>
      <c r="H60" s="27">
        <f>SUM(G60,E60)</f>
        <v>8.48</v>
      </c>
      <c r="I60" s="28"/>
      <c r="J60" s="29"/>
      <c r="K60" s="29"/>
      <c r="L60" s="26"/>
      <c r="M60" s="31"/>
      <c r="N60" s="26"/>
      <c r="O60" s="28"/>
      <c r="P60" s="23"/>
      <c r="Q60" s="28"/>
      <c r="R60" s="23"/>
      <c r="S60" s="28"/>
      <c r="T60" s="32"/>
      <c r="U60" s="28"/>
      <c r="V60" s="33"/>
      <c r="W60" s="23"/>
      <c r="X60" s="35">
        <v>625</v>
      </c>
      <c r="Y60" s="35">
        <v>0</v>
      </c>
      <c r="Z60" s="35">
        <v>625</v>
      </c>
      <c r="AA60" s="23"/>
      <c r="AB60" s="23"/>
      <c r="AC60" s="23"/>
      <c r="AD60" s="33"/>
      <c r="AE60" s="23"/>
    </row>
    <row r="61" spans="1:31" ht="15" x14ac:dyDescent="0.2">
      <c r="A61" s="36"/>
      <c r="B61" s="37" t="s">
        <v>98</v>
      </c>
      <c r="C61" s="38"/>
      <c r="D61" s="39"/>
      <c r="E61" s="39" t="s">
        <v>29</v>
      </c>
      <c r="F61" s="39"/>
      <c r="G61" s="39"/>
      <c r="H61" s="38"/>
      <c r="I61" s="46">
        <v>44505</v>
      </c>
      <c r="J61" s="42">
        <v>2006</v>
      </c>
      <c r="K61" s="42">
        <v>1</v>
      </c>
      <c r="L61" s="39">
        <v>2018</v>
      </c>
      <c r="M61" s="43">
        <v>15669</v>
      </c>
      <c r="N61" s="39"/>
      <c r="O61" s="44"/>
      <c r="P61" s="39"/>
      <c r="Q61" s="44"/>
      <c r="R61" s="39"/>
      <c r="S61" s="44"/>
      <c r="T61" s="45">
        <f>SUM(S61,Q61,O61,M61,I61)</f>
        <v>60174</v>
      </c>
      <c r="U61" s="39"/>
      <c r="V61" s="38"/>
      <c r="W61" s="47">
        <f>SUM(T61*$AB$2)</f>
        <v>22565250</v>
      </c>
      <c r="X61" s="48"/>
      <c r="Y61" s="48"/>
      <c r="Z61" s="48"/>
      <c r="AA61" s="109"/>
      <c r="AB61" s="39"/>
      <c r="AC61" s="39"/>
      <c r="AD61" s="38"/>
      <c r="AE61" s="39"/>
    </row>
    <row r="62" spans="1:31" ht="15" x14ac:dyDescent="0.2">
      <c r="A62" s="66" t="s">
        <v>99</v>
      </c>
      <c r="B62" s="67"/>
      <c r="C62" s="68" t="s">
        <v>100</v>
      </c>
      <c r="D62" s="69">
        <v>4307208002</v>
      </c>
      <c r="E62" s="70">
        <v>8.59</v>
      </c>
      <c r="F62" s="69"/>
      <c r="G62" s="70"/>
      <c r="H62" s="71">
        <f>SUM(G62,E62)</f>
        <v>8.59</v>
      </c>
      <c r="I62" s="72"/>
      <c r="J62" s="73"/>
      <c r="K62" s="73"/>
      <c r="L62" s="70"/>
      <c r="M62" s="74"/>
      <c r="N62" s="70"/>
      <c r="O62" s="72"/>
      <c r="P62" s="67"/>
      <c r="Q62" s="72"/>
      <c r="R62" s="67"/>
      <c r="S62" s="72"/>
      <c r="T62" s="75"/>
      <c r="U62" s="72"/>
      <c r="V62" s="76"/>
      <c r="W62" s="67"/>
      <c r="X62" s="72"/>
      <c r="Y62" s="72"/>
      <c r="Z62" s="78">
        <v>500</v>
      </c>
      <c r="AA62" s="67"/>
      <c r="AB62" s="67"/>
      <c r="AC62" s="67"/>
      <c r="AD62" s="76"/>
      <c r="AE62" s="67"/>
    </row>
    <row r="63" spans="1:31" ht="15" x14ac:dyDescent="0.2">
      <c r="A63" s="36"/>
      <c r="B63" s="62" t="s">
        <v>101</v>
      </c>
      <c r="C63" s="38"/>
      <c r="D63" s="39"/>
      <c r="E63" s="39"/>
      <c r="F63" s="39"/>
      <c r="G63" s="39"/>
      <c r="H63" s="38"/>
      <c r="I63" s="46">
        <v>16510</v>
      </c>
      <c r="J63" s="42">
        <v>1952</v>
      </c>
      <c r="K63" s="39"/>
      <c r="L63" s="92">
        <v>1981</v>
      </c>
      <c r="M63" s="110">
        <v>20240</v>
      </c>
      <c r="N63" s="39"/>
      <c r="O63" s="39"/>
      <c r="P63" s="39"/>
      <c r="Q63" s="39"/>
      <c r="R63" s="39"/>
      <c r="S63" s="39"/>
      <c r="T63" s="45">
        <f t="shared" ref="T63:T71" si="12">SUM(S63,Q63,O63,M63,I63)</f>
        <v>36750</v>
      </c>
      <c r="U63" s="63">
        <v>2</v>
      </c>
      <c r="V63" s="38" t="s">
        <v>102</v>
      </c>
      <c r="W63" s="47">
        <f>SUM(T63*$AB$2)</f>
        <v>13781250</v>
      </c>
      <c r="X63" s="48"/>
      <c r="Y63" s="48"/>
      <c r="Z63" s="48"/>
      <c r="AA63" s="39"/>
      <c r="AB63" s="39"/>
      <c r="AC63" s="39"/>
      <c r="AD63" s="38"/>
      <c r="AE63" s="39"/>
    </row>
    <row r="64" spans="1:31" ht="15" x14ac:dyDescent="0.2">
      <c r="A64" s="36"/>
      <c r="B64" s="62" t="s">
        <v>103</v>
      </c>
      <c r="C64" s="38"/>
      <c r="D64" s="39"/>
      <c r="E64" s="39"/>
      <c r="F64" s="39"/>
      <c r="G64" s="39"/>
      <c r="H64" s="38"/>
      <c r="I64" s="46">
        <v>4812</v>
      </c>
      <c r="J64" s="42">
        <v>2001</v>
      </c>
      <c r="K64" s="42"/>
      <c r="L64" s="39">
        <v>2002</v>
      </c>
      <c r="M64" s="43"/>
      <c r="N64" s="39"/>
      <c r="O64" s="44"/>
      <c r="P64" s="39"/>
      <c r="Q64" s="44"/>
      <c r="R64" s="39"/>
      <c r="S64" s="44"/>
      <c r="T64" s="45">
        <f t="shared" si="12"/>
        <v>4812</v>
      </c>
      <c r="U64" s="46"/>
      <c r="V64" s="38"/>
      <c r="W64" s="47">
        <f>$AD$2*2</f>
        <v>400000</v>
      </c>
      <c r="X64" s="48"/>
      <c r="Y64" s="48"/>
      <c r="Z64" s="48"/>
      <c r="AA64" s="39"/>
      <c r="AB64" s="39"/>
      <c r="AC64" s="39"/>
      <c r="AD64" s="38"/>
      <c r="AE64" s="39"/>
    </row>
    <row r="65" spans="1:31" ht="15" x14ac:dyDescent="0.2">
      <c r="A65" s="36"/>
      <c r="B65" s="62" t="s">
        <v>104</v>
      </c>
      <c r="C65" s="38"/>
      <c r="D65" s="39"/>
      <c r="E65" s="39"/>
      <c r="F65" s="39"/>
      <c r="G65" s="39"/>
      <c r="H65" s="38"/>
      <c r="I65" s="46">
        <v>4800</v>
      </c>
      <c r="J65" s="42">
        <v>2019</v>
      </c>
      <c r="K65" s="42"/>
      <c r="L65" s="39"/>
      <c r="M65" s="43"/>
      <c r="N65" s="39"/>
      <c r="O65" s="44"/>
      <c r="P65" s="39"/>
      <c r="Q65" s="44"/>
      <c r="R65" s="39"/>
      <c r="S65" s="44"/>
      <c r="T65" s="45">
        <f t="shared" si="12"/>
        <v>4800</v>
      </c>
      <c r="U65" s="39"/>
      <c r="V65" s="38"/>
      <c r="W65" s="47">
        <f t="shared" ref="W65:W67" si="13">SUM(T65*$AC$2)</f>
        <v>1008000</v>
      </c>
      <c r="X65" s="48"/>
      <c r="Y65" s="48"/>
      <c r="Z65" s="48"/>
      <c r="AA65" s="39"/>
      <c r="AB65" s="39"/>
      <c r="AC65" s="39"/>
      <c r="AD65" s="38"/>
      <c r="AE65" s="39"/>
    </row>
    <row r="66" spans="1:31" ht="15" x14ac:dyDescent="0.2">
      <c r="A66" s="36"/>
      <c r="B66" s="62" t="s">
        <v>105</v>
      </c>
      <c r="C66" s="38"/>
      <c r="D66" s="39"/>
      <c r="E66" s="39"/>
      <c r="F66" s="39"/>
      <c r="G66" s="39"/>
      <c r="H66" s="38"/>
      <c r="I66" s="46">
        <v>3661</v>
      </c>
      <c r="J66" s="42">
        <v>1973</v>
      </c>
      <c r="K66" s="42"/>
      <c r="L66" s="39"/>
      <c r="M66" s="43"/>
      <c r="N66" s="39"/>
      <c r="O66" s="44"/>
      <c r="P66" s="39"/>
      <c r="Q66" s="44"/>
      <c r="R66" s="39"/>
      <c r="S66" s="44"/>
      <c r="T66" s="45">
        <f t="shared" si="12"/>
        <v>3661</v>
      </c>
      <c r="U66" s="46"/>
      <c r="V66" s="38"/>
      <c r="W66" s="47">
        <f t="shared" si="13"/>
        <v>768810</v>
      </c>
      <c r="X66" s="48"/>
      <c r="Y66" s="48"/>
      <c r="Z66" s="48"/>
      <c r="AA66" s="39"/>
      <c r="AB66" s="39"/>
      <c r="AC66" s="39"/>
      <c r="AD66" s="38"/>
      <c r="AE66" s="39"/>
    </row>
    <row r="67" spans="1:31" ht="15" x14ac:dyDescent="0.2">
      <c r="A67" s="36"/>
      <c r="B67" s="62" t="s">
        <v>106</v>
      </c>
      <c r="C67" s="38"/>
      <c r="D67" s="39"/>
      <c r="E67" s="39"/>
      <c r="F67" s="39"/>
      <c r="G67" s="39"/>
      <c r="H67" s="38"/>
      <c r="I67" s="46">
        <v>1518</v>
      </c>
      <c r="J67" s="42">
        <v>1974</v>
      </c>
      <c r="K67" s="42"/>
      <c r="L67" s="39"/>
      <c r="M67" s="43"/>
      <c r="N67" s="39"/>
      <c r="O67" s="44"/>
      <c r="P67" s="39"/>
      <c r="Q67" s="44"/>
      <c r="R67" s="39"/>
      <c r="S67" s="44"/>
      <c r="T67" s="45">
        <f t="shared" si="12"/>
        <v>1518</v>
      </c>
      <c r="U67" s="39"/>
      <c r="V67" s="38"/>
      <c r="W67" s="47">
        <f t="shared" si="13"/>
        <v>318780</v>
      </c>
      <c r="X67" s="48"/>
      <c r="Y67" s="48"/>
      <c r="Z67" s="48"/>
      <c r="AA67" s="39"/>
      <c r="AB67" s="39"/>
      <c r="AC67" s="39"/>
      <c r="AD67" s="38"/>
      <c r="AE67" s="39"/>
    </row>
    <row r="68" spans="1:31" ht="15" x14ac:dyDescent="0.2">
      <c r="A68" s="36"/>
      <c r="B68" s="62" t="s">
        <v>107</v>
      </c>
      <c r="C68" s="38"/>
      <c r="D68" s="39"/>
      <c r="E68" s="39"/>
      <c r="F68" s="39"/>
      <c r="G68" s="39"/>
      <c r="H68" s="38"/>
      <c r="I68" s="46">
        <v>676</v>
      </c>
      <c r="J68" s="42">
        <v>1920</v>
      </c>
      <c r="K68" s="42"/>
      <c r="L68" s="39"/>
      <c r="M68" s="43"/>
      <c r="N68" s="39"/>
      <c r="O68" s="44"/>
      <c r="P68" s="39"/>
      <c r="Q68" s="44"/>
      <c r="R68" s="39"/>
      <c r="S68" s="44"/>
      <c r="T68" s="45">
        <f t="shared" si="12"/>
        <v>676</v>
      </c>
      <c r="U68" s="46"/>
      <c r="V68" s="38"/>
      <c r="W68" s="47">
        <f t="shared" ref="W68:W69" si="14">SUM(T68*($AC$2/2))</f>
        <v>70980</v>
      </c>
      <c r="X68" s="48"/>
      <c r="Y68" s="48"/>
      <c r="Z68" s="48"/>
      <c r="AA68" s="39"/>
      <c r="AB68" s="39"/>
      <c r="AC68" s="39"/>
      <c r="AD68" s="38"/>
      <c r="AE68" s="39"/>
    </row>
    <row r="69" spans="1:31" ht="15" x14ac:dyDescent="0.2">
      <c r="A69" s="36"/>
      <c r="B69" s="62" t="s">
        <v>108</v>
      </c>
      <c r="C69" s="38"/>
      <c r="D69" s="39">
        <v>290</v>
      </c>
      <c r="E69" s="39"/>
      <c r="F69" s="39"/>
      <c r="G69" s="44">
        <f>SUM(I66,I68,I67,D69)</f>
        <v>6145</v>
      </c>
      <c r="H69" s="38"/>
      <c r="I69" s="46">
        <v>750</v>
      </c>
      <c r="J69" s="42">
        <v>2001</v>
      </c>
      <c r="K69" s="42"/>
      <c r="L69" s="39"/>
      <c r="M69" s="43"/>
      <c r="N69" s="39"/>
      <c r="O69" s="44"/>
      <c r="P69" s="39"/>
      <c r="Q69" s="44"/>
      <c r="R69" s="39"/>
      <c r="S69" s="44"/>
      <c r="T69" s="45">
        <f t="shared" si="12"/>
        <v>750</v>
      </c>
      <c r="U69" s="46"/>
      <c r="V69" s="38"/>
      <c r="W69" s="47">
        <f t="shared" si="14"/>
        <v>78750</v>
      </c>
      <c r="X69" s="48"/>
      <c r="Y69" s="48"/>
      <c r="Z69" s="48"/>
      <c r="AA69" s="39"/>
      <c r="AB69" s="39"/>
      <c r="AC69" s="39"/>
      <c r="AD69" s="38"/>
      <c r="AE69" s="39"/>
    </row>
    <row r="70" spans="1:31" ht="15" x14ac:dyDescent="0.2">
      <c r="A70" s="36"/>
      <c r="B70" s="62" t="s">
        <v>109</v>
      </c>
      <c r="C70" s="38"/>
      <c r="D70" s="39"/>
      <c r="E70" s="39"/>
      <c r="F70" s="39"/>
      <c r="G70" s="39"/>
      <c r="H70" s="38"/>
      <c r="I70" s="46">
        <v>440</v>
      </c>
      <c r="J70" s="42">
        <v>2005</v>
      </c>
      <c r="K70" s="42"/>
      <c r="L70" s="39"/>
      <c r="M70" s="43"/>
      <c r="N70" s="39"/>
      <c r="O70" s="44"/>
      <c r="P70" s="39"/>
      <c r="Q70" s="44"/>
      <c r="R70" s="39"/>
      <c r="S70" s="44"/>
      <c r="T70" s="45">
        <f t="shared" si="12"/>
        <v>440</v>
      </c>
      <c r="U70" s="46"/>
      <c r="V70" s="38"/>
      <c r="W70" s="47">
        <f>$AD$2</f>
        <v>200000</v>
      </c>
      <c r="X70" s="48"/>
      <c r="Y70" s="48"/>
      <c r="Z70" s="48"/>
      <c r="AA70" s="39"/>
      <c r="AB70" s="39"/>
      <c r="AC70" s="39"/>
      <c r="AD70" s="38"/>
      <c r="AE70" s="39"/>
    </row>
    <row r="71" spans="1:31" ht="15" x14ac:dyDescent="0.2">
      <c r="A71" s="111" t="s">
        <v>110</v>
      </c>
      <c r="B71" s="62" t="s">
        <v>111</v>
      </c>
      <c r="C71" s="38"/>
      <c r="D71" s="39"/>
      <c r="E71" s="39"/>
      <c r="F71" s="39"/>
      <c r="G71" s="39"/>
      <c r="H71" s="38"/>
      <c r="I71" s="46">
        <v>1800</v>
      </c>
      <c r="J71" s="112"/>
      <c r="K71" s="112"/>
      <c r="L71" s="39"/>
      <c r="M71" s="43"/>
      <c r="N71" s="39"/>
      <c r="O71" s="44"/>
      <c r="P71" s="39"/>
      <c r="Q71" s="44"/>
      <c r="R71" s="39"/>
      <c r="S71" s="44"/>
      <c r="T71" s="45">
        <f t="shared" si="12"/>
        <v>1800</v>
      </c>
      <c r="U71" s="46"/>
      <c r="V71" s="38"/>
      <c r="W71" s="61"/>
      <c r="X71" s="44"/>
      <c r="Y71" s="44"/>
      <c r="Z71" s="44"/>
      <c r="AA71" s="39"/>
      <c r="AB71" s="39"/>
      <c r="AC71" s="39"/>
      <c r="AD71" s="38"/>
      <c r="AE71" s="39"/>
    </row>
    <row r="72" spans="1:31" ht="15" x14ac:dyDescent="0.2">
      <c r="A72" s="113" t="s">
        <v>112</v>
      </c>
      <c r="B72" s="114"/>
      <c r="C72" s="115" t="s">
        <v>113</v>
      </c>
      <c r="D72" s="116">
        <v>5332204001</v>
      </c>
      <c r="E72" s="117">
        <v>3.4</v>
      </c>
      <c r="F72" s="114">
        <v>5332200002</v>
      </c>
      <c r="G72" s="117">
        <v>4.32</v>
      </c>
      <c r="H72" s="27">
        <f>SUM(G72,E72)</f>
        <v>7.7200000000000006</v>
      </c>
      <c r="I72" s="118"/>
      <c r="J72" s="29"/>
      <c r="K72" s="29"/>
      <c r="L72" s="26"/>
      <c r="M72" s="31"/>
      <c r="N72" s="26"/>
      <c r="O72" s="28"/>
      <c r="P72" s="23"/>
      <c r="Q72" s="28"/>
      <c r="R72" s="23"/>
      <c r="S72" s="28"/>
      <c r="T72" s="32"/>
      <c r="U72" s="28"/>
      <c r="V72" s="33"/>
      <c r="W72" s="23"/>
      <c r="X72" s="35">
        <v>650</v>
      </c>
      <c r="Y72" s="35">
        <v>100</v>
      </c>
      <c r="Z72" s="35">
        <v>750</v>
      </c>
      <c r="AA72" s="23"/>
      <c r="AB72" s="23"/>
      <c r="AC72" s="23"/>
      <c r="AD72" s="33"/>
      <c r="AE72" s="23"/>
    </row>
    <row r="73" spans="1:31" ht="15" x14ac:dyDescent="0.2">
      <c r="A73" s="36"/>
      <c r="B73" s="37" t="s">
        <v>114</v>
      </c>
      <c r="C73" s="38"/>
      <c r="D73" s="39"/>
      <c r="E73" s="39"/>
      <c r="F73" s="39"/>
      <c r="G73" s="39"/>
      <c r="H73" s="38"/>
      <c r="I73" s="46">
        <v>42311</v>
      </c>
      <c r="J73" s="42">
        <v>1997</v>
      </c>
      <c r="K73" s="42">
        <v>1</v>
      </c>
      <c r="L73" s="39">
        <v>2001</v>
      </c>
      <c r="M73" s="43">
        <v>9000</v>
      </c>
      <c r="N73" s="39"/>
      <c r="O73" s="44"/>
      <c r="P73" s="39"/>
      <c r="Q73" s="44"/>
      <c r="R73" s="39"/>
      <c r="S73" s="44"/>
      <c r="T73" s="45">
        <f t="shared" ref="T73:T75" si="15">SUM(S73,Q73,O73,M73,I73)</f>
        <v>51311</v>
      </c>
      <c r="U73" s="39"/>
      <c r="V73" s="38"/>
      <c r="W73" s="47">
        <f>SUM(T73*$AB$2)</f>
        <v>19241625</v>
      </c>
      <c r="X73" s="48"/>
      <c r="Y73" s="48"/>
      <c r="Z73" s="48"/>
      <c r="AA73" s="39"/>
      <c r="AB73" s="39"/>
      <c r="AC73" s="39"/>
      <c r="AD73" s="38"/>
      <c r="AE73" s="39"/>
    </row>
    <row r="74" spans="1:31" ht="15" x14ac:dyDescent="0.2">
      <c r="A74" s="36"/>
      <c r="B74" s="62" t="s">
        <v>115</v>
      </c>
      <c r="C74" s="38"/>
      <c r="D74" s="39"/>
      <c r="E74" s="39"/>
      <c r="F74" s="39"/>
      <c r="G74" s="39"/>
      <c r="H74" s="38"/>
      <c r="I74" s="46">
        <v>1440</v>
      </c>
      <c r="J74" s="42">
        <v>1994</v>
      </c>
      <c r="K74" s="42"/>
      <c r="L74" s="39">
        <v>2001</v>
      </c>
      <c r="M74" s="43"/>
      <c r="N74" s="39"/>
      <c r="O74" s="44"/>
      <c r="P74" s="39"/>
      <c r="Q74" s="44"/>
      <c r="R74" s="39"/>
      <c r="S74" s="44"/>
      <c r="T74" s="45">
        <f t="shared" si="15"/>
        <v>1440</v>
      </c>
      <c r="U74" s="39"/>
      <c r="V74" s="38"/>
      <c r="W74" s="47">
        <f t="shared" ref="W74:W75" si="16">$AD$2</f>
        <v>200000</v>
      </c>
      <c r="X74" s="48"/>
      <c r="Y74" s="48"/>
      <c r="Z74" s="48"/>
      <c r="AA74" s="39"/>
      <c r="AB74" s="39"/>
      <c r="AC74" s="39"/>
      <c r="AD74" s="38"/>
      <c r="AE74" s="39"/>
    </row>
    <row r="75" spans="1:31" ht="15" x14ac:dyDescent="0.2">
      <c r="A75" s="36"/>
      <c r="B75" s="62" t="s">
        <v>116</v>
      </c>
      <c r="C75" s="38"/>
      <c r="D75" s="39"/>
      <c r="E75" s="39"/>
      <c r="F75" s="39"/>
      <c r="G75" s="39"/>
      <c r="H75" s="38"/>
      <c r="I75" s="46">
        <v>1440</v>
      </c>
      <c r="J75" s="42">
        <v>1994</v>
      </c>
      <c r="K75" s="42"/>
      <c r="L75" s="39">
        <v>2001</v>
      </c>
      <c r="M75" s="43"/>
      <c r="N75" s="39"/>
      <c r="O75" s="44"/>
      <c r="P75" s="39"/>
      <c r="Q75" s="44"/>
      <c r="R75" s="39"/>
      <c r="S75" s="44"/>
      <c r="T75" s="45">
        <f t="shared" si="15"/>
        <v>1440</v>
      </c>
      <c r="U75" s="46"/>
      <c r="V75" s="38"/>
      <c r="W75" s="47">
        <f t="shared" si="16"/>
        <v>200000</v>
      </c>
      <c r="X75" s="48"/>
      <c r="Y75" s="48"/>
      <c r="Z75" s="48"/>
      <c r="AA75" s="39"/>
      <c r="AB75" s="39"/>
      <c r="AC75" s="39"/>
      <c r="AD75" s="38"/>
      <c r="AE75" s="39"/>
    </row>
    <row r="76" spans="1:31" ht="15" x14ac:dyDescent="0.2">
      <c r="A76" s="22" t="s">
        <v>117</v>
      </c>
      <c r="B76" s="23"/>
      <c r="C76" s="24" t="s">
        <v>118</v>
      </c>
      <c r="D76" s="25">
        <v>5317200002</v>
      </c>
      <c r="E76" s="26">
        <v>8.83</v>
      </c>
      <c r="F76" s="23"/>
      <c r="G76" s="26"/>
      <c r="H76" s="27">
        <f>SUM(G76,E76)</f>
        <v>8.83</v>
      </c>
      <c r="I76" s="28"/>
      <c r="J76" s="29"/>
      <c r="K76" s="29"/>
      <c r="L76" s="26"/>
      <c r="M76" s="31"/>
      <c r="N76" s="26"/>
      <c r="O76" s="28"/>
      <c r="P76" s="23"/>
      <c r="Q76" s="28"/>
      <c r="R76" s="23"/>
      <c r="S76" s="28"/>
      <c r="T76" s="32"/>
      <c r="U76" s="28"/>
      <c r="V76" s="33"/>
      <c r="W76" s="23"/>
      <c r="X76" s="35">
        <v>645</v>
      </c>
      <c r="Y76" s="35">
        <v>200</v>
      </c>
      <c r="Z76" s="35">
        <v>845</v>
      </c>
      <c r="AA76" s="23"/>
      <c r="AB76" s="23"/>
      <c r="AC76" s="23"/>
      <c r="AD76" s="33"/>
      <c r="AE76" s="23"/>
    </row>
    <row r="77" spans="1:31" ht="15" x14ac:dyDescent="0.2">
      <c r="A77" s="36"/>
      <c r="B77" s="37" t="s">
        <v>119</v>
      </c>
      <c r="C77" s="38"/>
      <c r="D77" s="39"/>
      <c r="E77" s="39"/>
      <c r="F77" s="39"/>
      <c r="G77" s="39"/>
      <c r="H77" s="38"/>
      <c r="I77" s="46">
        <v>57362</v>
      </c>
      <c r="J77" s="42">
        <v>2002</v>
      </c>
      <c r="K77" s="112"/>
      <c r="L77" s="39"/>
      <c r="M77" s="43"/>
      <c r="N77" s="39"/>
      <c r="O77" s="44"/>
      <c r="P77" s="39"/>
      <c r="Q77" s="44"/>
      <c r="R77" s="39"/>
      <c r="S77" s="44"/>
      <c r="T77" s="45">
        <f t="shared" ref="T77:T81" si="17">SUM(S77,Q77,O77,M77,I77)</f>
        <v>57362</v>
      </c>
      <c r="U77" s="39"/>
      <c r="V77" s="38"/>
      <c r="W77" s="47">
        <f>SUM(T77*$AB$2)</f>
        <v>21510750</v>
      </c>
      <c r="X77" s="48"/>
      <c r="Y77" s="48"/>
      <c r="Z77" s="48"/>
      <c r="AA77" s="39"/>
      <c r="AB77" s="39"/>
      <c r="AC77" s="39"/>
      <c r="AD77" s="38"/>
      <c r="AE77" s="39"/>
    </row>
    <row r="78" spans="1:31" ht="15" x14ac:dyDescent="0.2">
      <c r="A78" s="36"/>
      <c r="B78" s="62" t="s">
        <v>120</v>
      </c>
      <c r="C78" s="38"/>
      <c r="D78" s="39"/>
      <c r="E78" s="39"/>
      <c r="F78" s="39"/>
      <c r="G78" s="44"/>
      <c r="H78" s="38"/>
      <c r="I78" s="46">
        <v>1440</v>
      </c>
      <c r="J78" s="42">
        <v>2005</v>
      </c>
      <c r="K78" s="42"/>
      <c r="L78" s="39"/>
      <c r="M78" s="43"/>
      <c r="N78" s="39"/>
      <c r="O78" s="44"/>
      <c r="P78" s="39"/>
      <c r="Q78" s="44"/>
      <c r="R78" s="39"/>
      <c r="S78" s="44"/>
      <c r="T78" s="45">
        <f t="shared" si="17"/>
        <v>1440</v>
      </c>
      <c r="U78" s="46"/>
      <c r="V78" s="38"/>
      <c r="W78" s="47">
        <v>200000</v>
      </c>
      <c r="X78" s="48"/>
      <c r="Y78" s="48"/>
      <c r="Z78" s="48"/>
      <c r="AA78" s="39"/>
      <c r="AB78" s="39"/>
      <c r="AC78" s="39"/>
      <c r="AD78" s="38"/>
      <c r="AE78" s="39"/>
    </row>
    <row r="79" spans="1:31" ht="15" x14ac:dyDescent="0.2">
      <c r="A79" s="36"/>
      <c r="B79" s="62" t="s">
        <v>121</v>
      </c>
      <c r="C79" s="38"/>
      <c r="D79" s="39"/>
      <c r="E79" s="39"/>
      <c r="F79" s="39"/>
      <c r="G79" s="39"/>
      <c r="H79" s="38"/>
      <c r="I79" s="46">
        <v>1440</v>
      </c>
      <c r="J79" s="42">
        <v>1995</v>
      </c>
      <c r="K79" s="42"/>
      <c r="L79" s="39">
        <v>2003</v>
      </c>
      <c r="M79" s="43"/>
      <c r="N79" s="39"/>
      <c r="O79" s="44"/>
      <c r="P79" s="39"/>
      <c r="Q79" s="44"/>
      <c r="R79" s="39"/>
      <c r="S79" s="44"/>
      <c r="T79" s="45">
        <f t="shared" si="17"/>
        <v>1440</v>
      </c>
      <c r="U79" s="46"/>
      <c r="V79" s="38"/>
      <c r="W79" s="47">
        <v>200000</v>
      </c>
      <c r="X79" s="48"/>
      <c r="Y79" s="48"/>
      <c r="Z79" s="48"/>
      <c r="AA79" s="39"/>
      <c r="AB79" s="39"/>
      <c r="AC79" s="39"/>
      <c r="AD79" s="38"/>
      <c r="AE79" s="39"/>
    </row>
    <row r="80" spans="1:31" ht="15" x14ac:dyDescent="0.2">
      <c r="A80" s="36"/>
      <c r="B80" s="62" t="s">
        <v>122</v>
      </c>
      <c r="C80" s="38"/>
      <c r="D80" s="39"/>
      <c r="E80" s="39"/>
      <c r="F80" s="39"/>
      <c r="G80" s="39"/>
      <c r="H80" s="38"/>
      <c r="I80" s="46">
        <v>1440</v>
      </c>
      <c r="J80" s="42">
        <v>1995</v>
      </c>
      <c r="K80" s="42"/>
      <c r="L80" s="39">
        <v>2003</v>
      </c>
      <c r="M80" s="43"/>
      <c r="N80" s="39"/>
      <c r="O80" s="44"/>
      <c r="P80" s="39"/>
      <c r="Q80" s="44"/>
      <c r="R80" s="39"/>
      <c r="S80" s="44"/>
      <c r="T80" s="45">
        <f t="shared" si="17"/>
        <v>1440</v>
      </c>
      <c r="U80" s="46"/>
      <c r="V80" s="38"/>
      <c r="W80" s="47">
        <v>200000</v>
      </c>
      <c r="X80" s="48"/>
      <c r="Y80" s="48"/>
      <c r="Z80" s="48"/>
      <c r="AA80" s="39"/>
      <c r="AB80" s="39"/>
      <c r="AC80" s="39"/>
      <c r="AD80" s="38"/>
      <c r="AE80" s="39"/>
    </row>
    <row r="81" spans="1:31" ht="15" x14ac:dyDescent="0.2">
      <c r="A81" s="36"/>
      <c r="B81" s="62" t="s">
        <v>123</v>
      </c>
      <c r="C81" s="38"/>
      <c r="D81" s="39"/>
      <c r="E81" s="39"/>
      <c r="F81" s="39"/>
      <c r="G81" s="39"/>
      <c r="H81" s="45">
        <f>SUM(I81)/2</f>
        <v>720</v>
      </c>
      <c r="I81" s="46">
        <v>1440</v>
      </c>
      <c r="J81" s="42">
        <v>1995</v>
      </c>
      <c r="K81" s="42"/>
      <c r="L81" s="39">
        <v>2003</v>
      </c>
      <c r="M81" s="43"/>
      <c r="N81" s="39"/>
      <c r="O81" s="44"/>
      <c r="P81" s="39"/>
      <c r="Q81" s="44"/>
      <c r="R81" s="39"/>
      <c r="S81" s="44"/>
      <c r="T81" s="45">
        <f t="shared" si="17"/>
        <v>1440</v>
      </c>
      <c r="U81" s="46"/>
      <c r="V81" s="38"/>
      <c r="W81" s="47">
        <v>200000</v>
      </c>
      <c r="X81" s="48"/>
      <c r="Y81" s="48"/>
      <c r="Z81" s="48"/>
      <c r="AA81" s="39"/>
      <c r="AB81" s="39"/>
      <c r="AC81" s="39"/>
      <c r="AD81" s="38"/>
      <c r="AE81" s="39"/>
    </row>
    <row r="82" spans="1:31" ht="15" x14ac:dyDescent="0.2">
      <c r="A82" s="66" t="s">
        <v>124</v>
      </c>
      <c r="B82" s="67"/>
      <c r="C82" s="68" t="s">
        <v>125</v>
      </c>
      <c r="D82" s="69">
        <v>5329300001</v>
      </c>
      <c r="E82" s="70">
        <v>28.85</v>
      </c>
      <c r="F82" s="69">
        <v>5329301001</v>
      </c>
      <c r="G82" s="70">
        <v>11.66</v>
      </c>
      <c r="H82" s="71">
        <f>SUM(G82,E82)</f>
        <v>40.510000000000005</v>
      </c>
      <c r="I82" s="72"/>
      <c r="J82" s="73"/>
      <c r="K82" s="73"/>
      <c r="L82" s="70"/>
      <c r="M82" s="74"/>
      <c r="N82" s="70"/>
      <c r="O82" s="72"/>
      <c r="P82" s="67"/>
      <c r="Q82" s="72"/>
      <c r="R82" s="67"/>
      <c r="S82" s="72"/>
      <c r="T82" s="75"/>
      <c r="U82" s="72"/>
      <c r="V82" s="76"/>
      <c r="W82" s="67"/>
      <c r="X82" s="78">
        <v>1600</v>
      </c>
      <c r="Y82" s="78">
        <v>250</v>
      </c>
      <c r="Z82" s="78">
        <v>1850</v>
      </c>
      <c r="AA82" s="67"/>
      <c r="AB82" s="67"/>
      <c r="AC82" s="67"/>
      <c r="AD82" s="76"/>
      <c r="AE82" s="67"/>
    </row>
    <row r="83" spans="1:31" ht="15" x14ac:dyDescent="0.2">
      <c r="A83" s="36"/>
      <c r="B83" s="37" t="s">
        <v>126</v>
      </c>
      <c r="C83" s="38"/>
      <c r="D83" s="39"/>
      <c r="E83" s="39"/>
      <c r="F83" s="39"/>
      <c r="G83" s="39"/>
      <c r="H83" s="38"/>
      <c r="I83" s="46">
        <v>106566</v>
      </c>
      <c r="J83" s="42">
        <v>1997</v>
      </c>
      <c r="K83" s="42">
        <v>2</v>
      </c>
      <c r="L83" s="39">
        <v>2003</v>
      </c>
      <c r="M83" s="43">
        <v>97300</v>
      </c>
      <c r="N83" s="39">
        <v>2017</v>
      </c>
      <c r="O83" s="44">
        <v>4910</v>
      </c>
      <c r="P83" s="39"/>
      <c r="Q83" s="44"/>
      <c r="R83" s="39"/>
      <c r="S83" s="44"/>
      <c r="T83" s="45">
        <f t="shared" ref="T83:T89" si="18">SUM(S83,Q83,O83,M83,I83)</f>
        <v>208776</v>
      </c>
      <c r="U83" s="39"/>
      <c r="V83" s="38"/>
      <c r="W83" s="47">
        <f>SUM(T83*$AB$2)</f>
        <v>78291000</v>
      </c>
      <c r="X83" s="48"/>
      <c r="Y83" s="48"/>
      <c r="Z83" s="48"/>
      <c r="AA83" s="39"/>
      <c r="AB83" s="39"/>
      <c r="AC83" s="39"/>
      <c r="AD83" s="38"/>
      <c r="AE83" s="39"/>
    </row>
    <row r="84" spans="1:31" ht="15" x14ac:dyDescent="0.2">
      <c r="A84" s="36"/>
      <c r="B84" s="62" t="s">
        <v>127</v>
      </c>
      <c r="C84" s="38"/>
      <c r="D84" s="39"/>
      <c r="E84" s="39"/>
      <c r="F84" s="39"/>
      <c r="G84" s="39"/>
      <c r="H84" s="38"/>
      <c r="I84" s="46">
        <v>1440</v>
      </c>
      <c r="J84" s="42">
        <v>2000</v>
      </c>
      <c r="K84" s="42"/>
      <c r="L84" s="39">
        <v>2002</v>
      </c>
      <c r="M84" s="43"/>
      <c r="N84" s="39"/>
      <c r="O84" s="44"/>
      <c r="P84" s="39"/>
      <c r="Q84" s="44"/>
      <c r="R84" s="39"/>
      <c r="S84" s="44"/>
      <c r="T84" s="45">
        <f t="shared" si="18"/>
        <v>1440</v>
      </c>
      <c r="U84" s="39"/>
      <c r="V84" s="38"/>
      <c r="W84" s="47">
        <f t="shared" ref="W84:W88" si="19">$AD$2</f>
        <v>200000</v>
      </c>
      <c r="X84" s="48"/>
      <c r="Y84" s="48"/>
      <c r="Z84" s="48"/>
      <c r="AA84" s="39"/>
      <c r="AB84" s="39"/>
      <c r="AC84" s="39"/>
      <c r="AD84" s="38"/>
      <c r="AE84" s="39"/>
    </row>
    <row r="85" spans="1:31" ht="15" x14ac:dyDescent="0.2">
      <c r="A85" s="36"/>
      <c r="B85" s="62" t="s">
        <v>128</v>
      </c>
      <c r="C85" s="38"/>
      <c r="D85" s="39"/>
      <c r="E85" s="39"/>
      <c r="F85" s="39"/>
      <c r="G85" s="39"/>
      <c r="H85" s="38"/>
      <c r="I85" s="46">
        <v>1440</v>
      </c>
      <c r="J85" s="42">
        <v>2005</v>
      </c>
      <c r="K85" s="42"/>
      <c r="L85" s="39">
        <v>2007</v>
      </c>
      <c r="M85" s="43"/>
      <c r="N85" s="39"/>
      <c r="O85" s="44"/>
      <c r="P85" s="39"/>
      <c r="Q85" s="44"/>
      <c r="R85" s="39"/>
      <c r="S85" s="44"/>
      <c r="T85" s="45">
        <f t="shared" si="18"/>
        <v>1440</v>
      </c>
      <c r="U85" s="46"/>
      <c r="V85" s="38"/>
      <c r="W85" s="47">
        <f t="shared" si="19"/>
        <v>200000</v>
      </c>
      <c r="X85" s="48"/>
      <c r="Y85" s="48"/>
      <c r="Z85" s="48"/>
      <c r="AA85" s="39"/>
      <c r="AB85" s="39"/>
      <c r="AC85" s="39"/>
      <c r="AD85" s="38"/>
      <c r="AE85" s="39"/>
    </row>
    <row r="86" spans="1:31" ht="15" x14ac:dyDescent="0.2">
      <c r="A86" s="36"/>
      <c r="B86" s="62" t="s">
        <v>129</v>
      </c>
      <c r="C86" s="38"/>
      <c r="D86" s="39"/>
      <c r="E86" s="39"/>
      <c r="F86" s="39"/>
      <c r="G86" s="39"/>
      <c r="H86" s="38"/>
      <c r="I86" s="46">
        <v>1440</v>
      </c>
      <c r="J86" s="42">
        <v>2005</v>
      </c>
      <c r="K86" s="42"/>
      <c r="L86" s="39"/>
      <c r="M86" s="43"/>
      <c r="N86" s="39"/>
      <c r="O86" s="44"/>
      <c r="P86" s="39"/>
      <c r="Q86" s="44"/>
      <c r="R86" s="39"/>
      <c r="S86" s="44"/>
      <c r="T86" s="45">
        <f t="shared" si="18"/>
        <v>1440</v>
      </c>
      <c r="U86" s="46"/>
      <c r="V86" s="38"/>
      <c r="W86" s="47">
        <f t="shared" si="19"/>
        <v>200000</v>
      </c>
      <c r="X86" s="48"/>
      <c r="Y86" s="48"/>
      <c r="Z86" s="48"/>
      <c r="AA86" s="39"/>
      <c r="AB86" s="39"/>
      <c r="AC86" s="39"/>
      <c r="AD86" s="38"/>
      <c r="AE86" s="39"/>
    </row>
    <row r="87" spans="1:31" ht="15" x14ac:dyDescent="0.2">
      <c r="A87" s="36"/>
      <c r="B87" s="62" t="s">
        <v>130</v>
      </c>
      <c r="C87" s="38"/>
      <c r="D87" s="39"/>
      <c r="E87" s="39"/>
      <c r="F87" s="39"/>
      <c r="G87" s="39"/>
      <c r="H87" s="38"/>
      <c r="I87" s="46">
        <v>1440</v>
      </c>
      <c r="J87" s="42">
        <v>2005</v>
      </c>
      <c r="K87" s="42"/>
      <c r="L87" s="39"/>
      <c r="M87" s="43"/>
      <c r="N87" s="39"/>
      <c r="O87" s="44"/>
      <c r="P87" s="39"/>
      <c r="Q87" s="44"/>
      <c r="R87" s="39"/>
      <c r="S87" s="44"/>
      <c r="T87" s="45">
        <f t="shared" si="18"/>
        <v>1440</v>
      </c>
      <c r="U87" s="46"/>
      <c r="V87" s="38"/>
      <c r="W87" s="47">
        <f t="shared" si="19"/>
        <v>200000</v>
      </c>
      <c r="X87" s="48"/>
      <c r="Y87" s="48"/>
      <c r="Z87" s="48"/>
      <c r="AA87" s="39"/>
      <c r="AB87" s="39"/>
      <c r="AC87" s="39"/>
      <c r="AD87" s="38"/>
      <c r="AE87" s="39"/>
    </row>
    <row r="88" spans="1:31" ht="15" x14ac:dyDescent="0.2">
      <c r="A88" s="36"/>
      <c r="B88" s="62" t="s">
        <v>131</v>
      </c>
      <c r="C88" s="38"/>
      <c r="D88" s="39"/>
      <c r="E88" s="39"/>
      <c r="F88" s="39"/>
      <c r="G88" s="39"/>
      <c r="H88" s="38"/>
      <c r="I88" s="46">
        <v>1440</v>
      </c>
      <c r="J88" s="42">
        <v>2005</v>
      </c>
      <c r="K88" s="42"/>
      <c r="L88" s="39"/>
      <c r="M88" s="43"/>
      <c r="N88" s="39"/>
      <c r="O88" s="44"/>
      <c r="P88" s="39"/>
      <c r="Q88" s="44"/>
      <c r="R88" s="39"/>
      <c r="S88" s="44"/>
      <c r="T88" s="45">
        <f t="shared" si="18"/>
        <v>1440</v>
      </c>
      <c r="U88" s="39"/>
      <c r="V88" s="38"/>
      <c r="W88" s="47">
        <f t="shared" si="19"/>
        <v>200000</v>
      </c>
      <c r="X88" s="48"/>
      <c r="Y88" s="48"/>
      <c r="Z88" s="48"/>
      <c r="AA88" s="39"/>
      <c r="AB88" s="39"/>
      <c r="AC88" s="39"/>
      <c r="AD88" s="38"/>
      <c r="AE88" s="39"/>
    </row>
    <row r="89" spans="1:31" ht="15" x14ac:dyDescent="0.2">
      <c r="A89" s="36"/>
      <c r="B89" s="62" t="s">
        <v>132</v>
      </c>
      <c r="C89" s="38"/>
      <c r="D89" s="39"/>
      <c r="E89" s="39"/>
      <c r="F89" s="39"/>
      <c r="G89" s="39"/>
      <c r="H89" s="38"/>
      <c r="I89" s="46">
        <v>1426</v>
      </c>
      <c r="J89" s="42">
        <v>2003</v>
      </c>
      <c r="K89" s="112"/>
      <c r="L89" s="39"/>
      <c r="M89" s="43"/>
      <c r="N89" s="39"/>
      <c r="O89" s="44"/>
      <c r="P89" s="39"/>
      <c r="Q89" s="44"/>
      <c r="R89" s="39"/>
      <c r="S89" s="44"/>
      <c r="T89" s="45">
        <f t="shared" si="18"/>
        <v>1426</v>
      </c>
      <c r="U89" s="44"/>
      <c r="V89" s="38"/>
      <c r="W89" s="47">
        <f>SUM(T89*$AB$2)</f>
        <v>534750</v>
      </c>
      <c r="X89" s="48"/>
      <c r="Y89" s="48"/>
      <c r="Z89" s="48"/>
      <c r="AA89" s="39"/>
      <c r="AB89" s="39"/>
      <c r="AC89" s="39"/>
      <c r="AD89" s="38"/>
      <c r="AE89" s="39"/>
    </row>
    <row r="90" spans="1:31" ht="15" x14ac:dyDescent="0.2">
      <c r="A90" s="36"/>
      <c r="B90" s="62" t="s">
        <v>133</v>
      </c>
      <c r="C90" s="38"/>
      <c r="D90" s="39"/>
      <c r="E90" s="39"/>
      <c r="F90" s="39"/>
      <c r="G90" s="39"/>
      <c r="H90" s="38"/>
      <c r="I90" s="46"/>
      <c r="J90" s="42"/>
      <c r="K90" s="112"/>
      <c r="L90" s="39"/>
      <c r="M90" s="43"/>
      <c r="N90" s="39"/>
      <c r="O90" s="44"/>
      <c r="P90" s="39"/>
      <c r="Q90" s="44"/>
      <c r="R90" s="39"/>
      <c r="S90" s="44"/>
      <c r="T90" s="45">
        <v>700</v>
      </c>
      <c r="U90" s="44"/>
      <c r="V90" s="38"/>
      <c r="W90" s="47">
        <v>13500</v>
      </c>
      <c r="X90" s="48"/>
      <c r="Y90" s="48"/>
      <c r="Z90" s="48"/>
      <c r="AA90" s="39"/>
      <c r="AB90" s="39"/>
      <c r="AC90" s="39"/>
      <c r="AD90" s="38"/>
      <c r="AE90" s="39"/>
    </row>
    <row r="91" spans="1:31" ht="15" x14ac:dyDescent="0.2">
      <c r="A91" s="36"/>
      <c r="B91" s="37" t="s">
        <v>134</v>
      </c>
      <c r="C91" s="38"/>
      <c r="D91" s="39"/>
      <c r="E91" s="39"/>
      <c r="F91" s="39"/>
      <c r="G91" s="39"/>
      <c r="H91" s="38"/>
      <c r="I91" s="46">
        <v>14000</v>
      </c>
      <c r="J91" s="42">
        <v>2007</v>
      </c>
      <c r="K91" s="42"/>
      <c r="L91" s="39"/>
      <c r="M91" s="43"/>
      <c r="N91" s="39"/>
      <c r="O91" s="44"/>
      <c r="P91" s="39"/>
      <c r="Q91" s="44"/>
      <c r="R91" s="39"/>
      <c r="S91" s="44"/>
      <c r="T91" s="45">
        <f>SUM(S91,Q91,O91,M91,I91)</f>
        <v>14000</v>
      </c>
      <c r="U91" s="46"/>
      <c r="V91" s="38"/>
      <c r="W91" s="47">
        <f>SUM(T91*$AC$2)</f>
        <v>2940000</v>
      </c>
      <c r="X91" s="48"/>
      <c r="Y91" s="48"/>
      <c r="Z91" s="48"/>
      <c r="AA91" s="39"/>
      <c r="AB91" s="39"/>
      <c r="AC91" s="39"/>
      <c r="AD91" s="38"/>
      <c r="AE91" s="39"/>
    </row>
    <row r="92" spans="1:31" ht="15" x14ac:dyDescent="0.2">
      <c r="A92" s="79" t="s">
        <v>135</v>
      </c>
      <c r="B92" s="80"/>
      <c r="C92" s="81" t="s">
        <v>136</v>
      </c>
      <c r="D92" s="82">
        <v>5318101001</v>
      </c>
      <c r="E92" s="83">
        <v>7.87</v>
      </c>
      <c r="F92" s="82">
        <v>5318100006</v>
      </c>
      <c r="G92" s="83">
        <v>13.13</v>
      </c>
      <c r="H92" s="84">
        <f>SUM(G92,E92)</f>
        <v>21</v>
      </c>
      <c r="I92" s="85"/>
      <c r="J92" s="86"/>
      <c r="K92" s="86"/>
      <c r="L92" s="83"/>
      <c r="M92" s="87"/>
      <c r="N92" s="83"/>
      <c r="O92" s="85"/>
      <c r="P92" s="80"/>
      <c r="Q92" s="85"/>
      <c r="R92" s="80"/>
      <c r="S92" s="85"/>
      <c r="T92" s="88"/>
      <c r="U92" s="85"/>
      <c r="V92" s="89"/>
      <c r="W92" s="80"/>
      <c r="X92" s="91">
        <v>900</v>
      </c>
      <c r="Y92" s="91">
        <v>450</v>
      </c>
      <c r="Z92" s="91">
        <v>1350</v>
      </c>
      <c r="AA92" s="80"/>
      <c r="AB92" s="80"/>
      <c r="AC92" s="80"/>
      <c r="AD92" s="89"/>
      <c r="AE92" s="80"/>
    </row>
    <row r="93" spans="1:31" ht="15" x14ac:dyDescent="0.2">
      <c r="A93" s="36"/>
      <c r="B93" s="37" t="s">
        <v>137</v>
      </c>
      <c r="C93" s="38"/>
      <c r="D93" s="39"/>
      <c r="E93" s="39"/>
      <c r="F93" s="39"/>
      <c r="G93" s="39"/>
      <c r="H93" s="38"/>
      <c r="I93" s="46">
        <v>85257</v>
      </c>
      <c r="J93" s="42">
        <v>2000</v>
      </c>
      <c r="K93" s="42">
        <v>1</v>
      </c>
      <c r="L93" s="39">
        <v>2006</v>
      </c>
      <c r="M93" s="43">
        <v>43696</v>
      </c>
      <c r="N93" s="39"/>
      <c r="O93" s="44"/>
      <c r="P93" s="39"/>
      <c r="Q93" s="44"/>
      <c r="R93" s="39"/>
      <c r="S93" s="44"/>
      <c r="T93" s="45">
        <f t="shared" ref="T93:T98" si="20">SUM(S93,Q93,O93,M93,I93)</f>
        <v>128953</v>
      </c>
      <c r="U93" s="39"/>
      <c r="V93" s="38"/>
      <c r="W93" s="47">
        <f>SUM(T93*$AB$2)</f>
        <v>48357375</v>
      </c>
      <c r="X93" s="48"/>
      <c r="Y93" s="48"/>
      <c r="Z93" s="48"/>
      <c r="AA93" s="39"/>
      <c r="AB93" s="39"/>
      <c r="AC93" s="39"/>
      <c r="AD93" s="38"/>
      <c r="AE93" s="39"/>
    </row>
    <row r="94" spans="1:31" ht="15" x14ac:dyDescent="0.2">
      <c r="A94" s="36"/>
      <c r="B94" s="37" t="s">
        <v>138</v>
      </c>
      <c r="C94" s="38"/>
      <c r="D94" s="39"/>
      <c r="E94" s="39"/>
      <c r="F94" s="39"/>
      <c r="G94" s="39"/>
      <c r="H94" s="45">
        <v>0</v>
      </c>
      <c r="I94" s="46">
        <v>1440</v>
      </c>
      <c r="J94" s="42"/>
      <c r="K94" s="42"/>
      <c r="L94" s="39"/>
      <c r="M94" s="43"/>
      <c r="N94" s="39"/>
      <c r="O94" s="44"/>
      <c r="P94" s="39"/>
      <c r="Q94" s="44"/>
      <c r="R94" s="39"/>
      <c r="S94" s="44"/>
      <c r="T94" s="45">
        <f t="shared" si="20"/>
        <v>1440</v>
      </c>
      <c r="U94" s="46"/>
      <c r="V94" s="38"/>
      <c r="W94" s="47">
        <f t="shared" ref="W94:W97" si="21">$AD$2</f>
        <v>200000</v>
      </c>
      <c r="X94" s="48"/>
      <c r="Y94" s="48"/>
      <c r="Z94" s="48"/>
      <c r="AA94" s="39"/>
      <c r="AB94" s="39"/>
      <c r="AC94" s="39"/>
      <c r="AD94" s="38"/>
      <c r="AE94" s="39"/>
    </row>
    <row r="95" spans="1:31" ht="15" x14ac:dyDescent="0.2">
      <c r="A95" s="36"/>
      <c r="B95" s="62" t="s">
        <v>139</v>
      </c>
      <c r="C95" s="38"/>
      <c r="D95" s="39"/>
      <c r="E95" s="45"/>
      <c r="F95" s="119">
        <f>SUM(I95:I96,H97,I98)</f>
        <v>11160</v>
      </c>
      <c r="G95" s="39"/>
      <c r="H95" s="45"/>
      <c r="I95" s="46">
        <v>1440</v>
      </c>
      <c r="J95" s="42">
        <v>2005</v>
      </c>
      <c r="K95" s="42"/>
      <c r="L95" s="39"/>
      <c r="M95" s="43"/>
      <c r="N95" s="39"/>
      <c r="O95" s="44"/>
      <c r="P95" s="39"/>
      <c r="Q95" s="44"/>
      <c r="R95" s="39"/>
      <c r="S95" s="44"/>
      <c r="T95" s="45">
        <f t="shared" si="20"/>
        <v>1440</v>
      </c>
      <c r="U95" s="46"/>
      <c r="V95" s="38"/>
      <c r="W95" s="47">
        <f t="shared" si="21"/>
        <v>200000</v>
      </c>
      <c r="X95" s="48"/>
      <c r="Y95" s="48"/>
      <c r="Z95" s="48"/>
      <c r="AA95" s="39"/>
      <c r="AB95" s="39"/>
      <c r="AC95" s="39"/>
      <c r="AD95" s="38"/>
      <c r="AE95" s="39"/>
    </row>
    <row r="96" spans="1:31" ht="15" x14ac:dyDescent="0.2">
      <c r="A96" s="36"/>
      <c r="B96" s="62" t="s">
        <v>140</v>
      </c>
      <c r="C96" s="38"/>
      <c r="D96" s="39"/>
      <c r="E96" s="39"/>
      <c r="F96" s="39"/>
      <c r="G96" s="39"/>
      <c r="H96" s="45"/>
      <c r="I96" s="46">
        <v>1440</v>
      </c>
      <c r="J96" s="42">
        <v>1999</v>
      </c>
      <c r="K96" s="42"/>
      <c r="L96" s="39">
        <v>2003</v>
      </c>
      <c r="M96" s="43"/>
      <c r="N96" s="39"/>
      <c r="O96" s="44"/>
      <c r="P96" s="39"/>
      <c r="Q96" s="44"/>
      <c r="R96" s="39"/>
      <c r="S96" s="44"/>
      <c r="T96" s="45">
        <f t="shared" si="20"/>
        <v>1440</v>
      </c>
      <c r="U96" s="46"/>
      <c r="V96" s="38"/>
      <c r="W96" s="47">
        <f t="shared" si="21"/>
        <v>200000</v>
      </c>
      <c r="X96" s="48"/>
      <c r="Y96" s="48"/>
      <c r="Z96" s="48"/>
      <c r="AA96" s="39"/>
      <c r="AB96" s="39"/>
      <c r="AC96" s="39"/>
      <c r="AD96" s="38"/>
      <c r="AE96" s="39"/>
    </row>
    <row r="97" spans="1:31" ht="15" x14ac:dyDescent="0.2">
      <c r="A97" s="36"/>
      <c r="B97" s="62" t="s">
        <v>141</v>
      </c>
      <c r="C97" s="38"/>
      <c r="D97" s="39"/>
      <c r="E97" s="39"/>
      <c r="F97" s="39"/>
      <c r="G97" s="39"/>
      <c r="H97" s="45">
        <f>SUM(I97)/2</f>
        <v>720</v>
      </c>
      <c r="I97" s="46">
        <v>1440</v>
      </c>
      <c r="J97" s="42">
        <v>1999</v>
      </c>
      <c r="K97" s="42"/>
      <c r="L97" s="39">
        <v>2003</v>
      </c>
      <c r="M97" s="43"/>
      <c r="N97" s="39"/>
      <c r="O97" s="44"/>
      <c r="P97" s="39"/>
      <c r="Q97" s="44"/>
      <c r="R97" s="39"/>
      <c r="S97" s="44"/>
      <c r="T97" s="45">
        <f t="shared" si="20"/>
        <v>1440</v>
      </c>
      <c r="U97" s="46"/>
      <c r="V97" s="38"/>
      <c r="W97" s="47">
        <f t="shared" si="21"/>
        <v>200000</v>
      </c>
      <c r="X97" s="48"/>
      <c r="Y97" s="48"/>
      <c r="Z97" s="48"/>
      <c r="AA97" s="39"/>
      <c r="AB97" s="39"/>
      <c r="AC97" s="39"/>
      <c r="AD97" s="38"/>
      <c r="AE97" s="39"/>
    </row>
    <row r="98" spans="1:31" ht="15" x14ac:dyDescent="0.2">
      <c r="A98" s="36"/>
      <c r="B98" s="62" t="s">
        <v>142</v>
      </c>
      <c r="C98" s="38"/>
      <c r="D98" s="39"/>
      <c r="E98" s="39"/>
      <c r="F98" s="39"/>
      <c r="G98" s="39"/>
      <c r="H98" s="38"/>
      <c r="I98" s="46">
        <v>7560</v>
      </c>
      <c r="J98" s="42">
        <v>2001</v>
      </c>
      <c r="K98" s="42"/>
      <c r="L98" s="39"/>
      <c r="M98" s="43"/>
      <c r="N98" s="39"/>
      <c r="O98" s="44"/>
      <c r="P98" s="39"/>
      <c r="Q98" s="44"/>
      <c r="R98" s="39"/>
      <c r="S98" s="44"/>
      <c r="T98" s="45">
        <f t="shared" si="20"/>
        <v>7560</v>
      </c>
      <c r="U98" s="46"/>
      <c r="V98" s="38"/>
      <c r="W98" s="47">
        <f>SUM(AD2*5)</f>
        <v>1000000</v>
      </c>
      <c r="X98" s="48"/>
      <c r="Y98" s="48"/>
      <c r="Z98" s="48"/>
      <c r="AA98" s="39"/>
      <c r="AB98" s="39"/>
      <c r="AC98" s="39"/>
      <c r="AD98" s="38"/>
      <c r="AE98" s="39"/>
    </row>
    <row r="99" spans="1:31" ht="15" hidden="1" x14ac:dyDescent="0.2">
      <c r="A99" s="120"/>
      <c r="B99" s="121" t="s">
        <v>143</v>
      </c>
      <c r="C99" s="122"/>
      <c r="D99" s="123"/>
      <c r="E99" s="123"/>
      <c r="F99" s="123"/>
      <c r="G99" s="123"/>
      <c r="H99" s="122"/>
      <c r="I99" s="124"/>
      <c r="J99" s="125"/>
      <c r="K99" s="125"/>
      <c r="L99" s="123"/>
      <c r="M99" s="126"/>
      <c r="N99" s="123"/>
      <c r="O99" s="124"/>
      <c r="P99" s="123"/>
      <c r="Q99" s="124"/>
      <c r="R99" s="123"/>
      <c r="S99" s="124"/>
      <c r="T99" s="127"/>
      <c r="U99" s="124"/>
      <c r="V99" s="122"/>
      <c r="W99" s="128"/>
      <c r="X99" s="124"/>
      <c r="Y99" s="124"/>
      <c r="Z99" s="124"/>
      <c r="AA99" s="123"/>
      <c r="AB99" s="123"/>
      <c r="AC99" s="123"/>
      <c r="AD99" s="122"/>
      <c r="AE99" s="123"/>
    </row>
    <row r="100" spans="1:31" ht="15" x14ac:dyDescent="0.2">
      <c r="A100" s="36"/>
      <c r="B100" s="62" t="s">
        <v>144</v>
      </c>
      <c r="C100" s="38"/>
      <c r="D100" s="39"/>
      <c r="E100" s="39"/>
      <c r="F100" s="39"/>
      <c r="G100" s="39"/>
      <c r="H100" s="38"/>
      <c r="I100" s="46">
        <v>480</v>
      </c>
      <c r="J100" s="42">
        <v>2001</v>
      </c>
      <c r="K100" s="42"/>
      <c r="L100" s="39"/>
      <c r="M100" s="43"/>
      <c r="N100" s="39"/>
      <c r="O100" s="44"/>
      <c r="P100" s="39"/>
      <c r="Q100" s="44"/>
      <c r="R100" s="39"/>
      <c r="S100" s="44"/>
      <c r="T100" s="45">
        <f>SUM(S100,Q100,O100,M100,I100)</f>
        <v>480</v>
      </c>
      <c r="U100" s="46"/>
      <c r="V100" s="38"/>
      <c r="W100" s="47">
        <f>SUM(T100*($AC$2/2))</f>
        <v>50400</v>
      </c>
      <c r="X100" s="48"/>
      <c r="Y100" s="48"/>
      <c r="Z100" s="48"/>
      <c r="AA100" s="39"/>
      <c r="AB100" s="39"/>
      <c r="AC100" s="39"/>
      <c r="AD100" s="38"/>
      <c r="AE100" s="39"/>
    </row>
    <row r="101" spans="1:31" ht="15" x14ac:dyDescent="0.2">
      <c r="A101" s="113" t="s">
        <v>145</v>
      </c>
      <c r="B101" s="23"/>
      <c r="C101" s="24" t="s">
        <v>146</v>
      </c>
      <c r="D101" s="25">
        <v>5329200002</v>
      </c>
      <c r="E101" s="26">
        <v>8.81</v>
      </c>
      <c r="F101" s="25"/>
      <c r="G101" s="26"/>
      <c r="H101" s="27">
        <f>SUM(G101,E101)</f>
        <v>8.81</v>
      </c>
      <c r="I101" s="28"/>
      <c r="J101" s="29"/>
      <c r="K101" s="29"/>
      <c r="L101" s="26"/>
      <c r="M101" s="31"/>
      <c r="N101" s="26"/>
      <c r="O101" s="28"/>
      <c r="P101" s="23"/>
      <c r="Q101" s="28"/>
      <c r="R101" s="23"/>
      <c r="S101" s="28"/>
      <c r="T101" s="32"/>
      <c r="U101" s="28"/>
      <c r="V101" s="33"/>
      <c r="W101" s="23"/>
      <c r="X101" s="35">
        <v>700</v>
      </c>
      <c r="Y101" s="35">
        <v>50</v>
      </c>
      <c r="Z101" s="35">
        <v>750</v>
      </c>
      <c r="AA101" s="23"/>
      <c r="AB101" s="23"/>
      <c r="AC101" s="23"/>
      <c r="AD101" s="33"/>
      <c r="AE101" s="23"/>
    </row>
    <row r="102" spans="1:31" ht="15" x14ac:dyDescent="0.2">
      <c r="A102" s="36"/>
      <c r="B102" s="37" t="s">
        <v>147</v>
      </c>
      <c r="C102" s="38"/>
      <c r="D102" s="39"/>
      <c r="E102" s="39"/>
      <c r="F102" s="39"/>
      <c r="G102" s="39"/>
      <c r="H102" s="38"/>
      <c r="I102" s="46">
        <v>45979</v>
      </c>
      <c r="J102" s="42">
        <v>2002</v>
      </c>
      <c r="K102" s="42">
        <v>1</v>
      </c>
      <c r="L102" s="39">
        <v>2006</v>
      </c>
      <c r="M102" s="43">
        <v>9316</v>
      </c>
      <c r="N102" s="39"/>
      <c r="O102" s="44"/>
      <c r="P102" s="39"/>
      <c r="Q102" s="44"/>
      <c r="R102" s="39"/>
      <c r="S102" s="44"/>
      <c r="T102" s="45">
        <f t="shared" ref="T102:T104" si="22">SUM(S102,Q102,O102,M102,I102)</f>
        <v>55295</v>
      </c>
      <c r="U102" s="46"/>
      <c r="V102" s="38"/>
      <c r="W102" s="47">
        <f>SUM(T102*$AB$2)</f>
        <v>20735625</v>
      </c>
      <c r="X102" s="48"/>
      <c r="Y102" s="48"/>
      <c r="Z102" s="48"/>
      <c r="AA102" s="39"/>
      <c r="AB102" s="39"/>
      <c r="AC102" s="39"/>
      <c r="AD102" s="38"/>
      <c r="AE102" s="39"/>
    </row>
    <row r="103" spans="1:31" ht="15" x14ac:dyDescent="0.2">
      <c r="A103" s="111"/>
      <c r="B103" s="62" t="s">
        <v>148</v>
      </c>
      <c r="C103" s="38"/>
      <c r="D103" s="39"/>
      <c r="E103" s="39"/>
      <c r="F103" s="39"/>
      <c r="G103" s="39"/>
      <c r="H103" s="38"/>
      <c r="I103" s="46">
        <v>1440</v>
      </c>
      <c r="J103" s="112">
        <v>1980</v>
      </c>
      <c r="K103" s="112"/>
      <c r="L103" s="39">
        <v>2003</v>
      </c>
      <c r="M103" s="43"/>
      <c r="N103" s="39"/>
      <c r="O103" s="44"/>
      <c r="P103" s="39"/>
      <c r="Q103" s="44"/>
      <c r="R103" s="39"/>
      <c r="S103" s="44"/>
      <c r="T103" s="45">
        <f t="shared" si="22"/>
        <v>1440</v>
      </c>
      <c r="U103" s="46"/>
      <c r="V103" s="38"/>
      <c r="W103" s="47">
        <f t="shared" ref="W103:W104" si="23">$AD$2</f>
        <v>200000</v>
      </c>
      <c r="X103" s="48"/>
      <c r="Y103" s="48"/>
      <c r="Z103" s="48"/>
      <c r="AA103" s="39"/>
      <c r="AB103" s="39"/>
      <c r="AC103" s="39"/>
      <c r="AD103" s="38"/>
      <c r="AE103" s="39"/>
    </row>
    <row r="104" spans="1:31" ht="15" x14ac:dyDescent="0.2">
      <c r="A104" s="36"/>
      <c r="B104" s="62" t="s">
        <v>149</v>
      </c>
      <c r="C104" s="38"/>
      <c r="D104" s="39"/>
      <c r="E104" s="39"/>
      <c r="F104" s="39"/>
      <c r="G104" s="39"/>
      <c r="H104" s="38"/>
      <c r="I104" s="46">
        <v>1440</v>
      </c>
      <c r="J104" s="42">
        <v>1980</v>
      </c>
      <c r="K104" s="42"/>
      <c r="L104" s="39">
        <v>2003</v>
      </c>
      <c r="M104" s="43"/>
      <c r="N104" s="39"/>
      <c r="O104" s="44"/>
      <c r="P104" s="39"/>
      <c r="Q104" s="44"/>
      <c r="R104" s="39"/>
      <c r="S104" s="44"/>
      <c r="T104" s="45">
        <f t="shared" si="22"/>
        <v>1440</v>
      </c>
      <c r="U104" s="46"/>
      <c r="V104" s="38"/>
      <c r="W104" s="47">
        <f t="shared" si="23"/>
        <v>200000</v>
      </c>
      <c r="X104" s="48"/>
      <c r="Y104" s="48"/>
      <c r="Z104" s="48"/>
      <c r="AA104" s="39"/>
      <c r="AB104" s="39"/>
      <c r="AC104" s="39"/>
      <c r="AD104" s="38"/>
      <c r="AE104" s="39"/>
    </row>
    <row r="105" spans="1:31" ht="15" x14ac:dyDescent="0.2">
      <c r="A105" s="113" t="s">
        <v>150</v>
      </c>
      <c r="B105" s="23"/>
      <c r="C105" s="24" t="s">
        <v>151</v>
      </c>
      <c r="D105" s="25">
        <v>5320203001</v>
      </c>
      <c r="E105" s="26">
        <v>8.77</v>
      </c>
      <c r="F105" s="25">
        <v>5320200047</v>
      </c>
      <c r="G105" s="26">
        <v>1.85</v>
      </c>
      <c r="H105" s="27">
        <f>SUM(G105,E105)</f>
        <v>10.62</v>
      </c>
      <c r="I105" s="28"/>
      <c r="J105" s="29"/>
      <c r="K105" s="29"/>
      <c r="L105" s="26"/>
      <c r="M105" s="31"/>
      <c r="N105" s="26"/>
      <c r="O105" s="28"/>
      <c r="P105" s="23"/>
      <c r="Q105" s="28"/>
      <c r="R105" s="23"/>
      <c r="S105" s="28"/>
      <c r="T105" s="32"/>
      <c r="U105" s="28"/>
      <c r="V105" s="33"/>
      <c r="W105" s="23"/>
      <c r="X105" s="35">
        <v>600</v>
      </c>
      <c r="Y105" s="35">
        <v>300</v>
      </c>
      <c r="Z105" s="35">
        <v>900</v>
      </c>
      <c r="AA105" s="23"/>
      <c r="AB105" s="23"/>
      <c r="AC105" s="23"/>
      <c r="AD105" s="33"/>
      <c r="AE105" s="23"/>
    </row>
    <row r="106" spans="1:31" ht="15" x14ac:dyDescent="0.2">
      <c r="A106" s="36"/>
      <c r="B106" s="37" t="s">
        <v>152</v>
      </c>
      <c r="C106" s="38"/>
      <c r="D106" s="39"/>
      <c r="E106" s="39"/>
      <c r="F106" s="39"/>
      <c r="G106" s="39"/>
      <c r="H106" s="38"/>
      <c r="I106" s="46">
        <v>27157</v>
      </c>
      <c r="J106" s="42">
        <v>1987</v>
      </c>
      <c r="K106" s="42">
        <v>2</v>
      </c>
      <c r="L106" s="39">
        <v>1996</v>
      </c>
      <c r="M106" s="43">
        <v>12235</v>
      </c>
      <c r="N106" s="39">
        <v>2003</v>
      </c>
      <c r="O106" s="44">
        <v>9571</v>
      </c>
      <c r="P106" s="39"/>
      <c r="Q106" s="44"/>
      <c r="R106" s="39"/>
      <c r="S106" s="44"/>
      <c r="T106" s="45">
        <f t="shared" ref="T106:T109" si="24">SUM(S106,Q106,O106,M106,I106)</f>
        <v>48963</v>
      </c>
      <c r="U106" s="39"/>
      <c r="V106" s="38"/>
      <c r="W106" s="47">
        <f>SUM(T106*$AB$2)</f>
        <v>18361125</v>
      </c>
      <c r="X106" s="48"/>
      <c r="Y106" s="48"/>
      <c r="Z106" s="48"/>
      <c r="AA106" s="39"/>
      <c r="AB106" s="39"/>
      <c r="AC106" s="39"/>
      <c r="AD106" s="38"/>
      <c r="AE106" s="39"/>
    </row>
    <row r="107" spans="1:31" ht="15" x14ac:dyDescent="0.2">
      <c r="A107" s="36"/>
      <c r="B107" s="62" t="s">
        <v>153</v>
      </c>
      <c r="C107" s="129"/>
      <c r="D107" s="39"/>
      <c r="E107" s="39"/>
      <c r="F107" s="39"/>
      <c r="G107" s="44"/>
      <c r="H107" s="38"/>
      <c r="I107" s="46">
        <v>9240</v>
      </c>
      <c r="J107" s="42">
        <v>2001</v>
      </c>
      <c r="K107" s="42"/>
      <c r="L107" s="39"/>
      <c r="M107" s="43"/>
      <c r="N107" s="39"/>
      <c r="O107" s="44"/>
      <c r="P107" s="39"/>
      <c r="Q107" s="44"/>
      <c r="R107" s="39"/>
      <c r="S107" s="44"/>
      <c r="T107" s="45">
        <f t="shared" si="24"/>
        <v>9240</v>
      </c>
      <c r="U107" s="46"/>
      <c r="V107" s="38"/>
      <c r="W107" s="47">
        <f>$AD$2*5</f>
        <v>1000000</v>
      </c>
      <c r="X107" s="48"/>
      <c r="Y107" s="48"/>
      <c r="Z107" s="48"/>
      <c r="AA107" s="39"/>
      <c r="AB107" s="39"/>
      <c r="AC107" s="39"/>
      <c r="AD107" s="38"/>
      <c r="AE107" s="39"/>
    </row>
    <row r="108" spans="1:31" ht="15" x14ac:dyDescent="0.2">
      <c r="A108" s="36"/>
      <c r="B108" s="62" t="s">
        <v>154</v>
      </c>
      <c r="C108" s="38"/>
      <c r="D108" s="39"/>
      <c r="E108" s="39"/>
      <c r="F108" s="39"/>
      <c r="G108" s="39"/>
      <c r="H108" s="38"/>
      <c r="I108" s="46">
        <v>1440</v>
      </c>
      <c r="J108" s="42">
        <v>2005</v>
      </c>
      <c r="K108" s="42"/>
      <c r="L108" s="39"/>
      <c r="M108" s="43"/>
      <c r="N108" s="39"/>
      <c r="O108" s="44"/>
      <c r="P108" s="39"/>
      <c r="Q108" s="44"/>
      <c r="R108" s="39"/>
      <c r="S108" s="44"/>
      <c r="T108" s="45">
        <f t="shared" si="24"/>
        <v>1440</v>
      </c>
      <c r="U108" s="46"/>
      <c r="V108" s="38"/>
      <c r="W108" s="47">
        <f t="shared" ref="W108:W109" si="25">$AD$2</f>
        <v>200000</v>
      </c>
      <c r="X108" s="48"/>
      <c r="Y108" s="48"/>
      <c r="Z108" s="48"/>
      <c r="AA108" s="39"/>
      <c r="AB108" s="39"/>
      <c r="AC108" s="39"/>
      <c r="AD108" s="38"/>
      <c r="AE108" s="39"/>
    </row>
    <row r="109" spans="1:31" ht="15" x14ac:dyDescent="0.2">
      <c r="A109" s="111"/>
      <c r="B109" s="62" t="s">
        <v>155</v>
      </c>
      <c r="C109" s="38"/>
      <c r="D109" s="39"/>
      <c r="E109" s="39"/>
      <c r="F109" s="39"/>
      <c r="G109" s="39"/>
      <c r="H109" s="38"/>
      <c r="I109" s="46">
        <v>1440</v>
      </c>
      <c r="J109" s="112">
        <v>1979</v>
      </c>
      <c r="K109" s="112"/>
      <c r="L109" s="39">
        <v>2000</v>
      </c>
      <c r="M109" s="43"/>
      <c r="N109" s="39"/>
      <c r="O109" s="44"/>
      <c r="P109" s="39"/>
      <c r="Q109" s="44"/>
      <c r="R109" s="39"/>
      <c r="S109" s="44"/>
      <c r="T109" s="45">
        <f t="shared" si="24"/>
        <v>1440</v>
      </c>
      <c r="U109" s="46"/>
      <c r="V109" s="38"/>
      <c r="W109" s="47">
        <f t="shared" si="25"/>
        <v>200000</v>
      </c>
      <c r="X109" s="48"/>
      <c r="Y109" s="48"/>
      <c r="Z109" s="48"/>
      <c r="AA109" s="39"/>
      <c r="AB109" s="39"/>
      <c r="AC109" s="39"/>
      <c r="AD109" s="38"/>
      <c r="AE109" s="39"/>
    </row>
    <row r="110" spans="1:31" ht="15" x14ac:dyDescent="0.2">
      <c r="A110" s="66" t="s">
        <v>156</v>
      </c>
      <c r="B110" s="67"/>
      <c r="C110" s="68" t="s">
        <v>157</v>
      </c>
      <c r="D110" s="69">
        <v>5307000101</v>
      </c>
      <c r="E110" s="70">
        <v>48.62</v>
      </c>
      <c r="F110" s="67">
        <v>5307000098</v>
      </c>
      <c r="G110" s="70">
        <v>5.14</v>
      </c>
      <c r="H110" s="71">
        <f>SUM(G110,E110)</f>
        <v>53.76</v>
      </c>
      <c r="I110" s="72"/>
      <c r="J110" s="73"/>
      <c r="K110" s="73"/>
      <c r="L110" s="70"/>
      <c r="M110" s="74"/>
      <c r="N110" s="70"/>
      <c r="O110" s="72"/>
      <c r="P110" s="67"/>
      <c r="Q110" s="72"/>
      <c r="R110" s="67"/>
      <c r="S110" s="72"/>
      <c r="T110" s="75"/>
      <c r="U110" s="72"/>
      <c r="V110" s="76"/>
      <c r="W110" s="67"/>
      <c r="X110" s="78">
        <v>1200</v>
      </c>
      <c r="Y110" s="78">
        <v>0</v>
      </c>
      <c r="Z110" s="78">
        <v>1200</v>
      </c>
      <c r="AA110" s="67"/>
      <c r="AB110" s="67"/>
      <c r="AC110" s="67"/>
      <c r="AD110" s="76"/>
      <c r="AE110" s="67"/>
    </row>
    <row r="111" spans="1:31" ht="15" x14ac:dyDescent="0.2">
      <c r="A111" s="36"/>
      <c r="B111" s="62" t="s">
        <v>158</v>
      </c>
      <c r="C111" s="38"/>
      <c r="D111" s="39"/>
      <c r="E111" s="39"/>
      <c r="F111" s="39"/>
      <c r="G111" s="39"/>
      <c r="H111" s="38"/>
      <c r="I111" s="46">
        <v>159787</v>
      </c>
      <c r="J111" s="42">
        <v>2008</v>
      </c>
      <c r="K111" s="42">
        <v>1</v>
      </c>
      <c r="L111" s="39">
        <v>2010</v>
      </c>
      <c r="M111" s="43">
        <v>5813</v>
      </c>
      <c r="N111" s="39">
        <v>2018</v>
      </c>
      <c r="O111" s="44">
        <v>14276</v>
      </c>
      <c r="P111" s="39"/>
      <c r="Q111" s="44"/>
      <c r="R111" s="39"/>
      <c r="S111" s="44"/>
      <c r="T111" s="45">
        <f t="shared" ref="T111:T114" si="26">SUM(S111,Q111,O111,M111,I111)</f>
        <v>179876</v>
      </c>
      <c r="U111" s="44"/>
      <c r="V111" s="38"/>
      <c r="W111" s="47">
        <f>SUM(T111*$AB$2)</f>
        <v>67453500</v>
      </c>
      <c r="X111" s="48"/>
      <c r="Y111" s="48"/>
      <c r="Z111" s="48"/>
      <c r="AA111" s="39"/>
      <c r="AB111" s="48">
        <f>SUM(T111,I111)</f>
        <v>339663</v>
      </c>
      <c r="AC111" s="39"/>
      <c r="AD111" s="38"/>
      <c r="AE111" s="39"/>
    </row>
    <row r="112" spans="1:31" ht="15" x14ac:dyDescent="0.2">
      <c r="A112" s="36"/>
      <c r="B112" s="62" t="s">
        <v>159</v>
      </c>
      <c r="C112" s="38"/>
      <c r="D112" s="39"/>
      <c r="E112" s="39"/>
      <c r="F112" s="39"/>
      <c r="G112" s="39"/>
      <c r="H112" s="38"/>
      <c r="I112" s="46">
        <v>1000</v>
      </c>
      <c r="J112" s="42">
        <v>2007</v>
      </c>
      <c r="K112" s="42"/>
      <c r="L112" s="39"/>
      <c r="M112" s="43"/>
      <c r="N112" s="39"/>
      <c r="O112" s="44"/>
      <c r="P112" s="39"/>
      <c r="Q112" s="44"/>
      <c r="R112" s="39"/>
      <c r="S112" s="44"/>
      <c r="T112" s="45">
        <f t="shared" si="26"/>
        <v>1000</v>
      </c>
      <c r="U112" s="44"/>
      <c r="V112" s="38"/>
      <c r="W112" s="47">
        <f>SUM(T112*($AC$2/2))</f>
        <v>105000</v>
      </c>
      <c r="X112" s="48"/>
      <c r="Y112" s="48"/>
      <c r="Z112" s="48"/>
      <c r="AA112" s="39"/>
      <c r="AB112" s="39"/>
      <c r="AC112" s="39"/>
      <c r="AD112" s="38"/>
      <c r="AE112" s="39"/>
    </row>
    <row r="113" spans="1:31" ht="15" x14ac:dyDescent="0.2">
      <c r="A113" s="36"/>
      <c r="B113" s="62" t="s">
        <v>160</v>
      </c>
      <c r="C113" s="38"/>
      <c r="D113" s="39"/>
      <c r="E113" s="39"/>
      <c r="F113" s="39"/>
      <c r="G113" s="39"/>
      <c r="H113" s="38"/>
      <c r="I113" s="46">
        <v>3032</v>
      </c>
      <c r="J113" s="42">
        <v>2012</v>
      </c>
      <c r="K113" s="42"/>
      <c r="L113" s="39"/>
      <c r="M113" s="43"/>
      <c r="N113" s="39"/>
      <c r="O113" s="44"/>
      <c r="P113" s="39"/>
      <c r="Q113" s="44"/>
      <c r="R113" s="39"/>
      <c r="S113" s="44"/>
      <c r="T113" s="45">
        <f t="shared" si="26"/>
        <v>3032</v>
      </c>
      <c r="U113" s="44"/>
      <c r="V113" s="38"/>
      <c r="W113" s="47">
        <f>SUM(T113*$AB$2)</f>
        <v>1137000</v>
      </c>
      <c r="X113" s="48"/>
      <c r="Y113" s="48"/>
      <c r="Z113" s="48"/>
      <c r="AA113" s="39"/>
      <c r="AB113" s="39"/>
      <c r="AC113" s="39"/>
      <c r="AD113" s="38"/>
      <c r="AE113" s="39"/>
    </row>
    <row r="114" spans="1:31" ht="15" x14ac:dyDescent="0.2">
      <c r="A114" s="36"/>
      <c r="B114" s="62" t="s">
        <v>161</v>
      </c>
      <c r="C114" s="38"/>
      <c r="D114" s="39"/>
      <c r="E114" s="39"/>
      <c r="F114" s="39"/>
      <c r="G114" s="39"/>
      <c r="H114" s="38"/>
      <c r="I114" s="46">
        <v>528</v>
      </c>
      <c r="J114" s="42">
        <v>2013</v>
      </c>
      <c r="K114" s="42"/>
      <c r="L114" s="39"/>
      <c r="M114" s="43"/>
      <c r="N114" s="39"/>
      <c r="O114" s="44"/>
      <c r="P114" s="39"/>
      <c r="Q114" s="44"/>
      <c r="R114" s="39"/>
      <c r="S114" s="44"/>
      <c r="T114" s="45">
        <f t="shared" si="26"/>
        <v>528</v>
      </c>
      <c r="U114" s="44"/>
      <c r="V114" s="38"/>
      <c r="W114" s="47">
        <f>SUM(T114*$AC$2)</f>
        <v>110880</v>
      </c>
      <c r="X114" s="48"/>
      <c r="Y114" s="48"/>
      <c r="Z114" s="48"/>
      <c r="AA114" s="39"/>
      <c r="AB114" s="39"/>
      <c r="AC114" s="39"/>
      <c r="AD114" s="38"/>
      <c r="AE114" s="39"/>
    </row>
    <row r="115" spans="1:31" ht="15" x14ac:dyDescent="0.2">
      <c r="A115" s="22" t="s">
        <v>162</v>
      </c>
      <c r="B115" s="23"/>
      <c r="C115" s="24" t="s">
        <v>163</v>
      </c>
      <c r="D115" s="25">
        <v>4306102001</v>
      </c>
      <c r="E115" s="26">
        <v>30.79</v>
      </c>
      <c r="F115" s="23"/>
      <c r="G115" s="26"/>
      <c r="H115" s="27">
        <f>SUM(G115,E115)</f>
        <v>30.79</v>
      </c>
      <c r="I115" s="28"/>
      <c r="J115" s="29"/>
      <c r="K115" s="29"/>
      <c r="L115" s="26"/>
      <c r="M115" s="31"/>
      <c r="N115" s="26"/>
      <c r="O115" s="28"/>
      <c r="P115" s="23"/>
      <c r="Q115" s="28"/>
      <c r="R115" s="23"/>
      <c r="S115" s="28"/>
      <c r="T115" s="32"/>
      <c r="U115" s="28"/>
      <c r="V115" s="33"/>
      <c r="W115" s="23"/>
      <c r="X115" s="35">
        <v>650</v>
      </c>
      <c r="Y115" s="35">
        <v>300</v>
      </c>
      <c r="Z115" s="35">
        <v>950</v>
      </c>
      <c r="AA115" s="23"/>
      <c r="AB115" s="23"/>
      <c r="AC115" s="23"/>
      <c r="AD115" s="33"/>
      <c r="AE115" s="23"/>
    </row>
    <row r="116" spans="1:31" ht="15" x14ac:dyDescent="0.2">
      <c r="A116" s="36"/>
      <c r="B116" s="37" t="s">
        <v>164</v>
      </c>
      <c r="C116" s="38"/>
      <c r="D116" s="39"/>
      <c r="E116" s="39"/>
      <c r="F116" s="39"/>
      <c r="G116" s="39"/>
      <c r="H116" s="38"/>
      <c r="I116" s="46">
        <v>44130</v>
      </c>
      <c r="J116" s="42">
        <v>2000</v>
      </c>
      <c r="K116" s="42">
        <v>1</v>
      </c>
      <c r="L116" s="39">
        <v>2001</v>
      </c>
      <c r="M116" s="43">
        <v>11970</v>
      </c>
      <c r="N116" s="39"/>
      <c r="O116" s="44"/>
      <c r="P116" s="39"/>
      <c r="Q116" s="44"/>
      <c r="R116" s="39"/>
      <c r="S116" s="44"/>
      <c r="T116" s="45">
        <f t="shared" ref="T116:T120" si="27">SUM(I116,M116,O116,Q116,S116)</f>
        <v>56100</v>
      </c>
      <c r="U116" s="39"/>
      <c r="V116" s="38"/>
      <c r="W116" s="47">
        <f>SUM(T116*$AB$2)</f>
        <v>21037500</v>
      </c>
      <c r="X116" s="48"/>
      <c r="Y116" s="48"/>
      <c r="Z116" s="48"/>
      <c r="AA116" s="39"/>
      <c r="AB116" s="39"/>
      <c r="AC116" s="39"/>
      <c r="AD116" s="38"/>
      <c r="AE116" s="39"/>
    </row>
    <row r="117" spans="1:31" ht="15" x14ac:dyDescent="0.2">
      <c r="A117" s="36"/>
      <c r="B117" s="62" t="s">
        <v>165</v>
      </c>
      <c r="C117" s="38"/>
      <c r="D117" s="39"/>
      <c r="E117" s="39"/>
      <c r="F117" s="39"/>
      <c r="G117" s="39"/>
      <c r="H117" s="38"/>
      <c r="I117" s="46">
        <v>6773</v>
      </c>
      <c r="J117" s="42">
        <v>2002</v>
      </c>
      <c r="K117" s="42"/>
      <c r="L117" s="39">
        <v>2002</v>
      </c>
      <c r="M117" s="43"/>
      <c r="N117" s="39"/>
      <c r="O117" s="44"/>
      <c r="P117" s="39"/>
      <c r="Q117" s="44"/>
      <c r="R117" s="39"/>
      <c r="S117" s="44"/>
      <c r="T117" s="45">
        <f t="shared" si="27"/>
        <v>6773</v>
      </c>
      <c r="U117" s="46"/>
      <c r="V117" s="38"/>
      <c r="W117" s="47">
        <f>$AD$2*3</f>
        <v>600000</v>
      </c>
      <c r="X117" s="48"/>
      <c r="Y117" s="48"/>
      <c r="Z117" s="48"/>
      <c r="AA117" s="39"/>
      <c r="AB117" s="39"/>
      <c r="AC117" s="39"/>
      <c r="AD117" s="38"/>
      <c r="AE117" s="39"/>
    </row>
    <row r="118" spans="1:31" ht="15" x14ac:dyDescent="0.2">
      <c r="A118" s="36"/>
      <c r="B118" s="62" t="s">
        <v>166</v>
      </c>
      <c r="C118" s="38"/>
      <c r="D118" s="39"/>
      <c r="E118" s="39"/>
      <c r="F118" s="39"/>
      <c r="G118" s="39"/>
      <c r="H118" s="38"/>
      <c r="I118" s="46">
        <v>1440</v>
      </c>
      <c r="J118" s="42">
        <v>2005</v>
      </c>
      <c r="K118" s="42"/>
      <c r="L118" s="39">
        <v>2005</v>
      </c>
      <c r="M118" s="43"/>
      <c r="N118" s="39"/>
      <c r="O118" s="44"/>
      <c r="P118" s="39"/>
      <c r="Q118" s="44"/>
      <c r="R118" s="39"/>
      <c r="S118" s="44"/>
      <c r="T118" s="45">
        <f t="shared" si="27"/>
        <v>1440</v>
      </c>
      <c r="U118" s="46"/>
      <c r="V118" s="38"/>
      <c r="W118" s="47">
        <f t="shared" ref="W118:W120" si="28">$AD$2</f>
        <v>200000</v>
      </c>
      <c r="X118" s="48"/>
      <c r="Y118" s="48"/>
      <c r="Z118" s="48"/>
      <c r="AA118" s="39"/>
      <c r="AB118" s="39"/>
      <c r="AC118" s="39"/>
      <c r="AD118" s="38"/>
      <c r="AE118" s="39"/>
    </row>
    <row r="119" spans="1:31" ht="15" x14ac:dyDescent="0.2">
      <c r="A119" s="36"/>
      <c r="B119" s="62" t="s">
        <v>167</v>
      </c>
      <c r="C119" s="38"/>
      <c r="D119" s="39"/>
      <c r="E119" s="39"/>
      <c r="F119" s="39"/>
      <c r="G119" s="39"/>
      <c r="H119" s="38"/>
      <c r="I119" s="46">
        <v>1440</v>
      </c>
      <c r="J119" s="42">
        <v>1993</v>
      </c>
      <c r="K119" s="42"/>
      <c r="L119" s="39">
        <v>2000</v>
      </c>
      <c r="M119" s="43"/>
      <c r="N119" s="39"/>
      <c r="O119" s="44"/>
      <c r="P119" s="39"/>
      <c r="Q119" s="44"/>
      <c r="R119" s="39"/>
      <c r="S119" s="44"/>
      <c r="T119" s="45">
        <f t="shared" si="27"/>
        <v>1440</v>
      </c>
      <c r="U119" s="46"/>
      <c r="V119" s="38"/>
      <c r="W119" s="47">
        <f t="shared" si="28"/>
        <v>200000</v>
      </c>
      <c r="X119" s="48"/>
      <c r="Y119" s="48"/>
      <c r="Z119" s="48"/>
      <c r="AA119" s="39"/>
      <c r="AB119" s="39"/>
      <c r="AC119" s="39"/>
      <c r="AD119" s="38"/>
      <c r="AE119" s="39"/>
    </row>
    <row r="120" spans="1:31" ht="15" x14ac:dyDescent="0.2">
      <c r="A120" s="36"/>
      <c r="B120" s="62" t="s">
        <v>168</v>
      </c>
      <c r="C120" s="38"/>
      <c r="D120" s="39"/>
      <c r="E120" s="39"/>
      <c r="F120" s="39"/>
      <c r="G120" s="39"/>
      <c r="H120" s="38"/>
      <c r="I120" s="46">
        <v>1440</v>
      </c>
      <c r="J120" s="42">
        <v>1993</v>
      </c>
      <c r="K120" s="42"/>
      <c r="L120" s="39">
        <v>2003</v>
      </c>
      <c r="M120" s="43"/>
      <c r="N120" s="39"/>
      <c r="O120" s="44"/>
      <c r="P120" s="39"/>
      <c r="Q120" s="44"/>
      <c r="R120" s="39"/>
      <c r="S120" s="44"/>
      <c r="T120" s="45">
        <f t="shared" si="27"/>
        <v>1440</v>
      </c>
      <c r="U120" s="46">
        <f>SUM(T119/2)</f>
        <v>720</v>
      </c>
      <c r="V120" s="38"/>
      <c r="W120" s="47">
        <f t="shared" si="28"/>
        <v>200000</v>
      </c>
      <c r="X120" s="48"/>
      <c r="Y120" s="48"/>
      <c r="Z120" s="48"/>
      <c r="AA120" s="39"/>
      <c r="AB120" s="39"/>
      <c r="AC120" s="39"/>
      <c r="AD120" s="38"/>
      <c r="AE120" s="39"/>
    </row>
    <row r="121" spans="1:31" ht="15" x14ac:dyDescent="0.2">
      <c r="A121" s="130" t="s">
        <v>169</v>
      </c>
      <c r="B121" s="15"/>
      <c r="C121" s="131"/>
      <c r="D121" s="132"/>
      <c r="E121" s="133"/>
      <c r="F121" s="15"/>
      <c r="G121" s="133"/>
      <c r="H121" s="134">
        <f t="shared" ref="H121:H122" si="29">SUM(G121,E121)</f>
        <v>0</v>
      </c>
      <c r="I121" s="18"/>
      <c r="J121" s="135"/>
      <c r="K121" s="135"/>
      <c r="L121" s="133"/>
      <c r="M121" s="17"/>
      <c r="N121" s="133"/>
      <c r="O121" s="18"/>
      <c r="P121" s="15"/>
      <c r="Q121" s="18"/>
      <c r="R121" s="15"/>
      <c r="S121" s="18"/>
      <c r="T121" s="136"/>
      <c r="U121" s="18"/>
      <c r="V121" s="16"/>
      <c r="W121" s="15"/>
      <c r="X121" s="18"/>
      <c r="Y121" s="18"/>
      <c r="Z121" s="18"/>
      <c r="AA121" s="15"/>
      <c r="AB121" s="15"/>
      <c r="AC121" s="15"/>
      <c r="AD121" s="16"/>
      <c r="AE121" s="15"/>
    </row>
    <row r="122" spans="1:31" ht="15" x14ac:dyDescent="0.2">
      <c r="A122" s="36"/>
      <c r="B122" s="137"/>
      <c r="C122" s="38" t="s">
        <v>170</v>
      </c>
      <c r="D122" s="138">
        <v>4129002001</v>
      </c>
      <c r="E122" s="39">
        <v>10.01</v>
      </c>
      <c r="F122" s="39"/>
      <c r="G122" s="39"/>
      <c r="H122" s="139">
        <f t="shared" si="29"/>
        <v>10.01</v>
      </c>
      <c r="I122" s="140"/>
      <c r="J122" s="141"/>
      <c r="K122" s="141"/>
      <c r="L122" s="39"/>
      <c r="M122" s="43"/>
      <c r="N122" s="39"/>
      <c r="O122" s="44"/>
      <c r="P122" s="39"/>
      <c r="Q122" s="44"/>
      <c r="R122" s="39"/>
      <c r="S122" s="44"/>
      <c r="T122" s="142"/>
      <c r="U122" s="140"/>
      <c r="V122" s="38"/>
      <c r="W122" s="61"/>
      <c r="X122" s="44"/>
      <c r="Y122" s="44"/>
      <c r="Z122" s="44"/>
      <c r="AA122" s="39"/>
      <c r="AB122" s="39"/>
      <c r="AC122" s="39"/>
      <c r="AD122" s="38"/>
      <c r="AE122" s="39"/>
    </row>
    <row r="123" spans="1:31" s="145" customFormat="1" ht="15.75" customHeight="1" x14ac:dyDescent="0.15">
      <c r="A123" s="143" t="s">
        <v>171</v>
      </c>
      <c r="B123" s="143"/>
      <c r="C123" s="143"/>
      <c r="D123" s="143"/>
      <c r="E123" s="143"/>
      <c r="F123" s="143"/>
      <c r="G123" s="143"/>
      <c r="H123" s="143">
        <f>SUM(H3:H122)</f>
        <v>1884.3299999999997</v>
      </c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4">
        <f>SUM(T3:T122)</f>
        <v>1847292</v>
      </c>
      <c r="U123" s="143"/>
      <c r="V123" s="143"/>
      <c r="W123" s="143"/>
      <c r="X123" s="143"/>
      <c r="Y123" s="143"/>
      <c r="Z123" s="143"/>
    </row>
    <row r="126" spans="1:31" ht="15.75" customHeight="1" x14ac:dyDescent="0.15">
      <c r="A126" s="146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2022-10-25T16:25:30Z</dcterms:modified>
</cp:coreProperties>
</file>