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G:\Shared drives\Finance\SDFORMS\SDBUD24\"/>
    </mc:Choice>
  </mc:AlternateContent>
  <workbookProtection workbookAlgorithmName="SHA-512" workbookHashValue="apgVjvldvdjMPc19pSxvWcarXbsHbJyJ6eYROG0oF46FFwClv+FDaENyDw9Qz0v3uJ8Z89LF0013qjTs3yuVOw==" workbookSaltValue="voD552cZT9JSbt3et+5Z3w==" workbookSpinCount="100000" lockStructure="1"/>
  <bookViews>
    <workbookView xWindow="-108" yWindow="-108" windowWidth="23256" windowHeight="12576" tabRatio="877"/>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Instructions!$D$1:$E$156</definedName>
    <definedName name="_Key1" hidden="1">'Page 6'!$O$8</definedName>
    <definedName name="_Order1" hidden="1">255</definedName>
    <definedName name="_PAV2">'Data Entry'!$L$79</definedName>
    <definedName name="_QL912">'BSA55'!$G$163</definedName>
    <definedName name="_Sort" hidden="1">'Page 6'!$O$8:$O$34</definedName>
    <definedName name="AccommRCL05">'Data Entry'!$L$131</definedName>
    <definedName name="AccommRCL10">'Data Entry'!$L$130</definedName>
    <definedName name="AccommTransCheck">'Data Entry'!$C$127</definedName>
    <definedName name="ActAuditExpend">'Data Entry'!$C$55</definedName>
    <definedName name="ActDisabilityRM">'Data Entry'!$L$64</definedName>
    <definedName name="ActivTripLvlFactor">'BSA55'!$E$84</definedName>
    <definedName name="AdjacentWays">Instructions!$C$34</definedName>
    <definedName name="AdjBaseSuppLvl">'BSA55'!$H$67</definedName>
    <definedName name="AdjFYTRCL">'BSA55'!$C$102</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Instructions!$C$21</definedName>
    <definedName name="AvgTeacherSalaries">Instructions!$C$9</definedName>
    <definedName name="BaseLevelAmount">'Data Entry'!$J$6</definedName>
    <definedName name="BSA55BLA">'BSA55'!$H$52</definedName>
    <definedName name="BSA55General">Instructions!$C$154</definedName>
    <definedName name="BSA55P4ActivityTripFactors">Instructions!$C$156</definedName>
    <definedName name="BSA55P4AuditServiceExpense">Instructions!$C$155</definedName>
    <definedName name="BSA55TEI">'BSA55'!$C$54</definedName>
    <definedName name="BUDG75Adj">'Data Entry'!$L$84</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Instructions!$C$153</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Entry'!$L$99</definedName>
    <definedName name="CYIAMOTRCL">'Data Entry'!$L$98</definedName>
    <definedName name="CYIARev">'Data Entry'!$L$96</definedName>
    <definedName name="CYIARevBondDS">'Data Entry'!$L$97</definedName>
    <definedName name="CYTRCL">'BSA55'!$E$103</definedName>
    <definedName name="DailyRteMilesPerElgStud">'BSA55'!$E$79</definedName>
    <definedName name="DataEntryGeneral">Instructions!$C$103</definedName>
    <definedName name="DataEntryOtherBSLBRCLAdjl1">Instructions!$C$126</definedName>
    <definedName name="DataEntryOtherBSLBRCLAdjl3">Instructions!$C$127</definedName>
    <definedName name="DataEntryOtherBSLBRCLAdjl4">Instructions!$C$129</definedName>
    <definedName name="DataEntryOtherBSLBRCLAdjl5">Instructions!$C$130</definedName>
    <definedName name="DataEntryOtherBSLBRCLAdjl6">Instructions!$C$132</definedName>
    <definedName name="DataEntryOtherBSLBRCLAdjl7">Instructions!$C$133</definedName>
    <definedName name="DataEntryOtherInfo10f">Instructions!$C$144</definedName>
    <definedName name="DataEntryOtherInfol1">Instructions!$C$137</definedName>
    <definedName name="DataEntryOtherInfol12">Instructions!$C$145</definedName>
    <definedName name="DataEntryOtherInfol14">Instructions!$C$146</definedName>
    <definedName name="DataEntryOtherInfol15">Instructions!$C$147</definedName>
    <definedName name="DataEntryOtherInfol17">Instructions!$C$148</definedName>
    <definedName name="DataEntryOtherInfol18">Instructions!$C$149</definedName>
    <definedName name="DataEntryOtherInfol1Continued">Instructions!$C$138</definedName>
    <definedName name="DataEntryOtherInfol2">Instructions!$C$139</definedName>
    <definedName name="DataEntryOtherInfol3">Instructions!$C$140</definedName>
    <definedName name="DataEntryOtherInfol5">Instructions!$C$141</definedName>
    <definedName name="DataEntryOtherInfol8">Instructions!$C$142</definedName>
    <definedName name="DataEntryOtherInfol9">Instructions!$C$143</definedName>
    <definedName name="DataEntryTransl1">Instructions!$C$134</definedName>
    <definedName name="DataEntryTransl3">Instructions!$C$135</definedName>
    <definedName name="DataEntryTransl5">Instructions!$C$136</definedName>
    <definedName name="DataEntryType01Infol1">Instructions!$C$151</definedName>
    <definedName name="DataEntryType01Infol2">Instructions!$C$152</definedName>
    <definedName name="DataEntryUSCl1">Instructions!$C$105</definedName>
    <definedName name="DataEntryUSCl2">Instructions!$C$106</definedName>
    <definedName name="DataEntryUSCl345">Instructions!$C$107</definedName>
    <definedName name="DataEntryUSCSCAl10">Instructions!$C$112</definedName>
    <definedName name="DataEntryUSCSCAl11">Instructions!$C$113</definedName>
    <definedName name="DataEntryUSCSCAl12">Instructions!$C$114</definedName>
    <definedName name="DataEntryUSCSCAl13">Instructions!$C$115</definedName>
    <definedName name="DataEntryUSCSCAl14">Instructions!$C$116</definedName>
    <definedName name="DataEntryUSCSCAl15">Instructions!$C$117</definedName>
    <definedName name="DataEntryUSCSCAl16">Instructions!$C$118</definedName>
    <definedName name="DataEntryUSCSCAl17">Instructions!$C$119</definedName>
    <definedName name="DataEntryUSCSCAl18">Instructions!$C$120</definedName>
    <definedName name="DataEntryUSCSCAl19">Instructions!$C$121</definedName>
    <definedName name="DataEntryUSCSCAl20">Instructions!$C$122</definedName>
    <definedName name="DataEntryUSCSCAl21">Instructions!$C$123</definedName>
    <definedName name="DataEntryUSCSCAl23">Instructions!$C$125</definedName>
    <definedName name="DataEntryUSCSCAl7">Instructions!$C$109</definedName>
    <definedName name="DataEntryUSCSCAl720">Instructions!$C$108</definedName>
    <definedName name="DataEntryUSCSCAl9">Instructions!$C$111</definedName>
    <definedName name="DDPJCTEOriginalBudget">'Truth in Tax'!$G$18</definedName>
    <definedName name="DecrTransMOtoEWS">'Page 7'!$J$47</definedName>
    <definedName name="DistrictContact">Instructions!$C$10</definedName>
    <definedName name="DistrictName">Cover!$C$1</definedName>
    <definedName name="DSL">'BSA55'!$J$79</definedName>
    <definedName name="DSLRCL912">'BSA55'!$L$143</definedName>
    <definedName name="DSLRCLPSD8">'BSA55'!$L$142</definedName>
    <definedName name="DSLRCLTotal">'BSA55'!$L$144</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'BSA55'!$G$164</definedName>
    <definedName name="EqualAssistPSD8">'BSA55'!$E$164</definedName>
    <definedName name="EqualBase912">'BSA55'!$G$162</definedName>
    <definedName name="EqualBasePSD8">'BSA55'!$E$162</definedName>
    <definedName name="EstDisabilityRM">'Data Entry'!$L$65</definedName>
    <definedName name="EstimatedFTECertified">'Page 2'!$G$28</definedName>
    <definedName name="EstTaxRateBudgFY">Cover!$Q$13</definedName>
    <definedName name="EstTaxRateBudgFYSumm">'Summary Page 1'!$D$14</definedName>
    <definedName name="ExcessTNTLimit">'Truth in Tax'!$I$25</definedName>
    <definedName name="ExpOUOrigBudg">'Truth in Tax'!$I$18</definedName>
    <definedName name="F001AuditBudg6350">'Page 2'!$O$8</definedName>
    <definedName name="F001P100F1000">'Page 1'!$L$7</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1'!$F$32</definedName>
    <definedName name="F001P100F1000Personnel">'Page 1'!$E$8</definedName>
    <definedName name="F001P100F1000SBBudgFY">'Summary Page 1'!$D$32</definedName>
    <definedName name="F001P100F1000TotBudgFY">'Summary Page 1'!$H$32</definedName>
    <definedName name="F001P100F2100">'Page 1'!$L$9</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1'!$F$34</definedName>
    <definedName name="F001P100F2100Personnel">'Page 1'!$E$10</definedName>
    <definedName name="F001P100F2100SBBudgFY">'Summary Page 1'!$D$34</definedName>
    <definedName name="F001P100F2100TotBudgFY">'Summary Page 1'!$H$34</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1'!$L$23</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1'!$F$45</definedName>
    <definedName name="F001P200F1000Personnel">'Page 1'!$E$24</definedName>
    <definedName name="F001P200F1000SBBudgFY">'Summary Page 1'!$D$45</definedName>
    <definedName name="F001P200F1000TotBudgFY">'Summary Page 1'!$H$45</definedName>
    <definedName name="F001P200F2100">'Page 1'!$L$25</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1'!$F$47</definedName>
    <definedName name="F001P200F2100Personnel">'Page 1'!$E$26</definedName>
    <definedName name="F001P200F2100SBBudgFY">'Summary Page 1'!$D$47</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1'!$L$36</definedName>
    <definedName name="F001P510O6100">'Page 1'!$F$36</definedName>
    <definedName name="F001P510O6200">'Page 1'!$G$36</definedName>
    <definedName name="F001P510O630064006500">'Page 1'!$H$36</definedName>
    <definedName name="F001P510O6600">'Page 1'!$I$36</definedName>
    <definedName name="F001P510O6800">'Page 1'!$J$36</definedName>
    <definedName name="F001P510OthBudgFY">'Summary Page 1'!$F$56</definedName>
    <definedName name="F001P510Personnel">'Page 1'!$E$36</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1'!$L$39</definedName>
    <definedName name="F001P540O6100">'Page 1'!$F$39</definedName>
    <definedName name="F001P540O6200">'Page 1'!$G$39</definedName>
    <definedName name="F001P540O630064006500">'Page 1'!$H$39</definedName>
    <definedName name="F001P540O6600">'Page 1'!$I$39</definedName>
    <definedName name="F001P540O6800">'Page 1'!$J$39</definedName>
    <definedName name="F001P540OthBudgFY">'Summary Page 1'!$F$58</definedName>
    <definedName name="F001P540Personnel">'Page 1'!$E$39</definedName>
    <definedName name="F001P540SBBudgFY">'Summary Page 1'!$D$58</definedName>
    <definedName name="F001P540TotBudgFY">'Summary Page 1'!$H$58</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1'!$L$42</definedName>
    <definedName name="F001TotalExpSumm">'Summary Page 1'!$C$22</definedName>
    <definedName name="F001TotExpCurrFY">'Page 1'!$K$42</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6'!$H$41</definedName>
    <definedName name="F020DropPrevProgBudgFY">'Page 6'!$H$42</definedName>
    <definedName name="F020InstrImprProgBudgFY">'Page 6'!$H$43</definedName>
    <definedName name="F020TeachCompIncrBudgFY">'Page 6'!$H$40</definedName>
    <definedName name="F020TotBudgFY">'Page 6'!$H$44</definedName>
    <definedName name="F020TotCurrFY">'Page 6'!$F$44</definedName>
    <definedName name="F050BudgFY">'Page 6'!$T$5</definedName>
    <definedName name="F050CurrFY">'Page 6'!$S$5</definedName>
    <definedName name="F071BudgFY">Supplement!$M$18</definedName>
    <definedName name="F071CurrFY">Supplement!$L$18</definedName>
    <definedName name="F071F1000">Supplement!$M$7</definedName>
    <definedName name="F071F1000Personnel">Supplement!$E$8</definedName>
    <definedName name="F071F2100">Supplement!$M$9</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Supplement!$M$19</definedName>
    <definedName name="F072F1000Personnel">Supplement!$E$20</definedName>
    <definedName name="F072F2100">Supplement!$M$21</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1'!$H$47</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6'!$J$23</definedName>
    <definedName name="F300399OtherPersonnel">'Page 6'!$G$23</definedName>
    <definedName name="F374BudgFY">'Page 6'!$J$21</definedName>
    <definedName name="F374Personnel">'Page 6'!$G$21</definedName>
    <definedName name="F378BudgFY">'Page 6'!$J$22</definedName>
    <definedName name="F378Personnel">'Page 6'!$G$22</definedName>
    <definedName name="F400BudgFY">'Page 6'!$J$26</definedName>
    <definedName name="F400Personnel">'Page 6'!$G$26</definedName>
    <definedName name="F410BudgFY">'Page 6'!$J$27</definedName>
    <definedName name="F410Personnel">'Page 6'!$G$27</definedName>
    <definedName name="F420BudgFY">'Page 6'!$J$28</definedName>
    <definedName name="F420Personnel">'Page 6'!$G$28</definedName>
    <definedName name="F425BudgFY">'Page 6'!$J$29</definedName>
    <definedName name="F425Personnel">'Page 6'!$G$29</definedName>
    <definedName name="F430BudgFY">'Page 6'!$J$30</definedName>
    <definedName name="F430Personnel">'Page 6'!$G$30</definedName>
    <definedName name="F435BudgFY">'Page 6'!$J$31</definedName>
    <definedName name="F435Personnel">'Page 6'!$G$31</definedName>
    <definedName name="F450BudgFY">'Page 6'!$J$32</definedName>
    <definedName name="F450Personnel">'Page 6'!$G$32</definedName>
    <definedName name="F456BudgFY">'Page 6'!$J$33</definedName>
    <definedName name="F456Personnel">'Page 6'!$G$33</definedName>
    <definedName name="F460BudgFY">'Page 6'!$J$34</definedName>
    <definedName name="F460Personnel">'Page 6'!$G$34</definedName>
    <definedName name="F465499BudgFY">'Page 6'!$J$35</definedName>
    <definedName name="F465499Personnel">'Page 6'!$G$35</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F1000">'Page 4'!$L$9</definedName>
    <definedName name="F610F21002200">'Page 4'!$L$11</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4'!$B$33</definedName>
    <definedName name="F610O6734">'Page 4'!$B$34</definedName>
    <definedName name="F610O6737">'Page 4'!$B$35</definedName>
    <definedName name="F610Override">'Page 4'!$L$8</definedName>
    <definedName name="F610TotalBudgFY">'Page 4'!$L$19</definedName>
    <definedName name="F610TotalCurrF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TotalBudgFY">'Page 5'!$I$8</definedName>
    <definedName name="F695TotalCurrFY">'Page 5'!$H$8</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Y2018Salary">Cover!$S$40</definedName>
    <definedName name="GBLBudgFY">'Page 7'!$J$55</definedName>
    <definedName name="GBLBudgFYSumm">'Summary Page 1'!$D$22</definedName>
    <definedName name="GPLETV">'Data Entry'!$L$81</definedName>
    <definedName name="HSCountDORtoDOA">'Data Entry'!$L$124</definedName>
    <definedName name="IEPTransportCosts">'Page 2'!$G$19</definedName>
    <definedName name="Incr200Days">'Data Entry'!$E$49</definedName>
    <definedName name="IncreaseTuitionLossAdj">Calculations!$R$215</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'BSA55'!$I$143</definedName>
    <definedName name="MOFoodService">Instructions!$C$22</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Instructions!$C$20</definedName>
    <definedName name="Page2n4">Instructions!$C$22</definedName>
    <definedName name="Page3">'Page 4'!$A$1:$P$40</definedName>
    <definedName name="Page3Gen">Instructions!$C$23</definedName>
    <definedName name="Page3Line11">Instructions!$C$26</definedName>
    <definedName name="Page3Line13">Instructions!$C$27</definedName>
    <definedName name="Page3Line14">Instructions!$C$28</definedName>
    <definedName name="Page3Line15">Instructions!$C$30</definedName>
    <definedName name="Page3Line4">Instructions!$C$24</definedName>
    <definedName name="Page3Line9">Instructions!$C$25</definedName>
    <definedName name="Page4f5">Instructions!$C$32</definedName>
    <definedName name="Page4L10">Instructions!$C$31</definedName>
    <definedName name="Page5">'Page 6'!$A$1:$U$40</definedName>
    <definedName name="Page5SelectExp">Instructions!$C$33</definedName>
    <definedName name="Page6">'Page 7'!$A$1:$M$70</definedName>
    <definedName name="Page6F456">Instructions!$C$37</definedName>
    <definedName name="Page6l16">Instructions!$C$35</definedName>
    <definedName name="Page6l17">Instructions!$C$36</definedName>
    <definedName name="Page6l2">Instructions!$C$46</definedName>
    <definedName name="Page6l24">Instructions!$C$41</definedName>
    <definedName name="Page6l28">Instructions!$C$38</definedName>
    <definedName name="Page6l29">Instructions!$C$42</definedName>
    <definedName name="Page6l2and3">Instructions!$C$39</definedName>
    <definedName name="Page6l30">Instructions!$C$43</definedName>
    <definedName name="Page6l33">Instructions!$C$44</definedName>
    <definedName name="Page6l34">Instructions!$C$45</definedName>
    <definedName name="Page6l4">Instructions!$C$40</definedName>
    <definedName name="Page7" localSheetId="9">'Page 8'!$A$1:$K$36</definedName>
    <definedName name="Page7Gen">Instructions!$C$47</definedName>
    <definedName name="Page7l1">Instructions!$C$48</definedName>
    <definedName name="Page7l10">Instructions!$C$76</definedName>
    <definedName name="Page7l11">Instructions!$C$79</definedName>
    <definedName name="Page7l2athroughb">Instructions!$C$49</definedName>
    <definedName name="Page7l2b">Instructions!$C$50</definedName>
    <definedName name="Page7l3">Instructions!$C$51</definedName>
    <definedName name="Page7l3a">Instructions!$C$53</definedName>
    <definedName name="Page7l3b">Instructions!$C$55</definedName>
    <definedName name="Page7l3c">Instructions!$C$56</definedName>
    <definedName name="Page7l4">Instructions!$C$58</definedName>
    <definedName name="Page7l5">Instructions!$C$60</definedName>
    <definedName name="Page7l5d">Instructions!$C$61</definedName>
    <definedName name="Page7l6">Instructions!$C$63</definedName>
    <definedName name="Page7l7">Instructions!$C$65</definedName>
    <definedName name="Page7l8a">Instructions!$C$66</definedName>
    <definedName name="Page7l8b">Instructions!$C$67</definedName>
    <definedName name="Page7l8c">Instructions!$C$68</definedName>
    <definedName name="Page7l8d">Instructions!$C$69</definedName>
    <definedName name="Page7l8e">Instructions!$C$70</definedName>
    <definedName name="Page7l8f">Instructions!$C$71</definedName>
    <definedName name="Page7l8g">Instructions!$C$72</definedName>
    <definedName name="Page7l8h">Instructions!$C$74</definedName>
    <definedName name="Page7l9">Instructions!$C$75</definedName>
    <definedName name="Page8lA10">Instructions!$C$88</definedName>
    <definedName name="Page8lA2">Instructions!$C$80</definedName>
    <definedName name="Page8lA3">Instructions!$C$82</definedName>
    <definedName name="Page8lA6">Instructions!$C$84</definedName>
    <definedName name="Page8lA8">Instructions!$C$85</definedName>
    <definedName name="Page8lA9">Instructions!$C$86</definedName>
    <definedName name="PAV">'Data Entry'!$L$78</definedName>
    <definedName name="PercentageIncrease">Cover!$S$34</definedName>
    <definedName name="PercentageIncreaseSumm">'Summary Page 1'!$I$13</definedName>
    <definedName name="PerfPay">'Page 2'!$R$13</definedName>
    <definedName name="PreAdjDAA">'BSA55'!$M$130</definedName>
    <definedName name="PremFYTRCL">'BSA55'!$E$101</definedName>
    <definedName name="PrimTaxRateCurrFY">Cover!$N$13</definedName>
    <definedName name="PrimTaxRatePYSumm">'Summary Page 1'!$C$14</definedName>
    <definedName name="_xlnm.Print_Area" localSheetId="16">'BSA55'!$A$1:$M$166</definedName>
    <definedName name="_xlnm.Print_Area" localSheetId="15">Calculations!$A$1:$S$242</definedName>
    <definedName name="_xlnm.Print_Area" localSheetId="14">'Data Entry'!$A$1:$M$132</definedName>
    <definedName name="_xlnm.Print_Area" localSheetId="1">'District Contacts'!$A$1:$L$40</definedName>
    <definedName name="_xlnm.Print_Area" localSheetId="17">Instructions!$A$1:$D$156</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7'!$A$1:$M$73</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YearADM">'Summary Page 1'!$C$12</definedName>
    <definedName name="PriorYearSalary">Cover!$S$32</definedName>
    <definedName name="PriorYearSalarySumm">'Summary Page 1'!$I$11</definedName>
    <definedName name="PY100DayADM">'Data Entry'!$J$16</definedName>
    <definedName name="PYActExpend">'Data Entry'!$C$86</definedName>
    <definedName name="PYADM">'Data Entry'!$C$17</definedName>
    <definedName name="PYEndMOCash">'Data Entry'!$L$129</definedName>
    <definedName name="PYIAEndCash">'Data Entry'!$L$100</definedName>
    <definedName name="PYTotMOActExpend">'Data Entry'!$L$85</definedName>
    <definedName name="QLPSD8">'BSA55'!$E$163</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'BSA55'!$J$86</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1'!$D$17</definedName>
    <definedName name="SecTaxRatePYSumm">'Summary Page 1'!$C$17</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2'!$G$15</definedName>
    <definedName name="SPEDVocTechEdBudgFY">'Page 2'!$G$12</definedName>
    <definedName name="SPEDVocTechEdCurrFY">'Page 2'!$F$12</definedName>
    <definedName name="SRPV">'Data Entry'!$L$80</definedName>
    <definedName name="SSA_MO">'Page 7'!$J$23</definedName>
    <definedName name="SSA_UCO">'Page 7'!$M$23</definedName>
    <definedName name="SSAFYExceeded">'Data Entry'!$L$106</definedName>
    <definedName name="SSAOriginalBudget">'Truth in Tax'!$G$22</definedName>
    <definedName name="SSAPDRCL10">'Data Entry'!$L$107</definedName>
    <definedName name="SSAPhaseDownCheckbox">'Data Entry'!$C$103</definedName>
    <definedName name="StateSupportLevelRouteMile1">'Data Entry'!$J$8</definedName>
    <definedName name="StateSupportLevelRouteMile2">'Data Entry'!$J$9</definedName>
    <definedName name="SumDebtServiceBY">'Summary Page 2'!$D$16</definedName>
    <definedName name="Summ_Page1_StudentCount">Instructions!$C$96</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Instructions!$C$91</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otalAOIFTStudCntCY">'Data Entry'!$J$20</definedName>
    <definedName name="TotalAOIPTStudCntCY">'Data Entry'!$J$21</definedName>
    <definedName name="TotalDAAAdj">'BSA55'!$M$133</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6'!$J$24</definedName>
    <definedName name="TotFedProjFundCurrFY">'Page 6'!$I$24</definedName>
    <definedName name="TotSecTaxRateBudgFY">Cover!$Q$22</definedName>
    <definedName name="TotSecTaxRateCurrFY">Cover!$N$22</definedName>
    <definedName name="TotStateProjFundBudgFY">'Page 6'!$J$36</definedName>
    <definedName name="TotStateProjFundCurrFY">'Page 6'!$I$36</definedName>
    <definedName name="TRCLBudgPY" localSheetId="16">'BSA55'!$E$95</definedName>
    <definedName name="TruthinTax">Instructions!$C$97</definedName>
    <definedName name="TruthInTaxBaseLmt">'Truth in Tax'!$I$16</definedName>
    <definedName name="TruthInTaxl1">Instructions!$C$100</definedName>
    <definedName name="TruthinTaxl2">Instructions!$C$101</definedName>
    <definedName name="TruthinTaxl8a">Instructions!$C$102</definedName>
    <definedName name="TSL">'BSA55'!$E$91</definedName>
    <definedName name="TSLBudgPY" localSheetId="16">'BSA55'!$C$98</definedName>
    <definedName name="TwoPriorYearADM">'Summary Page 1'!$B$12</definedName>
    <definedName name="Type01TranspFactor">'BSA55'!$AA$142</definedName>
    <definedName name="Type02TranspFactor">'BSA55'!$AA$139</definedName>
    <definedName name="Type03TranspFactor">'BSA55'!$AA$138</definedName>
    <definedName name="Type04TranspFactor">'BSA55'!$AA$140</definedName>
    <definedName name="Type05TranspFactor">'BSA55'!$AA$141</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7'!$A$1:$M$73</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7'!$A$1:$M$73</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62913" calcMode="manual"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1" i="16" l="1"/>
  <c r="G24" i="23"/>
  <c r="G12" i="23"/>
  <c r="G11" i="23"/>
  <c r="E15" i="23"/>
  <c r="G13" i="5"/>
  <c r="B31" i="5"/>
  <c r="E6" i="29"/>
  <c r="D6" i="29"/>
  <c r="E8" i="29"/>
  <c r="E7" i="29"/>
  <c r="D35" i="29"/>
  <c r="G7" i="3" l="1"/>
  <c r="O8" i="3"/>
  <c r="G23" i="3"/>
  <c r="G24" i="3"/>
  <c r="G8" i="2"/>
  <c r="G35" i="2"/>
  <c r="G13" i="2"/>
  <c r="G10" i="2"/>
  <c r="G11" i="2"/>
  <c r="G24" i="2"/>
  <c r="G26" i="2"/>
  <c r="E41" i="2"/>
  <c r="M20" i="8"/>
  <c r="J19" i="8"/>
  <c r="C98" i="30"/>
  <c r="D31" i="29" a="1"/>
  <c r="D31" i="29" s="1"/>
  <c r="I5" i="15"/>
  <c r="E57" i="13"/>
  <c r="G37" i="27"/>
  <c r="G38" i="27"/>
  <c r="G22" i="15"/>
  <c r="G18" i="15"/>
  <c r="L101" i="28"/>
  <c r="L100" i="28"/>
  <c r="L99" i="28"/>
  <c r="L97" i="28"/>
  <c r="L96" i="28"/>
  <c r="R86" i="28"/>
  <c r="D32" i="14" a="1"/>
  <c r="D32" i="14" s="1"/>
  <c r="E60" i="13"/>
  <c r="C60" i="13"/>
  <c r="E58" i="13"/>
  <c r="C58" i="13"/>
  <c r="C57" i="13"/>
  <c r="E56" i="13"/>
  <c r="E55" i="13"/>
  <c r="C55" i="13"/>
  <c r="E53" i="13"/>
  <c r="E52" i="13"/>
  <c r="C52" i="13"/>
  <c r="E51" i="13"/>
  <c r="C51" i="13"/>
  <c r="E50" i="13"/>
  <c r="C50" i="13"/>
  <c r="E49" i="13"/>
  <c r="C49" i="13"/>
  <c r="E47" i="13"/>
  <c r="C47" i="13"/>
  <c r="E45" i="13"/>
  <c r="C45" i="13"/>
  <c r="E43" i="13"/>
  <c r="C43" i="13"/>
  <c r="E42" i="13"/>
  <c r="C42" i="13"/>
  <c r="E41" i="13"/>
  <c r="C41" i="13"/>
  <c r="E40" i="13"/>
  <c r="E39" i="13"/>
  <c r="C39" i="13"/>
  <c r="E38" i="13"/>
  <c r="C38" i="13"/>
  <c r="E37" i="13"/>
  <c r="C37" i="13"/>
  <c r="E36" i="13"/>
  <c r="E34" i="13"/>
  <c r="C34" i="13"/>
  <c r="E32" i="13"/>
  <c r="C32" i="13"/>
  <c r="L29" i="17"/>
  <c r="L28" i="17"/>
  <c r="N28" i="17" s="1"/>
  <c r="L27" i="17"/>
  <c r="N27" i="17" s="1"/>
  <c r="L26" i="17"/>
  <c r="N26" i="17" s="1"/>
  <c r="L25" i="17"/>
  <c r="N25" i="17" s="1"/>
  <c r="L24" i="17"/>
  <c r="L23" i="17"/>
  <c r="N23" i="17" s="1"/>
  <c r="L21" i="17"/>
  <c r="L19" i="17"/>
  <c r="L17" i="17"/>
  <c r="N17" i="17" s="1"/>
  <c r="L16" i="17"/>
  <c r="L15" i="17"/>
  <c r="L14" i="17"/>
  <c r="N14" i="17" s="1"/>
  <c r="L13" i="17"/>
  <c r="L12" i="17"/>
  <c r="N12" i="17" s="1"/>
  <c r="L11" i="17"/>
  <c r="L9" i="17"/>
  <c r="L7" i="17"/>
  <c r="N7" i="17" s="1"/>
  <c r="D29" i="17"/>
  <c r="D28" i="17"/>
  <c r="D27" i="17"/>
  <c r="D26" i="17"/>
  <c r="D25" i="17"/>
  <c r="D24" i="17"/>
  <c r="D23" i="17"/>
  <c r="D21" i="17"/>
  <c r="D19" i="17"/>
  <c r="D17" i="17"/>
  <c r="D16" i="17"/>
  <c r="D15" i="17"/>
  <c r="D14" i="17"/>
  <c r="D13" i="17"/>
  <c r="D12" i="17"/>
  <c r="D11" i="17"/>
  <c r="D9" i="17"/>
  <c r="D7" i="17"/>
  <c r="K13" i="19"/>
  <c r="F33" i="7" a="1"/>
  <c r="F33" i="7" s="1"/>
  <c r="I33" i="7" a="1"/>
  <c r="I33" i="7" s="1"/>
  <c r="F43" i="7"/>
  <c r="F42" i="7"/>
  <c r="F41" i="7"/>
  <c r="F40" i="7"/>
  <c r="I35" i="7"/>
  <c r="F35" i="7"/>
  <c r="I34" i="7"/>
  <c r="F34" i="7"/>
  <c r="I32" i="7"/>
  <c r="F32" i="7"/>
  <c r="I31" i="7"/>
  <c r="F31" i="7"/>
  <c r="I30" i="7"/>
  <c r="F30" i="7"/>
  <c r="I29" i="7"/>
  <c r="F29" i="7"/>
  <c r="I28" i="7"/>
  <c r="F28" i="7"/>
  <c r="I27" i="7"/>
  <c r="F27" i="7"/>
  <c r="I25" i="7"/>
  <c r="F25"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S42" i="7"/>
  <c r="S41" i="7"/>
  <c r="S40" i="7"/>
  <c r="S38" i="7"/>
  <c r="S37" i="7"/>
  <c r="S36" i="7"/>
  <c r="S35" i="7"/>
  <c r="S34" i="7"/>
  <c r="S33" i="7"/>
  <c r="S32" i="7"/>
  <c r="S31" i="7"/>
  <c r="S30" i="7"/>
  <c r="S29" i="7"/>
  <c r="S28" i="7"/>
  <c r="S27" i="7"/>
  <c r="S26" i="7"/>
  <c r="S25" i="7"/>
  <c r="S24" i="7"/>
  <c r="S23" i="7"/>
  <c r="S22" i="7"/>
  <c r="S21" i="7"/>
  <c r="S20" i="7"/>
  <c r="S19" i="7"/>
  <c r="S18" i="7"/>
  <c r="S17" i="7"/>
  <c r="S16" i="7"/>
  <c r="S15" i="7"/>
  <c r="S14" i="7"/>
  <c r="S13" i="7"/>
  <c r="S12" i="7"/>
  <c r="S11" i="7"/>
  <c r="S10" i="7"/>
  <c r="S9" i="7"/>
  <c r="S8" i="7"/>
  <c r="S5" i="7"/>
  <c r="J24" i="23"/>
  <c r="H24" i="23"/>
  <c r="F24" i="23"/>
  <c r="D24" i="23"/>
  <c r="J23" i="23"/>
  <c r="H23" i="23"/>
  <c r="F23" i="23"/>
  <c r="D23" i="23"/>
  <c r="J22" i="23"/>
  <c r="F22" i="23"/>
  <c r="D22" i="23"/>
  <c r="J19" i="23"/>
  <c r="H19" i="23"/>
  <c r="F19" i="23"/>
  <c r="D19" i="23"/>
  <c r="J18" i="23"/>
  <c r="H18" i="23"/>
  <c r="F18" i="23"/>
  <c r="D18" i="23"/>
  <c r="J17" i="23"/>
  <c r="H17" i="23"/>
  <c r="F17" i="23"/>
  <c r="D17" i="23"/>
  <c r="J16" i="23"/>
  <c r="H16" i="23"/>
  <c r="F16" i="23"/>
  <c r="D16" i="23"/>
  <c r="J15" i="23"/>
  <c r="H15" i="23"/>
  <c r="F15" i="23"/>
  <c r="D15" i="23"/>
  <c r="J14" i="23"/>
  <c r="H14" i="23"/>
  <c r="F14" i="23"/>
  <c r="D14" i="23"/>
  <c r="J13" i="23"/>
  <c r="H13" i="23"/>
  <c r="F13" i="23"/>
  <c r="D13" i="23"/>
  <c r="J12" i="23"/>
  <c r="H12" i="23"/>
  <c r="F12" i="23"/>
  <c r="D12" i="23"/>
  <c r="J11" i="23"/>
  <c r="H11" i="23"/>
  <c r="F11" i="23"/>
  <c r="D11" i="23"/>
  <c r="J10" i="23"/>
  <c r="H10" i="23"/>
  <c r="F10" i="23"/>
  <c r="D10" i="23"/>
  <c r="J8" i="23"/>
  <c r="H8" i="23"/>
  <c r="F8" i="23"/>
  <c r="K18" i="5"/>
  <c r="K17" i="5"/>
  <c r="K16" i="5"/>
  <c r="K15" i="5"/>
  <c r="K14" i="5"/>
  <c r="K13" i="5"/>
  <c r="K11" i="5"/>
  <c r="K9" i="5"/>
  <c r="K8" i="5"/>
  <c r="J14" i="29" a="1"/>
  <c r="J14" i="29" s="1"/>
  <c r="J11" i="29" a="1"/>
  <c r="J11" i="29" s="1"/>
  <c r="J10" i="29" a="1"/>
  <c r="J10" i="29" s="1"/>
  <c r="J8" i="29" a="1"/>
  <c r="J8" i="29" s="1"/>
  <c r="J6" i="29" a="1"/>
  <c r="J6" i="29" s="1"/>
  <c r="J9" i="29" a="1"/>
  <c r="J9" i="29" s="1"/>
  <c r="J7" i="29" a="1"/>
  <c r="J7" i="29" s="1"/>
  <c r="J12" i="29" a="1"/>
  <c r="J12" i="29" s="1"/>
  <c r="J13" i="29" a="1"/>
  <c r="J13" i="29" s="1"/>
  <c r="F19" i="3" a="1"/>
  <c r="F19" i="3" s="1"/>
  <c r="F28" i="3"/>
  <c r="F14" i="3"/>
  <c r="F13" i="3"/>
  <c r="F12" i="3"/>
  <c r="F11" i="3"/>
  <c r="F10" i="3"/>
  <c r="F9" i="3"/>
  <c r="F8" i="3"/>
  <c r="F7" i="3"/>
  <c r="K42" i="2"/>
  <c r="K41" i="2"/>
  <c r="K39" i="2"/>
  <c r="M39" i="2" s="1"/>
  <c r="K38" i="2"/>
  <c r="K35" i="2"/>
  <c r="K33" i="2"/>
  <c r="K32" i="2"/>
  <c r="K31" i="2"/>
  <c r="K30" i="2"/>
  <c r="K29" i="2"/>
  <c r="K28" i="2"/>
  <c r="K27" i="2"/>
  <c r="K25" i="2"/>
  <c r="K23" i="2"/>
  <c r="K21" i="2"/>
  <c r="K20" i="2"/>
  <c r="K19" i="2"/>
  <c r="K18" i="2"/>
  <c r="K17" i="2"/>
  <c r="K16" i="2"/>
  <c r="K15" i="2"/>
  <c r="K14" i="2"/>
  <c r="K13" i="2"/>
  <c r="K12" i="2"/>
  <c r="K11" i="2"/>
  <c r="K9" i="2"/>
  <c r="K7" i="2"/>
  <c r="D41" i="2"/>
  <c r="D39" i="2"/>
  <c r="D38" i="2"/>
  <c r="D35" i="2"/>
  <c r="D33" i="2"/>
  <c r="D32" i="2"/>
  <c r="D31" i="2"/>
  <c r="D30" i="2"/>
  <c r="D29" i="2"/>
  <c r="D28" i="2"/>
  <c r="D27" i="2"/>
  <c r="D25" i="2"/>
  <c r="D23" i="2"/>
  <c r="D21" i="2"/>
  <c r="D20" i="2"/>
  <c r="D19" i="2"/>
  <c r="D18" i="2"/>
  <c r="D17" i="2"/>
  <c r="D16" i="2"/>
  <c r="D15" i="2"/>
  <c r="D14" i="2"/>
  <c r="D13" i="2"/>
  <c r="D12" i="2"/>
  <c r="D11" i="2"/>
  <c r="D9" i="2"/>
  <c r="D7" i="2"/>
  <c r="M36" i="2"/>
  <c r="L36" i="2"/>
  <c r="K36" i="2"/>
  <c r="J36" i="2"/>
  <c r="I36" i="2"/>
  <c r="H36" i="2"/>
  <c r="G36" i="2"/>
  <c r="F36" i="2"/>
  <c r="E36" i="2"/>
  <c r="D36" i="2"/>
  <c r="N29" i="17"/>
  <c r="N24" i="17"/>
  <c r="N21" i="17"/>
  <c r="N19" i="17"/>
  <c r="N16" i="17"/>
  <c r="N15" i="17"/>
  <c r="N13" i="17"/>
  <c r="N11" i="17"/>
  <c r="N9" i="17"/>
  <c r="G15" i="3"/>
  <c r="E15" i="13"/>
  <c r="L36" i="14"/>
  <c r="L35" i="14"/>
  <c r="L33" i="14"/>
  <c r="L32" i="14"/>
  <c r="F31" i="16"/>
  <c r="L9" i="29" l="1"/>
  <c r="C36" i="13"/>
  <c r="C40" i="13"/>
  <c r="C56" i="13"/>
  <c r="C53" i="13"/>
  <c r="K25" i="23"/>
  <c r="I25" i="23"/>
  <c r="G25" i="23"/>
  <c r="T31" i="16"/>
  <c r="E25" i="23"/>
  <c r="G150" i="30"/>
  <c r="E150" i="30"/>
  <c r="G149" i="30"/>
  <c r="E149" i="30"/>
  <c r="G148" i="30"/>
  <c r="E148" i="30"/>
  <c r="G147" i="30"/>
  <c r="E147" i="30"/>
  <c r="G139" i="30"/>
  <c r="D137" i="30"/>
  <c r="M133" i="30"/>
  <c r="G133" i="30"/>
  <c r="E133" i="30"/>
  <c r="M132" i="30"/>
  <c r="G132" i="30"/>
  <c r="E132" i="30"/>
  <c r="I125" i="30"/>
  <c r="M127" i="30" s="1"/>
  <c r="C117" i="30"/>
  <c r="E112" i="30"/>
  <c r="E113" i="30" s="1"/>
  <c r="I111" i="30"/>
  <c r="I113" i="30" s="1"/>
  <c r="G111" i="30"/>
  <c r="E111" i="30"/>
  <c r="G108" i="30"/>
  <c r="D106" i="30"/>
  <c r="E90" i="30"/>
  <c r="D90" i="30"/>
  <c r="C90" i="30"/>
  <c r="E86" i="30"/>
  <c r="J84" i="30"/>
  <c r="E82" i="30"/>
  <c r="E80" i="30"/>
  <c r="E79" i="30"/>
  <c r="E81" i="30" s="1"/>
  <c r="E87" i="30" s="1"/>
  <c r="E78" i="30"/>
  <c r="J77" i="30"/>
  <c r="G73" i="30"/>
  <c r="D71" i="30"/>
  <c r="C63" i="30"/>
  <c r="C61" i="30"/>
  <c r="C60" i="30"/>
  <c r="H55" i="30"/>
  <c r="C54" i="30"/>
  <c r="H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10" i="30"/>
  <c r="E9" i="30"/>
  <c r="D9" i="30"/>
  <c r="C9" i="30"/>
  <c r="E8" i="30"/>
  <c r="D8" i="30"/>
  <c r="C8" i="30"/>
  <c r="F7" i="30"/>
  <c r="G7" i="30" s="1"/>
  <c r="E7" i="30"/>
  <c r="D7" i="30"/>
  <c r="C7" i="30"/>
  <c r="G5" i="30"/>
  <c r="D3" i="30"/>
  <c r="L2" i="30"/>
  <c r="L1" i="30"/>
  <c r="K111" i="30" s="1"/>
  <c r="K113" i="30" s="1"/>
  <c r="G1" i="30"/>
  <c r="B1" i="30"/>
  <c r="R238" i="28"/>
  <c r="R237" i="28"/>
  <c r="R224" i="28"/>
  <c r="R223" i="28"/>
  <c r="R222" i="28"/>
  <c r="R221" i="28"/>
  <c r="R220" i="28"/>
  <c r="R215" i="28"/>
  <c r="R214" i="28"/>
  <c r="R213" i="28"/>
  <c r="R212" i="28"/>
  <c r="R211" i="28"/>
  <c r="R210" i="28"/>
  <c r="R209" i="28"/>
  <c r="R205" i="28"/>
  <c r="R204" i="28"/>
  <c r="R202" i="28"/>
  <c r="Y192" i="28"/>
  <c r="Y191" i="28"/>
  <c r="Y190" i="28"/>
  <c r="R190" i="28"/>
  <c r="O186" i="28"/>
  <c r="O183" i="28"/>
  <c r="O185" i="28" s="1"/>
  <c r="O181" i="28"/>
  <c r="O187" i="28" s="1"/>
  <c r="R188" i="28" s="1"/>
  <c r="O171" i="28"/>
  <c r="O177" i="28" s="1"/>
  <c r="R158" i="28"/>
  <c r="Y155" i="28"/>
  <c r="Y153" i="28"/>
  <c r="Y151" i="28"/>
  <c r="Z150" i="28"/>
  <c r="Z155" i="28" s="1"/>
  <c r="Y150" i="28"/>
  <c r="O149" i="28"/>
  <c r="O151" i="28" s="1"/>
  <c r="Z139" i="28"/>
  <c r="Z144" i="28" s="1"/>
  <c r="Y139" i="28"/>
  <c r="Y144" i="28" s="1"/>
  <c r="O138" i="28"/>
  <c r="R145" i="28" s="1"/>
  <c r="R125" i="28"/>
  <c r="R124" i="28"/>
  <c r="R123" i="28"/>
  <c r="O122" i="28"/>
  <c r="Q98" i="27" s="1"/>
  <c r="R121" i="28"/>
  <c r="R119" i="28"/>
  <c r="O115" i="28"/>
  <c r="O114" i="28"/>
  <c r="O113" i="28"/>
  <c r="R104" i="28"/>
  <c r="O101" i="28"/>
  <c r="R101" i="28"/>
  <c r="J40" i="8" s="1"/>
  <c r="O100" i="28"/>
  <c r="R100" i="28" s="1"/>
  <c r="O99" i="28"/>
  <c r="R99" i="28" s="1"/>
  <c r="O98" i="28"/>
  <c r="O97" i="28"/>
  <c r="R97" i="28" s="1"/>
  <c r="O96" i="28"/>
  <c r="R96" i="28" s="1"/>
  <c r="R90" i="28"/>
  <c r="R87" i="28"/>
  <c r="R88" i="28" s="1"/>
  <c r="R84" i="28"/>
  <c r="L72" i="28"/>
  <c r="L70" i="28"/>
  <c r="L68" i="28"/>
  <c r="L67" i="28"/>
  <c r="L74" i="28" s="1"/>
  <c r="L63" i="28"/>
  <c r="L56" i="28"/>
  <c r="L61" i="28" s="1"/>
  <c r="V37" i="28"/>
  <c r="U37" i="28"/>
  <c r="U38" i="28" s="1"/>
  <c r="V36" i="28"/>
  <c r="U36" i="28"/>
  <c r="V35" i="28"/>
  <c r="U35" i="28"/>
  <c r="L16" i="28"/>
  <c r="L17" i="28" s="1"/>
  <c r="L19" i="28" s="1"/>
  <c r="O2" i="28"/>
  <c r="O1" i="28"/>
  <c r="R227" i="28" s="1"/>
  <c r="I1" i="28"/>
  <c r="E1" i="28"/>
  <c r="K103" i="27"/>
  <c r="M79" i="27"/>
  <c r="L57" i="27"/>
  <c r="L53" i="27"/>
  <c r="I44" i="27"/>
  <c r="H44" i="27"/>
  <c r="G44" i="27"/>
  <c r="I22" i="27"/>
  <c r="AA15" i="30" s="1"/>
  <c r="H22" i="27"/>
  <c r="H24" i="28" s="1"/>
  <c r="G22" i="27"/>
  <c r="J21" i="27"/>
  <c r="J20" i="27"/>
  <c r="D10" i="30" s="1"/>
  <c r="J19" i="27"/>
  <c r="C10" i="30" s="1"/>
  <c r="Z17" i="27"/>
  <c r="R240" i="28" s="1"/>
  <c r="Y17" i="27"/>
  <c r="J17" i="27"/>
  <c r="L2" i="27"/>
  <c r="L1" i="27"/>
  <c r="I1" i="27"/>
  <c r="E1" i="27"/>
  <c r="I38" i="15"/>
  <c r="I36" i="15"/>
  <c r="L31" i="15"/>
  <c r="I29" i="15"/>
  <c r="R239" i="28" s="1"/>
  <c r="I23" i="15"/>
  <c r="I19" i="15"/>
  <c r="I14" i="15"/>
  <c r="L14" i="15" s="1"/>
  <c r="L13" i="15"/>
  <c r="L11" i="15"/>
  <c r="I7" i="15"/>
  <c r="L2" i="15"/>
  <c r="L1" i="15"/>
  <c r="E1" i="15"/>
  <c r="F51" i="14"/>
  <c r="F50" i="14"/>
  <c r="G16" i="14" s="1"/>
  <c r="E46" i="14"/>
  <c r="D46" i="14"/>
  <c r="F45" i="14"/>
  <c r="H45" i="14" s="1"/>
  <c r="F44" i="14"/>
  <c r="H44" i="14" s="1"/>
  <c r="F43" i="14"/>
  <c r="H43" i="14" s="1"/>
  <c r="E41" i="14"/>
  <c r="D41" i="14"/>
  <c r="F40" i="14"/>
  <c r="H40" i="14" s="1"/>
  <c r="F39" i="14"/>
  <c r="H39" i="14" s="1"/>
  <c r="F38" i="14"/>
  <c r="H38" i="14" s="1"/>
  <c r="N36" i="14"/>
  <c r="N35" i="14"/>
  <c r="N34" i="14"/>
  <c r="N33" i="14"/>
  <c r="N32" i="14"/>
  <c r="E32" i="14"/>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D9" i="14"/>
  <c r="N8" i="14"/>
  <c r="D8" i="14"/>
  <c r="N7" i="14"/>
  <c r="N6" i="14"/>
  <c r="N5" i="14"/>
  <c r="I2" i="14"/>
  <c r="I1" i="14"/>
  <c r="A1" i="14"/>
  <c r="F60" i="13"/>
  <c r="D60" i="13"/>
  <c r="H58" i="13"/>
  <c r="F58" i="13"/>
  <c r="D58" i="13"/>
  <c r="F57" i="13"/>
  <c r="D57" i="13"/>
  <c r="F55" i="13"/>
  <c r="D55" i="13"/>
  <c r="F53" i="13"/>
  <c r="D53" i="13"/>
  <c r="F52" i="13"/>
  <c r="D52" i="13"/>
  <c r="H52" i="13" s="1"/>
  <c r="F51" i="13"/>
  <c r="D51" i="13"/>
  <c r="F50" i="13"/>
  <c r="D50" i="13"/>
  <c r="F49" i="13"/>
  <c r="D49" i="13"/>
  <c r="F47" i="13"/>
  <c r="D47" i="13"/>
  <c r="F45" i="13"/>
  <c r="D45" i="13"/>
  <c r="F43" i="13"/>
  <c r="D43" i="13"/>
  <c r="F42" i="13"/>
  <c r="D42" i="13"/>
  <c r="F41" i="13"/>
  <c r="D41" i="13"/>
  <c r="F40" i="13"/>
  <c r="D40" i="13"/>
  <c r="F39" i="13"/>
  <c r="D39" i="13"/>
  <c r="H39" i="13" s="1"/>
  <c r="F38" i="13"/>
  <c r="D38" i="13"/>
  <c r="F37" i="13"/>
  <c r="D37" i="13"/>
  <c r="F36" i="13"/>
  <c r="D36" i="13"/>
  <c r="F34" i="13"/>
  <c r="D34" i="13"/>
  <c r="F32" i="13"/>
  <c r="D32" i="13"/>
  <c r="D14" i="13"/>
  <c r="C14" i="13"/>
  <c r="I11" i="13"/>
  <c r="I10" i="13"/>
  <c r="I5" i="13"/>
  <c r="I4" i="13"/>
  <c r="H4" i="13"/>
  <c r="G4" i="13"/>
  <c r="F4" i="13"/>
  <c r="E4" i="13"/>
  <c r="I2" i="13"/>
  <c r="D4" i="13" s="1"/>
  <c r="I1" i="13"/>
  <c r="A1" i="13"/>
  <c r="M30" i="17"/>
  <c r="K30" i="17"/>
  <c r="I30" i="17"/>
  <c r="H30" i="17"/>
  <c r="G30" i="17"/>
  <c r="F30" i="17"/>
  <c r="E30" i="17"/>
  <c r="M29" i="17"/>
  <c r="M28" i="17"/>
  <c r="M27" i="17"/>
  <c r="M26" i="17"/>
  <c r="M25" i="17"/>
  <c r="M24" i="17"/>
  <c r="M23" i="17"/>
  <c r="M21" i="17"/>
  <c r="M19" i="17"/>
  <c r="M18" i="17"/>
  <c r="K18" i="17"/>
  <c r="I18" i="17"/>
  <c r="H18" i="17"/>
  <c r="G18" i="17"/>
  <c r="F18" i="17"/>
  <c r="E18" i="17"/>
  <c r="M17" i="17"/>
  <c r="M16" i="17"/>
  <c r="M15" i="17"/>
  <c r="M14" i="17"/>
  <c r="M13" i="17"/>
  <c r="M12" i="17"/>
  <c r="M11" i="17"/>
  <c r="M9" i="17"/>
  <c r="M7" i="17"/>
  <c r="N1" i="17"/>
  <c r="K1" i="17"/>
  <c r="G1" i="17"/>
  <c r="B1" i="17"/>
  <c r="K2" i="19"/>
  <c r="K1" i="19"/>
  <c r="G1" i="19"/>
  <c r="E1" i="19"/>
  <c r="N37" i="8"/>
  <c r="H15" i="8"/>
  <c r="M2" i="8"/>
  <c r="M1" i="8"/>
  <c r="G1" i="8"/>
  <c r="D1" i="8"/>
  <c r="H44" i="7"/>
  <c r="D7" i="14" s="1"/>
  <c r="M36" i="14"/>
  <c r="M35" i="14"/>
  <c r="M34" i="14"/>
  <c r="M33" i="14"/>
  <c r="M32" i="14"/>
  <c r="M31" i="14"/>
  <c r="M30" i="14"/>
  <c r="J36" i="7"/>
  <c r="D12" i="14" s="1"/>
  <c r="G36" i="7"/>
  <c r="C16" i="14"/>
  <c r="M29" i="14"/>
  <c r="M28" i="14"/>
  <c r="M27" i="14"/>
  <c r="M26" i="14"/>
  <c r="M25" i="14"/>
  <c r="M24" i="14"/>
  <c r="M23" i="14"/>
  <c r="M22" i="14"/>
  <c r="M21" i="14"/>
  <c r="M20" i="14"/>
  <c r="M19" i="14"/>
  <c r="J24" i="7"/>
  <c r="G24" i="7"/>
  <c r="M18" i="14"/>
  <c r="M17" i="14"/>
  <c r="M16" i="14"/>
  <c r="M15" i="14"/>
  <c r="M14" i="14"/>
  <c r="M13" i="14"/>
  <c r="M12" i="14"/>
  <c r="M11" i="14"/>
  <c r="M10" i="14"/>
  <c r="M9" i="14"/>
  <c r="M8" i="14"/>
  <c r="C18" i="14"/>
  <c r="M7" i="14"/>
  <c r="M6" i="14"/>
  <c r="C20" i="14"/>
  <c r="C17" i="14"/>
  <c r="T7" i="7"/>
  <c r="T6" i="7"/>
  <c r="M5" i="14"/>
  <c r="T1" i="7"/>
  <c r="P1" i="7"/>
  <c r="J1" i="7"/>
  <c r="D1" i="7"/>
  <c r="A29" i="23"/>
  <c r="H25" i="23"/>
  <c r="K20" i="23"/>
  <c r="K26" i="23" s="1"/>
  <c r="I20" i="23"/>
  <c r="I26" i="23" s="1"/>
  <c r="G20" i="23"/>
  <c r="G26" i="23" s="1"/>
  <c r="E17" i="23"/>
  <c r="E16" i="23"/>
  <c r="C15" i="14"/>
  <c r="C14" i="14"/>
  <c r="C19" i="14"/>
  <c r="N1" i="23"/>
  <c r="K1" i="23"/>
  <c r="H1" i="23"/>
  <c r="B1" i="23"/>
  <c r="J19" i="5"/>
  <c r="I19" i="5"/>
  <c r="H19" i="5"/>
  <c r="G19" i="5"/>
  <c r="F19" i="5"/>
  <c r="E19" i="5"/>
  <c r="D19" i="5"/>
  <c r="L18" i="5"/>
  <c r="M18" i="5" s="1"/>
  <c r="L17" i="5"/>
  <c r="M17" i="5" s="1"/>
  <c r="L16" i="5"/>
  <c r="M16" i="5" s="1"/>
  <c r="L15" i="5"/>
  <c r="M15" i="5" s="1"/>
  <c r="L14" i="5"/>
  <c r="M14" i="5" s="1"/>
  <c r="L13" i="5"/>
  <c r="M13" i="5" s="1"/>
  <c r="M12" i="5"/>
  <c r="L11" i="5"/>
  <c r="M11" i="5" s="1"/>
  <c r="M10" i="5"/>
  <c r="L9" i="5"/>
  <c r="M9" i="5" s="1"/>
  <c r="L8" i="5"/>
  <c r="M8" i="5" s="1"/>
  <c r="N1" i="5"/>
  <c r="L1" i="5"/>
  <c r="H1" i="5"/>
  <c r="B1" i="5"/>
  <c r="I14" i="29"/>
  <c r="H14" i="29"/>
  <c r="G14" i="29"/>
  <c r="F14" i="29"/>
  <c r="E14" i="29"/>
  <c r="D14" i="29"/>
  <c r="K13" i="29"/>
  <c r="K12" i="29"/>
  <c r="K11" i="29"/>
  <c r="L11" i="29" s="1"/>
  <c r="K10" i="29"/>
  <c r="L10" i="29" s="1"/>
  <c r="K9" i="29"/>
  <c r="K8" i="29"/>
  <c r="L8" i="29" s="1"/>
  <c r="K7" i="29"/>
  <c r="L7" i="29" s="1"/>
  <c r="K6" i="29"/>
  <c r="L6" i="29" s="1"/>
  <c r="N1" i="29"/>
  <c r="K1" i="29"/>
  <c r="G1" i="29"/>
  <c r="B1" i="29"/>
  <c r="D31" i="14"/>
  <c r="D30" i="14"/>
  <c r="D29" i="14"/>
  <c r="D28" i="14"/>
  <c r="D27" i="14"/>
  <c r="D26" i="14"/>
  <c r="D25" i="14"/>
  <c r="R1" i="3"/>
  <c r="O1" i="3"/>
  <c r="I1" i="3"/>
  <c r="C1" i="3"/>
  <c r="C6" i="14"/>
  <c r="L41" i="2"/>
  <c r="M41" i="2" s="1"/>
  <c r="L39" i="2"/>
  <c r="L38" i="2"/>
  <c r="M38" i="2" s="1"/>
  <c r="L35" i="2"/>
  <c r="M35" i="2" s="1"/>
  <c r="J34" i="2"/>
  <c r="I34" i="2"/>
  <c r="H34" i="2"/>
  <c r="G34" i="2"/>
  <c r="F34" i="2"/>
  <c r="E34" i="2"/>
  <c r="L33" i="2"/>
  <c r="M33" i="2" s="1"/>
  <c r="L32" i="2"/>
  <c r="M32" i="2" s="1"/>
  <c r="L31" i="2"/>
  <c r="M31" i="2" s="1"/>
  <c r="L30" i="2"/>
  <c r="M30" i="2" s="1"/>
  <c r="L29" i="2"/>
  <c r="M29" i="2" s="1"/>
  <c r="L28" i="2"/>
  <c r="M28" i="2" s="1"/>
  <c r="L27" i="2"/>
  <c r="M27" i="2" s="1"/>
  <c r="L25" i="2"/>
  <c r="M25" i="2" s="1"/>
  <c r="L23" i="2"/>
  <c r="M23" i="2" s="1"/>
  <c r="J22" i="2"/>
  <c r="I22" i="2"/>
  <c r="H22" i="2"/>
  <c r="G22" i="2"/>
  <c r="F22" i="2"/>
  <c r="E22" i="2"/>
  <c r="L21" i="2"/>
  <c r="M21" i="2" s="1"/>
  <c r="L20" i="2"/>
  <c r="M20" i="2" s="1"/>
  <c r="L19" i="2"/>
  <c r="M19" i="2" s="1"/>
  <c r="L18" i="2"/>
  <c r="M18" i="2" s="1"/>
  <c r="L17" i="2"/>
  <c r="M17" i="2" s="1"/>
  <c r="L16" i="2"/>
  <c r="M16" i="2" s="1"/>
  <c r="L15" i="2"/>
  <c r="M15" i="2" s="1"/>
  <c r="L14" i="2"/>
  <c r="M14" i="2" s="1"/>
  <c r="L13" i="2"/>
  <c r="M13" i="2" s="1"/>
  <c r="L12" i="2"/>
  <c r="M12" i="2" s="1"/>
  <c r="L11" i="2"/>
  <c r="M11" i="2" s="1"/>
  <c r="L9" i="2"/>
  <c r="M9" i="2" s="1"/>
  <c r="L7" i="2"/>
  <c r="M7" i="2" s="1"/>
  <c r="M1" i="2"/>
  <c r="J1" i="2"/>
  <c r="G1" i="2"/>
  <c r="B1" i="2"/>
  <c r="J7" i="24"/>
  <c r="K1" i="24"/>
  <c r="H1" i="24"/>
  <c r="E1" i="24"/>
  <c r="B1" i="24"/>
  <c r="S33" i="16"/>
  <c r="I12" i="13" s="1"/>
  <c r="P31" i="16"/>
  <c r="Q22" i="16"/>
  <c r="D17" i="13" s="1"/>
  <c r="N22" i="16"/>
  <c r="C17" i="13" s="1"/>
  <c r="G15" i="16"/>
  <c r="G14" i="16"/>
  <c r="G13" i="16"/>
  <c r="N10" i="16"/>
  <c r="O9" i="16"/>
  <c r="O6" i="16"/>
  <c r="R2" i="16"/>
  <c r="L5" i="27" l="1"/>
  <c r="G37" i="7"/>
  <c r="S34" i="16"/>
  <c r="I13" i="13" s="1"/>
  <c r="F46" i="14"/>
  <c r="H46" i="14" s="1"/>
  <c r="E47" i="14"/>
  <c r="F41" i="14"/>
  <c r="H41" i="14" s="1"/>
  <c r="D47" i="14"/>
  <c r="N37" i="14"/>
  <c r="D21" i="14" s="1"/>
  <c r="F18" i="14"/>
  <c r="J37" i="7"/>
  <c r="S27" i="16"/>
  <c r="D11" i="14"/>
  <c r="F14" i="14"/>
  <c r="L29" i="15"/>
  <c r="L19" i="5"/>
  <c r="Q26" i="16" s="1"/>
  <c r="K14" i="29"/>
  <c r="D10" i="14" s="1"/>
  <c r="H60" i="13"/>
  <c r="H57" i="13"/>
  <c r="R235" i="28"/>
  <c r="I12" i="15"/>
  <c r="L12" i="15" s="1"/>
  <c r="H55" i="13"/>
  <c r="H53" i="13"/>
  <c r="H51" i="13"/>
  <c r="H49" i="13"/>
  <c r="H47" i="13"/>
  <c r="F54" i="13"/>
  <c r="J42" i="2"/>
  <c r="I42" i="2"/>
  <c r="H45" i="13"/>
  <c r="H41" i="13"/>
  <c r="H43" i="13"/>
  <c r="H42" i="13"/>
  <c r="H40" i="13"/>
  <c r="H38" i="13"/>
  <c r="H37" i="13"/>
  <c r="F44" i="13"/>
  <c r="H36" i="13"/>
  <c r="H34" i="13"/>
  <c r="H32" i="13"/>
  <c r="L22" i="2"/>
  <c r="E42" i="2"/>
  <c r="R126" i="28"/>
  <c r="E20" i="23"/>
  <c r="E26" i="23" s="1"/>
  <c r="L98" i="28"/>
  <c r="R98" i="28" s="1"/>
  <c r="R102" i="28" s="1"/>
  <c r="D44" i="13"/>
  <c r="E151" i="30"/>
  <c r="E153" i="30" s="1"/>
  <c r="G151" i="30"/>
  <c r="G153" i="30" s="1"/>
  <c r="E88" i="30"/>
  <c r="E83" i="30"/>
  <c r="O38" i="28"/>
  <c r="G35" i="30"/>
  <c r="D45" i="30" s="1"/>
  <c r="C33" i="30"/>
  <c r="V38" i="28"/>
  <c r="O39" i="28" s="1"/>
  <c r="I35" i="30"/>
  <c r="H45" i="30" s="1"/>
  <c r="E33" i="30"/>
  <c r="D33" i="30"/>
  <c r="H35" i="30"/>
  <c r="F45" i="30" s="1"/>
  <c r="I36" i="30"/>
  <c r="I24" i="28"/>
  <c r="I29" i="28" s="1"/>
  <c r="L24" i="28"/>
  <c r="I16" i="28"/>
  <c r="I21" i="28" s="1"/>
  <c r="L21" i="28"/>
  <c r="J24" i="28"/>
  <c r="J29" i="28" s="1"/>
  <c r="J16" i="28"/>
  <c r="J17" i="28" s="1"/>
  <c r="J19" i="28" s="1"/>
  <c r="J22" i="27"/>
  <c r="O22" i="8" s="1"/>
  <c r="E11" i="30"/>
  <c r="I25" i="28"/>
  <c r="I27" i="28" s="1"/>
  <c r="H25" i="28"/>
  <c r="H27" i="28" s="1"/>
  <c r="H29" i="28"/>
  <c r="AA13" i="30"/>
  <c r="F8" i="30" s="1"/>
  <c r="H16" i="28"/>
  <c r="K16" i="27"/>
  <c r="H7" i="30"/>
  <c r="I7" i="30"/>
  <c r="O153" i="28"/>
  <c r="R155" i="28" s="1"/>
  <c r="Z151" i="28"/>
  <c r="Z153" i="28" s="1"/>
  <c r="I112" i="30"/>
  <c r="O152" i="28"/>
  <c r="R156" i="28"/>
  <c r="R159" i="28" s="1"/>
  <c r="R160" i="28" s="1"/>
  <c r="R161" i="28" s="1"/>
  <c r="O154" i="28"/>
  <c r="O143" i="28"/>
  <c r="O173" i="28"/>
  <c r="O175" i="28" s="1"/>
  <c r="L57" i="28"/>
  <c r="O140" i="28"/>
  <c r="L59" i="28"/>
  <c r="Y140" i="28"/>
  <c r="Y142" i="28" s="1"/>
  <c r="O176" i="28"/>
  <c r="R178" i="28" s="1"/>
  <c r="R191" i="28" s="1"/>
  <c r="R192" i="28" s="1"/>
  <c r="R193" i="28" s="1"/>
  <c r="Z140" i="28"/>
  <c r="Z142" i="28" s="1"/>
  <c r="O141" i="28"/>
  <c r="A4" i="13"/>
  <c r="C4" i="13"/>
  <c r="K5" i="13"/>
  <c r="R229" i="28"/>
  <c r="G112" i="30"/>
  <c r="G113" i="30" s="1"/>
  <c r="AA140" i="30"/>
  <c r="E84" i="30" s="1"/>
  <c r="E85" i="30" s="1"/>
  <c r="O56" i="28"/>
  <c r="O63" i="28" s="1"/>
  <c r="R228" i="28"/>
  <c r="F9" i="30"/>
  <c r="AA139" i="30"/>
  <c r="R230" i="28"/>
  <c r="AA141" i="30"/>
  <c r="K19" i="27"/>
  <c r="R108" i="28"/>
  <c r="AA142" i="30"/>
  <c r="E154" i="30"/>
  <c r="O67" i="28"/>
  <c r="O70" i="28" s="1"/>
  <c r="Y193" i="28"/>
  <c r="Y194" i="28" s="1"/>
  <c r="Y195" i="28" s="1"/>
  <c r="R226" i="28"/>
  <c r="C116" i="30"/>
  <c r="I118" i="30" s="1"/>
  <c r="I122" i="30" s="1"/>
  <c r="G130" i="30" s="1"/>
  <c r="AA138" i="30"/>
  <c r="G154" i="30"/>
  <c r="D54" i="13"/>
  <c r="L34" i="2"/>
  <c r="E33" i="14"/>
  <c r="G55" i="13"/>
  <c r="F56" i="13"/>
  <c r="K112" i="30"/>
  <c r="D56" i="13"/>
  <c r="G47" i="13"/>
  <c r="F25" i="23"/>
  <c r="G42" i="13"/>
  <c r="G43" i="13"/>
  <c r="H50" i="13"/>
  <c r="G42" i="2"/>
  <c r="G56" i="13"/>
  <c r="G37" i="13"/>
  <c r="G57" i="13"/>
  <c r="G45" i="13"/>
  <c r="I45" i="13" s="1"/>
  <c r="G50" i="13"/>
  <c r="G36" i="13"/>
  <c r="J20" i="23"/>
  <c r="G60" i="13"/>
  <c r="H42" i="2"/>
  <c r="D34" i="2"/>
  <c r="G52" i="13"/>
  <c r="I52" i="13" s="1"/>
  <c r="K22" i="2"/>
  <c r="G41" i="13"/>
  <c r="F24" i="7"/>
  <c r="K34" i="2"/>
  <c r="G38" i="13"/>
  <c r="I24" i="7"/>
  <c r="C11" i="14" s="1"/>
  <c r="D30" i="17"/>
  <c r="E44" i="13"/>
  <c r="C54" i="13"/>
  <c r="E54" i="13"/>
  <c r="G53" i="13"/>
  <c r="D22" i="2"/>
  <c r="D18" i="17"/>
  <c r="G39" i="13"/>
  <c r="I39" i="13" s="1"/>
  <c r="D20" i="23"/>
  <c r="D25" i="23"/>
  <c r="L30" i="17"/>
  <c r="N30" i="17" s="1"/>
  <c r="F20" i="23"/>
  <c r="F44" i="7"/>
  <c r="C7" i="14" s="1"/>
  <c r="G58" i="13"/>
  <c r="I58" i="13" s="1"/>
  <c r="H20" i="23"/>
  <c r="J25" i="23"/>
  <c r="G51" i="13"/>
  <c r="G32" i="13"/>
  <c r="G40" i="13"/>
  <c r="C10" i="14"/>
  <c r="E35" i="29"/>
  <c r="D33" i="29"/>
  <c r="D38" i="29" s="1"/>
  <c r="E32" i="29"/>
  <c r="E18" i="14"/>
  <c r="I36" i="7"/>
  <c r="C12" i="14" s="1"/>
  <c r="M37" i="14"/>
  <c r="C21" i="14" s="1"/>
  <c r="E16" i="14"/>
  <c r="F16" i="14" s="1"/>
  <c r="E17" i="14"/>
  <c r="F17" i="14" s="1"/>
  <c r="F36" i="7"/>
  <c r="D33" i="14"/>
  <c r="E19" i="14"/>
  <c r="F19" i="14" s="1"/>
  <c r="E20" i="14"/>
  <c r="F20" i="14" s="1"/>
  <c r="E14" i="14"/>
  <c r="K19" i="5"/>
  <c r="G49" i="13"/>
  <c r="I49" i="13" s="1"/>
  <c r="L18" i="17"/>
  <c r="N18" i="17" s="1"/>
  <c r="G34" i="13"/>
  <c r="F42" i="2"/>
  <c r="C44" i="13"/>
  <c r="F15" i="3"/>
  <c r="E15" i="14"/>
  <c r="F15" i="14" s="1"/>
  <c r="F47" i="14" l="1"/>
  <c r="H47" i="14" s="1"/>
  <c r="C24" i="13"/>
  <c r="E8" i="23"/>
  <c r="M19" i="5"/>
  <c r="D13" i="14"/>
  <c r="L14" i="29"/>
  <c r="C23" i="13"/>
  <c r="I60" i="13"/>
  <c r="I57" i="13"/>
  <c r="F6" i="15"/>
  <c r="I24" i="15"/>
  <c r="I25" i="15" s="1"/>
  <c r="I34" i="15" s="1"/>
  <c r="I55" i="13"/>
  <c r="I53" i="13"/>
  <c r="I51" i="13"/>
  <c r="I47" i="13"/>
  <c r="H54" i="13"/>
  <c r="L42" i="2"/>
  <c r="M42" i="2" s="1"/>
  <c r="I14" i="3"/>
  <c r="F33" i="14"/>
  <c r="M34" i="2"/>
  <c r="I41" i="13"/>
  <c r="I43" i="13"/>
  <c r="I42" i="13"/>
  <c r="I40" i="13"/>
  <c r="I38" i="13"/>
  <c r="I37" i="13"/>
  <c r="H44" i="13"/>
  <c r="F61" i="13"/>
  <c r="I36" i="13"/>
  <c r="I34" i="13"/>
  <c r="I32" i="13"/>
  <c r="M22" i="2"/>
  <c r="D61" i="13"/>
  <c r="I50" i="13"/>
  <c r="E155" i="30"/>
  <c r="G155" i="30"/>
  <c r="E91" i="30"/>
  <c r="J78" i="30" s="1"/>
  <c r="E34" i="30"/>
  <c r="I17" i="28"/>
  <c r="I19" i="28" s="1"/>
  <c r="L25" i="28"/>
  <c r="L27" i="28" s="1"/>
  <c r="L29" i="28"/>
  <c r="J25" i="28"/>
  <c r="J27" i="28" s="1"/>
  <c r="J21" i="28"/>
  <c r="I8" i="30"/>
  <c r="H8" i="30"/>
  <c r="G8" i="30"/>
  <c r="E142" i="30"/>
  <c r="H17" i="28"/>
  <c r="H19" i="28" s="1"/>
  <c r="H21" i="28"/>
  <c r="AA166" i="30"/>
  <c r="O59" i="28"/>
  <c r="O57" i="28"/>
  <c r="O61" i="28"/>
  <c r="M113" i="30"/>
  <c r="O142" i="28"/>
  <c r="R144" i="28" s="1"/>
  <c r="G118" i="30"/>
  <c r="G122" i="30" s="1"/>
  <c r="K118" i="30"/>
  <c r="K122" i="30" s="1"/>
  <c r="G131" i="30" s="1"/>
  <c r="G134" i="30" s="1"/>
  <c r="G161" i="30" s="1"/>
  <c r="C118" i="30"/>
  <c r="E118" i="30"/>
  <c r="C62" i="30"/>
  <c r="H66" i="30" s="1"/>
  <c r="R236" i="28"/>
  <c r="O72" i="28"/>
  <c r="H53" i="30"/>
  <c r="D46" i="30"/>
  <c r="E143" i="30"/>
  <c r="H51" i="30"/>
  <c r="H48" i="30"/>
  <c r="F48" i="30"/>
  <c r="I13" i="30"/>
  <c r="I9" i="30"/>
  <c r="H57" i="30"/>
  <c r="D48" i="30"/>
  <c r="I12" i="30"/>
  <c r="H44" i="30" s="1"/>
  <c r="H9" i="30"/>
  <c r="H46" i="30"/>
  <c r="H12" i="30"/>
  <c r="F44" i="30" s="1"/>
  <c r="G9" i="30"/>
  <c r="F46" i="30"/>
  <c r="G12" i="30"/>
  <c r="D44" i="30" s="1"/>
  <c r="O68" i="28"/>
  <c r="O74" i="28"/>
  <c r="H56" i="13"/>
  <c r="I56" i="13" s="1"/>
  <c r="D42" i="2"/>
  <c r="S7" i="7"/>
  <c r="C61" i="13"/>
  <c r="E7" i="14"/>
  <c r="F7" i="14" s="1"/>
  <c r="C9" i="14"/>
  <c r="F9" i="14" s="1"/>
  <c r="F37" i="7"/>
  <c r="E61" i="13"/>
  <c r="E12" i="14"/>
  <c r="F12" i="14" s="1"/>
  <c r="E11" i="14"/>
  <c r="F11" i="14" s="1"/>
  <c r="D23" i="13"/>
  <c r="L16" i="29"/>
  <c r="S6" i="7"/>
  <c r="C8" i="14"/>
  <c r="F8" i="14" s="1"/>
  <c r="I37" i="7"/>
  <c r="E21" i="14"/>
  <c r="F21" i="14" s="1"/>
  <c r="G44" i="13"/>
  <c r="G54" i="13"/>
  <c r="D8" i="23"/>
  <c r="C13" i="14"/>
  <c r="E10" i="14"/>
  <c r="F10" i="14" s="1"/>
  <c r="I37" i="15" l="1"/>
  <c r="I54" i="13"/>
  <c r="C22" i="13"/>
  <c r="D6" i="14"/>
  <c r="E6" i="14" s="1"/>
  <c r="G4" i="14"/>
  <c r="Q25" i="16"/>
  <c r="E95" i="30" a="1"/>
  <c r="E95" i="30" s="1"/>
  <c r="I44" i="13"/>
  <c r="H61" i="13"/>
  <c r="L155" i="30"/>
  <c r="C102" i="30"/>
  <c r="C97" i="30"/>
  <c r="C99" i="30" s="1"/>
  <c r="E144" i="30"/>
  <c r="G143" i="30" s="1"/>
  <c r="M122" i="30"/>
  <c r="E122" i="30"/>
  <c r="E130" i="30" s="1"/>
  <c r="H67" i="30"/>
  <c r="E9" i="14"/>
  <c r="E8" i="14"/>
  <c r="E13" i="14"/>
  <c r="F13" i="14" s="1"/>
  <c r="G61" i="13"/>
  <c r="F6" i="14" l="1"/>
  <c r="E101" i="30"/>
  <c r="E103" i="30" s="1"/>
  <c r="J85" i="30" s="1"/>
  <c r="I61" i="13"/>
  <c r="R83" i="28"/>
  <c r="R85" i="28" s="1"/>
  <c r="R89" i="28" s="1"/>
  <c r="K7" i="19"/>
  <c r="K11" i="19" s="1"/>
  <c r="K14" i="19" s="1"/>
  <c r="G142" i="30"/>
  <c r="M130" i="30"/>
  <c r="H14" i="8" s="1"/>
  <c r="H17" i="8" s="1"/>
  <c r="E134" i="30"/>
  <c r="J83" i="30"/>
  <c r="J76" i="30"/>
  <c r="J79" i="30" s="1"/>
  <c r="K17" i="19" l="1"/>
  <c r="G18" i="19"/>
  <c r="H18" i="19" s="1"/>
  <c r="L91" i="28"/>
  <c r="N91" i="28" s="1"/>
  <c r="R91" i="28"/>
  <c r="R103" i="28" s="1"/>
  <c r="R105" i="28" s="1"/>
  <c r="J35" i="8" s="1"/>
  <c r="J55" i="8" s="1"/>
  <c r="J86" i="30"/>
  <c r="H10" i="8" s="1"/>
  <c r="S13" i="16" s="1"/>
  <c r="M134" i="30"/>
  <c r="E161" i="30"/>
  <c r="L161" i="30" s="1"/>
  <c r="M17" i="8"/>
  <c r="I142" i="30"/>
  <c r="L142" i="30" s="1"/>
  <c r="E160" i="30" s="1"/>
  <c r="I143" i="30" l="1"/>
  <c r="L143" i="30" s="1"/>
  <c r="G160" i="30" s="1"/>
  <c r="G162" i="30" s="1"/>
  <c r="G163" i="30" s="1"/>
  <c r="G164" i="30" s="1"/>
  <c r="G45" i="2"/>
  <c r="D22" i="13"/>
  <c r="S25" i="16"/>
  <c r="T25" i="16" s="1"/>
  <c r="M10" i="8"/>
  <c r="M57" i="8" s="1"/>
  <c r="K30" i="19" s="1"/>
  <c r="K32" i="19" s="1"/>
  <c r="S26" i="16" s="1"/>
  <c r="T26" i="16" s="1"/>
  <c r="O8" i="16"/>
  <c r="N9" i="8"/>
  <c r="J88" i="30"/>
  <c r="E162" i="30"/>
  <c r="R110" i="28"/>
  <c r="O112" i="28" s="1"/>
  <c r="R116" i="28" s="1"/>
  <c r="E163" i="30"/>
  <c r="S28" i="16" l="1"/>
  <c r="D24" i="13"/>
  <c r="F21" i="5"/>
  <c r="L162" i="30"/>
  <c r="L144" i="30"/>
  <c r="L160" i="30"/>
  <c r="L163" i="30"/>
  <c r="E164" i="30"/>
  <c r="L164" i="3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<sst xmlns="http://schemas.openxmlformats.org/spreadsheetml/2006/main" count="2855" uniqueCount="1420">
  <si>
    <t>DISTRICT NAME</t>
  </si>
  <si>
    <t>COUNTY</t>
  </si>
  <si>
    <t xml:space="preserve"> CTD NUMBER</t>
  </si>
  <si>
    <t>FY</t>
  </si>
  <si>
    <t>REVENUES AND PROPERTY TAXATION</t>
  </si>
  <si>
    <t xml:space="preserve"> STATE OF ARIZONA</t>
  </si>
  <si>
    <t>1.</t>
  </si>
  <si>
    <t>Total Budgeted Revenues for Fiscal Year 2023                          $</t>
  </si>
  <si>
    <t xml:space="preserve">    SCHOOL DISTRICT ANNUAL EXPENDITURE BUDGET</t>
  </si>
  <si>
    <t>2.</t>
  </si>
  <si>
    <t>Estimated Revenues by Source for Fiscal Year 2024 (excluding property taxes)</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</si>
  <si>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</si>
  <si>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</si>
  <si>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</si>
  <si>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</si>
  <si>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</si>
  <si>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</si>
  <si>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</si>
  <si>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</si>
  <si>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</si>
  <si>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</si>
  <si>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</si>
  <si>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</si>
  <si>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</si>
  <si>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</si>
  <si>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</si>
  <si>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We hereby certify that the Budget for the Fiscal Year 2024 was</t>
  </si>
  <si>
    <t>Prior FY 2023</t>
  </si>
  <si>
    <t>Est. Budget FY 2024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</si>
  <si>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</si>
  <si>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</si>
  <si>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</si>
  <si>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</si>
  <si>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</si>
  <si>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</si>
  <si>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</si>
  <si>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</si>
  <si>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</si>
  <si>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</si>
  <si>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</si>
  <si>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</si>
  <si>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</si>
  <si>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</si>
  <si>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</si>
  <si>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</si>
  <si>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</si>
  <si>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Maintenance and Operation Fund (from pages 1, line 30 and 7, line 11)</t>
  </si>
  <si>
    <t>SIGNED</t>
  </si>
  <si>
    <t>Unrestricted Capital Fund (from pages 4, line 10 and 8, line 12)</t>
  </si>
  <si>
    <t>Federal Projects Other Than Impact Aid (from Budget, page 6, Federal Projects, line 18 minus line 16)</t>
  </si>
  <si>
    <t xml:space="preserve">The FY 2024 budget file for the version described above will be uploaded via  </t>
  </si>
  <si>
    <t>4.</t>
  </si>
  <si>
    <t>Total Aggregate School District Budget Limit (sum of lines 1 through 3)</t>
  </si>
  <si>
    <t xml:space="preserve"> </t>
  </si>
  <si>
    <t xml:space="preserve">the School Finance Budget System on ADE’s website by  </t>
  </si>
  <si>
    <t>.</t>
  </si>
  <si>
    <t>Type the Date as MM/DD/YYYY</t>
  </si>
  <si>
    <t>AVERAGE TEACHER SALARIES (A.R.S. §15-903.E)</t>
  </si>
  <si>
    <t>Average salary of all teachers employed in FY 2024 (budget year)</t>
  </si>
  <si>
    <t>Average salary of all teachers employed in FY 2023 (prior year)</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</si>
  <si>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</si>
  <si>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</si>
  <si>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</si>
  <si>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</si>
  <si>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</si>
  <si>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 xml:space="preserve">Comments on average salary calculation (Optional): </t>
  </si>
  <si>
    <t>Superintendent Name (Typed Name)</t>
  </si>
  <si>
    <t>Business Manager Name (Typed Name)</t>
  </si>
  <si>
    <t>District Contact Employee:</t>
  </si>
  <si>
    <t>Telephone:</t>
  </si>
  <si>
    <t>Email:</t>
  </si>
  <si>
    <t xml:space="preserve">DISTRICT NAME </t>
  </si>
  <si>
    <t xml:space="preserve">COUNTY </t>
  </si>
  <si>
    <t xml:space="preserve">CTD NUMBER </t>
  </si>
  <si>
    <t>VERSION</t>
  </si>
  <si>
    <t>Dr.</t>
  </si>
  <si>
    <t>Mr.</t>
  </si>
  <si>
    <t>Miss</t>
  </si>
  <si>
    <t xml:space="preserve">Mrs. </t>
  </si>
  <si>
    <t>Ms.</t>
  </si>
  <si>
    <t>CPA</t>
  </si>
  <si>
    <t>Ed.D</t>
  </si>
  <si>
    <t>II</t>
  </si>
  <si>
    <t>III</t>
  </si>
  <si>
    <t>IV</t>
  </si>
  <si>
    <t>J.D.</t>
  </si>
  <si>
    <t>Jr.</t>
  </si>
  <si>
    <t>Ph.D.</t>
  </si>
  <si>
    <t>Sr.</t>
  </si>
  <si>
    <t>DISTRICT CONTACT INFORMATION</t>
  </si>
  <si>
    <t>AZ Dept of Juvenile Corrections (AZDJC)</t>
  </si>
  <si>
    <t>Infinite Visions</t>
  </si>
  <si>
    <t>BocaVox (Maestro)</t>
  </si>
  <si>
    <t>Munis</t>
  </si>
  <si>
    <t>Prefix</t>
  </si>
  <si>
    <t>First Name</t>
  </si>
  <si>
    <t>Last Name</t>
  </si>
  <si>
    <t>Email Address</t>
  </si>
  <si>
    <t>Telephone Number</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</si>
  <si>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</si>
  <si>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</si>
  <si>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</si>
  <si>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</si>
  <si>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</si>
  <si>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</si>
  <si>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</si>
  <si>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</si>
  <si>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</si>
  <si>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</si>
  <si>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</si>
  <si>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</si>
  <si>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</si>
  <si>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</si>
  <si>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</si>
  <si>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</si>
  <si>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</si>
  <si>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</si>
  <si>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</si>
  <si>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</si>
  <si>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</si>
  <si>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</si>
  <si>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</si>
  <si>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</si>
  <si>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</si>
  <si>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</si>
  <si>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</si>
  <si>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</si>
  <si>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</si>
  <si>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</si>
  <si>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</si>
  <si>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</si>
  <si>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</si>
  <si>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</si>
  <si>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</si>
  <si>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</si>
  <si>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</si>
  <si>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</si>
  <si>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</si>
  <si>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</si>
  <si>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</si>
  <si>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</si>
  <si>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</si>
  <si>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</si>
  <si>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</si>
  <si>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</si>
  <si>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</si>
  <si>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</si>
  <si>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</si>
  <si>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</si>
  <si>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</si>
  <si>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</si>
  <si>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</si>
  <si>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</si>
  <si>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</si>
  <si>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</si>
  <si>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</si>
  <si>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</si>
  <si>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</si>
  <si>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</si>
  <si>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</si>
  <si>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</si>
  <si>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</si>
  <si>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</si>
  <si>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</si>
  <si>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</si>
  <si>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</si>
  <si>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</si>
  <si>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</si>
  <si>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</si>
  <si>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</si>
  <si>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</si>
  <si>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</si>
  <si>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</si>
  <si>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</si>
  <si>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</si>
  <si>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</si>
  <si>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</si>
  <si>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</si>
  <si>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</si>
  <si>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</si>
  <si>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</si>
  <si>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</si>
  <si>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</si>
  <si>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</si>
  <si>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</si>
  <si>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</si>
  <si>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</si>
  <si>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</si>
  <si>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</si>
  <si>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</si>
  <si>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</si>
  <si>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</si>
  <si>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</si>
  <si>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</si>
  <si>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</si>
  <si>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</si>
  <si>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</si>
  <si>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</si>
  <si>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</si>
  <si>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</si>
  <si>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</si>
  <si>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</si>
  <si>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</si>
  <si>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</si>
  <si>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</si>
  <si>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</si>
  <si>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</si>
  <si>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</si>
  <si>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</si>
  <si>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 xml:space="preserve">    Total Expenditures (lines 14, and 24-29)</t>
  </si>
  <si>
    <t xml:space="preserve">    (Cannot exceed page 7, line 11)</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</si>
  <si>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</si>
  <si>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</si>
  <si>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</si>
  <si>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</si>
  <si>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</si>
  <si>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</si>
  <si>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Total All Disability Classifications</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</si>
  <si>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</si>
  <si>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</si>
  <si>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</si>
  <si>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</si>
  <si>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</si>
  <si>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</si>
  <si>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</si>
  <si>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</si>
  <si>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 xml:space="preserve">FY 2024 Performance Pay (A.R.S. §15-920) </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</si>
  <si>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</si>
  <si>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</si>
  <si>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</si>
  <si>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</si>
  <si>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</si>
  <si>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</si>
  <si>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</si>
  <si>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</si>
  <si>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</si>
  <si>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</si>
  <si>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</si>
  <si>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</si>
  <si>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</si>
  <si>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</si>
  <si>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</si>
  <si>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</si>
  <si>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Estimated FTE Certified Employees</t>
  </si>
  <si>
    <t>(A.R.S. §15-903.E.2)</t>
  </si>
  <si>
    <t>Number of FTE - Certified Employees</t>
  </si>
  <si>
    <t>Number of FTE - Certified Purchased Services Personnel</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</si>
  <si>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</si>
  <si>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</si>
  <si>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</si>
  <si>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</si>
  <si>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</si>
  <si>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</si>
  <si>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</si>
  <si>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</si>
  <si>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</si>
  <si>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</si>
  <si>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</si>
  <si>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</si>
  <si>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</si>
  <si>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Operations </t>
  </si>
  <si>
    <t xml:space="preserve">     4000 Facilities Acquisition and Construction</t>
  </si>
  <si>
    <t xml:space="preserve">     5000 Debt Service </t>
  </si>
  <si>
    <t>Total Expenditures (lines 1-8)</t>
  </si>
  <si>
    <t>Classroom Site Fund Budget Limit Calculation</t>
  </si>
  <si>
    <t>FY 2023 Classroom Site Fund Budget Limit (from FY 2023 latest revised Budget, page 3, line 16)</t>
  </si>
  <si>
    <t>FY 2023 Actual Expenditures (For budget adoption use actual expenditures to date plus estimated expenditures through fiscal year-end.)</t>
  </si>
  <si>
    <t>Unexpended Budget Balance (line 10 minus 11)</t>
  </si>
  <si>
    <t>Interest Earned in the Classroom Site Fund in FY 2023</t>
  </si>
  <si>
    <t>FY 2024 Classroom Site Fund Allocation (provided by ADE, based on $758)</t>
  </si>
  <si>
    <t>Adjustments to FY 2024 Classroom Site Fund Budget Limit (1)</t>
  </si>
  <si>
    <t>FY 2024 Classroom Site Fund Budget Limit (Sum of lines 10 through 15) (2)</t>
  </si>
  <si>
    <t xml:space="preserve">(1) This line may be used to recapture lost CSF budget capacity that resulted from underbudgeting in prior fiscal years. </t>
  </si>
  <si>
    <t>(2) The amounts budgeted on line 7 cannot exceed the respective amounts on this line.</t>
  </si>
  <si>
    <t>FUND 610 (UCO)</t>
  </si>
  <si>
    <t>UNRESTRICTED CAPITAL OUTLAY (UCO) FUND</t>
  </si>
  <si>
    <t>Rentals</t>
  </si>
  <si>
    <t xml:space="preserve">Library Books, Textbooks, </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</si>
  <si>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</si>
  <si>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</si>
  <si>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</si>
  <si>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</si>
  <si>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</si>
  <si>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</si>
  <si>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</si>
  <si>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</si>
  <si>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</si>
  <si>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</si>
  <si>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</si>
  <si>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</si>
  <si>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</si>
  <si>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</si>
  <si>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</si>
  <si>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</si>
  <si>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</si>
  <si>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</si>
  <si>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</si>
  <si>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</si>
  <si>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</si>
  <si>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</si>
  <si>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</si>
  <si>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(1)    Amounts in the Unrestricted Capital Outlay Override line 1 above must be included in the appropriate individual line items for Fund 610 and in the Budget Year Total Column.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</si>
  <si>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</si>
  <si>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</si>
  <si>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</si>
  <si>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</si>
  <si>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</si>
  <si>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</si>
  <si>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</si>
  <si>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</si>
  <si>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</si>
  <si>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</si>
  <si>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</si>
  <si>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</si>
  <si>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</si>
  <si>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</si>
  <si>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</si>
  <si>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</si>
  <si>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</si>
  <si>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</si>
  <si>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</si>
  <si>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</si>
  <si>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</si>
  <si>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UNRESTRICTED CAPITAL OUTLAY</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</si>
  <si>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</si>
  <si>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</si>
  <si>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</si>
  <si>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</si>
  <si>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</si>
  <si>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</si>
  <si>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</si>
  <si>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</si>
  <si>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</si>
  <si>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</si>
  <si>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</si>
  <si>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</si>
  <si>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</si>
  <si>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</si>
  <si>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</si>
  <si>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</si>
  <si>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</si>
  <si>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</si>
  <si>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</si>
  <si>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</si>
  <si>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</si>
  <si>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</si>
  <si>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</si>
  <si>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</si>
  <si>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</si>
  <si>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</si>
  <si>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(2) Amount budgeted on line 1 for the Adjacent Ways Fund that will result in a tax levy in FY 2024</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</si>
  <si>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</si>
  <si>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</si>
  <si>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</si>
  <si>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</si>
  <si>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</si>
  <si>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</si>
  <si>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</si>
  <si>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</si>
  <si>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</si>
  <si>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</si>
  <si>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</si>
  <si>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</si>
  <si>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</si>
  <si>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</si>
  <si>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</si>
  <si>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</si>
  <si>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</si>
  <si>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</si>
  <si>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</si>
  <si>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</si>
  <si>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</si>
  <si>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</si>
  <si>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</si>
  <si>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</si>
  <si>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</si>
  <si>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</si>
  <si>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</si>
  <si>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</si>
  <si>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</si>
  <si>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</si>
  <si>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</si>
  <si>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</si>
  <si>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</si>
  <si>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</si>
  <si>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</si>
  <si>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</si>
  <si>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</si>
  <si>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</si>
  <si>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300-399 Other Federal Projects (Besides E-Rate &amp; Impact Aid)</t>
  </si>
  <si>
    <t>580  Teacherage</t>
  </si>
  <si>
    <t>Total Federal Project Funds (lines 1-17)</t>
  </si>
  <si>
    <t>585  Insurance Refund</t>
  </si>
  <si>
    <t>STATE PROJECTS FTE &amp; EXPENDITURES</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</si>
  <si>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</si>
  <si>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</si>
  <si>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</si>
  <si>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</si>
  <si>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</si>
  <si>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</si>
  <si>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</si>
  <si>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</si>
  <si>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</si>
  <si>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</si>
  <si>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</si>
  <si>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</si>
  <si>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</si>
  <si>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</si>
  <si>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</si>
  <si>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</si>
  <si>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</si>
  <si>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</si>
  <si>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</si>
  <si>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</si>
  <si>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</si>
  <si>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</si>
  <si>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Total State Project Funds (lines 19-28)</t>
  </si>
  <si>
    <t>32.</t>
  </si>
  <si>
    <t>720  Impact Aid Revenue Bond Debt Service</t>
  </si>
  <si>
    <t>Total Special Projects (lines 18 and 29)</t>
  </si>
  <si>
    <t>33.</t>
  </si>
  <si>
    <t>850  Student Activities</t>
  </si>
  <si>
    <t>34.</t>
  </si>
  <si>
    <t>Other _____________________________________</t>
  </si>
  <si>
    <t>INSTRUCTIONAL IMPROVEMENT FUND EXPENDITURES (020)</t>
  </si>
  <si>
    <t>INTERNAL SERVICE FUNDS 950-989</t>
  </si>
  <si>
    <t>Teacher Compensation Increases</t>
  </si>
  <si>
    <t>9___ Self-Insurance</t>
  </si>
  <si>
    <t>Class Size Reduction</t>
  </si>
  <si>
    <t>955  Intergovernmental Agreements</t>
  </si>
  <si>
    <t>Dropout Prevention Programs (M&amp;O purposes)</t>
  </si>
  <si>
    <t>9__  OPEB</t>
  </si>
  <si>
    <t>Instructional Improvement Programs (M&amp;O purposes)</t>
  </si>
  <si>
    <t>Total Instructional Improvement Fund (lines 1-4)</t>
  </si>
  <si>
    <t>(1)</t>
  </si>
  <si>
    <t>From Supplement, line 10 and line 20, respectively.</t>
  </si>
  <si>
    <t>(2)</t>
  </si>
  <si>
    <t>Indicate amount budgeted in Fund 500 for M&amp;O purposes</t>
  </si>
  <si>
    <t>CTD NUMBER</t>
  </si>
  <si>
    <t xml:space="preserve">CALCULATION OF FY 2024 GENERAL BUDGET LIMIT </t>
  </si>
  <si>
    <t>(A.R.S. §15-947.C)</t>
  </si>
  <si>
    <t>A.</t>
  </si>
  <si>
    <t>B.</t>
  </si>
  <si>
    <t>Maintenance</t>
  </si>
  <si>
    <t>Unrestricted</t>
  </si>
  <si>
    <t>and Operation</t>
  </si>
  <si>
    <t>Capital Outlay</t>
  </si>
  <si>
    <t>*1.</t>
  </si>
  <si>
    <t xml:space="preserve">FY 2024 Revenue Control Limit (RCL) </t>
  </si>
  <si>
    <t>(from BSA55 tab, page 3)</t>
  </si>
  <si>
    <t>$</t>
  </si>
  <si>
    <t>*2.</t>
  </si>
  <si>
    <t>(a)</t>
  </si>
  <si>
    <t>FY 2024 District Additional Assistance (DAA)  (from BSA55 tab, page 4)</t>
  </si>
  <si>
    <t>(b)</t>
  </si>
  <si>
    <t>DAA Adjustment (from BSA55 tab, page 4)</t>
  </si>
  <si>
    <t>(c)</t>
  </si>
  <si>
    <t>Total DAA (line 2.a plus 2.b)</t>
  </si>
  <si>
    <t>*3.</t>
  </si>
  <si>
    <t>FY 2024 Override Authorization (A.R.S. §§15-481 and 15-482 or 15-949 if small school adjustment phase down applies, see Calculations page, 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</si>
  <si>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</si>
  <si>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</si>
  <si>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</si>
  <si>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</si>
  <si>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</si>
  <si>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</si>
  <si>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</si>
  <si>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</si>
  <si>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</si>
  <si>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</si>
  <si>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</si>
  <si>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</si>
  <si>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</si>
  <si>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</si>
  <si>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</si>
  <si>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</si>
  <si>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</si>
  <si>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</si>
  <si>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</si>
  <si>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</si>
  <si>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</si>
  <si>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</si>
  <si>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</si>
  <si>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</si>
  <si>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</si>
  <si>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FY 2023 Performance Pay Unexpended Budget Carryforward (from Calculation page,</t>
  </si>
  <si>
    <t>Calculation of M&amp;O Fund Budget Balance Carryforward, line 10.f) (A.R.S. §15-920)</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</si>
  <si>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</si>
  <si>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</si>
  <si>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</si>
  <si>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</si>
  <si>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</si>
  <si>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</si>
  <si>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</si>
  <si>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</si>
  <si>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</si>
  <si>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</si>
  <si>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</si>
  <si>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</si>
  <si>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*10.</t>
  </si>
  <si>
    <t>Estimated Allocation of Additional Funding (2016 Prop 123 &amp; Laws 2015, 1st S.S., Ch. 1, §6)</t>
  </si>
  <si>
    <t>*11.</t>
  </si>
  <si>
    <t>Estimated Allocation of Onetime State Aid Supplement (Laws 2023, Ch. 133, §31)</t>
  </si>
  <si>
    <t>FY 2024 General Budget Limit (column A, lines 1 through 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</si>
  <si>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</si>
  <si>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</si>
  <si>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</si>
  <si>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</si>
  <si>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 xml:space="preserve">DISTRICT NAME      </t>
  </si>
  <si>
    <t>CALCULATION OF FY 2024 UNRESTRICTED CAPITAL BUDGET LIMIT
(A.R.S. §15-947.D)</t>
  </si>
  <si>
    <t>UNRESTRICTED CAPITAL BUDGET LIMIT</t>
  </si>
  <si>
    <t>FY 2023 Unrestricted Capital Budget Limit (UCBL)</t>
  </si>
  <si>
    <t xml:space="preserve"> (from FY 2023 latest revised Budget, page 8, line 12)</t>
  </si>
  <si>
    <t>Total UCBL Adjustment for prior years as notified by ADE on BUDG75 report (For budget</t>
  </si>
  <si>
    <t>adoption, use zero.)</t>
  </si>
  <si>
    <t>Adjusted Amount Available for FY 2023 Capital Expenditures (line 1 + 2)</t>
  </si>
  <si>
    <t xml:space="preserve">Amount Budgeted in Fund 610 in FY 2023 </t>
  </si>
  <si>
    <t>(from FY 2023 latest revised Budget, page 4, line 10)</t>
  </si>
  <si>
    <t>Lesser of line 3 or the sum of line 4 and any positive adjustment on line 2</t>
  </si>
  <si>
    <t xml:space="preserve">FY 2023 Fund 610 Actual Expenditures  (For budget adoption use actual expenditures </t>
  </si>
  <si>
    <t>to date plus estimated expenditures through fiscal year-end.)</t>
  </si>
  <si>
    <t xml:space="preserve">Unexpended Budget Balance in Fund 610 (line 5 minus 6) If negative, use zero in </t>
  </si>
  <si>
    <t>calculation, but show negative amount here in parentheses.</t>
  </si>
  <si>
    <t>Interest Earned in Fund 610 in FY 2023</t>
  </si>
  <si>
    <t>Monies deposited in Fund 610 from Division of School Facilities for donated land (A.R.S. §41-5741.F)</t>
  </si>
  <si>
    <t>Adjustment to UCBL for FY 2024 (A.R.S. §15-905.M) Include year(s) and descriptions, as applicable.</t>
  </si>
  <si>
    <t>Amount to be Used for Capital Expenditures (from page 7, line 12)</t>
  </si>
  <si>
    <t>FY 2024 Unrestricted Capital Budget Limit (lines 7 through 11) (1)</t>
  </si>
  <si>
    <t>The amount budgeted on page 4, line 10 cannot exceed this amount.</t>
  </si>
  <si>
    <t>SUPPLEMENT TO SCHOOL DISTRICT ANNUAL EXPENDITURE BUDGET FOR DISTRICTS THAT BUDGET FOR 
ENGLISH LANGUAGE LEARNERS (A.R.S. §§15-756.04 and 15-756.11)</t>
  </si>
  <si>
    <t>English Language Learners Supplement</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</si>
  <si>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</si>
  <si>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</si>
  <si>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</si>
  <si>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</si>
  <si>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</si>
  <si>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</si>
  <si>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</si>
  <si>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</si>
  <si>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</si>
  <si>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</si>
  <si>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County for fiscal year 2024 was officially</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</si>
  <si>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</si>
  <si>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</si>
  <si>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</si>
  <si>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</si>
  <si>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</si>
  <si>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</si>
  <si>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</si>
  <si>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</si>
  <si>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</si>
  <si>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</si>
  <si>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2022 ADM</t>
  </si>
  <si>
    <t>2023 ADM</t>
  </si>
  <si>
    <t>2024 ADM</t>
  </si>
  <si>
    <t>1. Average salary of all teachers employed in FY 2024 (budget year)</t>
  </si>
  <si>
    <t>Attending</t>
  </si>
  <si>
    <t>2. Average salary of all teachers employed in FY 2023 (prior year)</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</si>
  <si>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</si>
  <si>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</si>
  <si>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</si>
  <si>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</si>
  <si>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</si>
  <si>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</si>
  <si>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</si>
  <si>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</si>
  <si>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</si>
  <si>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</si>
  <si>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</si>
  <si>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</si>
  <si>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</si>
  <si>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</si>
  <si>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</si>
  <si>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</si>
  <si>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</si>
  <si>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</si>
  <si>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</si>
  <si>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</si>
  <si>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</si>
  <si>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</si>
  <si>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</si>
  <si>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</si>
  <si>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</si>
  <si>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</si>
  <si>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 xml:space="preserve">   TOTAL EXPENDITURES</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</si>
  <si>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</si>
  <si>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</si>
  <si>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</si>
  <si>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</si>
  <si>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</si>
  <si>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</si>
  <si>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</si>
  <si>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</si>
  <si>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</si>
  <si>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</si>
  <si>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</si>
  <si>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</si>
  <si>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</si>
  <si>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</si>
  <si>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</si>
  <si>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</si>
  <si>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</si>
  <si>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</si>
  <si>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</si>
  <si>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</si>
  <si>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t>M&amp;O FUND SPECIAL EDUCATION PROGRAMS BY TYPE</t>
  </si>
  <si>
    <r>
      <t>Program (A.R.S. §§15-761</t>
    </r>
    <r>
      <rPr>
        <b/>
        <sz val="8"/>
        <rFont val="Times New Roman"/>
        <family val="1"/>
      </rPr>
      <t xml:space="preserve"> and 15-903)</t>
    </r>
  </si>
  <si>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</si>
  <si>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</si>
  <si>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</si>
  <si>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</si>
  <si>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</si>
  <si>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</si>
  <si>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</si>
  <si>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</si>
  <si>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</si>
  <si>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</si>
  <si>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</si>
  <si>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</si>
  <si>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</si>
  <si>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</si>
  <si>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</si>
  <si>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</si>
  <si>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</si>
  <si>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</si>
  <si>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</si>
  <si>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</si>
  <si>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FY 2024 Truth in Taxation Work Sheet (A.R.S. §15-905.01)</t>
  </si>
  <si>
    <t>FY 2024 Truth in Taxation Base Limit (from FY 2022 TNT work sheet, line 3 + line 11)</t>
  </si>
  <si>
    <t>Deduction for discontinued programs</t>
  </si>
  <si>
    <t>Adjusted FY 2024 TNT Base Limit</t>
  </si>
  <si>
    <t>Primary Property Tax Rate Related to Budgeted Expenditures</t>
  </si>
  <si>
    <t>FY 2024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</si>
  <si>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</si>
  <si>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</si>
  <si>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</si>
  <si>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</si>
  <si>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Adjustments for FY 2023 Expenditures</t>
  </si>
  <si>
    <t>Desegregation, Dropout Prevention, and Joint Career and Technical Education and Vocational Education Center</t>
  </si>
  <si>
    <t>a.</t>
  </si>
  <si>
    <t xml:space="preserve">FY 2023 Total Actual Expenditures for programs above                                               </t>
  </si>
  <si>
    <t>b.</t>
  </si>
  <si>
    <t>Sum of FY 2023 original budget amounts for programs above (from FY 2023 TNT work sheet, sum of lines 4, 5, and 6)</t>
  </si>
  <si>
    <t>c.</t>
  </si>
  <si>
    <t>Expenditures over/(under) original budget (line 8.a minus line 8.b)</t>
  </si>
  <si>
    <t>Small School Adjustment</t>
  </si>
  <si>
    <t xml:space="preserve">FY 2023 final budget for Small School Adjustment        </t>
  </si>
  <si>
    <t>FY 2023 original budget for Small School Adjustment (from FY 2023 TNT work sheet, line 7)</t>
  </si>
  <si>
    <t>Amount over/(under) budget for Small School Adjustment (line 9.a minus line 9.b)</t>
  </si>
  <si>
    <t>Total (add lines 4 through 7 and line 8.c. and line 9.c.)</t>
  </si>
  <si>
    <t>Excess over Truth in Taxation Limit  (1)</t>
  </si>
  <si>
    <t>(Line 10 minus line 3.  If negative, enter zero.)</t>
  </si>
  <si>
    <t>Amount to be Levied in FY 2024 for Adjacent Ways</t>
  </si>
  <si>
    <t>pursuant to A.R.S. §15-995 (from page 5, footnote 2) (1)</t>
  </si>
  <si>
    <t>Amount to be Levied in FY 2024 for Liabilities in Excess</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</si>
  <si>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</si>
  <si>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</si>
  <si>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</si>
  <si>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</si>
  <si>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</si>
  <si>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</si>
  <si>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</si>
  <si>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</si>
  <si>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</si>
  <si>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</si>
  <si>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</si>
  <si>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</si>
  <si>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</si>
  <si>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</si>
  <si>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</si>
  <si>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</si>
  <si>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</si>
  <si>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t>DATA ENTRY SHEET</t>
  </si>
  <si>
    <t xml:space="preserve"> FY 2024 LEGISLATIVE AMOUNTS</t>
  </si>
  <si>
    <t>Base Level Amount (A.R.S. §15-901, as amended by Laws 2023, Ch. 142, §3)</t>
  </si>
  <si>
    <t>State Support Level per Route Mile (A.R.S. §15-945, as amended by Laws 2023, Ch. 142, §5)</t>
  </si>
  <si>
    <r>
      <t xml:space="preserve">0.5 mile or less  </t>
    </r>
    <r>
      <rPr>
        <b/>
        <sz val="9"/>
        <rFont val="Times New Roman"/>
        <family val="1"/>
      </rPr>
      <t>OR</t>
    </r>
    <r>
      <rPr>
        <sz val="9"/>
        <rFont val="Times New Roman"/>
        <family val="1"/>
      </rPr>
      <t xml:space="preserve">  more than 1.0 mile</t>
    </r>
  </si>
  <si>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</si>
  <si>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</si>
  <si>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</si>
  <si>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</si>
  <si>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</si>
  <si>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</si>
  <si>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</si>
  <si>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FY 2022 100th-Day ADM </t>
  </si>
  <si>
    <t xml:space="preserve">2. </t>
  </si>
  <si>
    <t xml:space="preserve">FY 2023 100th-Day ADM </t>
  </si>
  <si>
    <t>Current Year ADM (A.R.S. §§15-943 and 15-808)</t>
  </si>
  <si>
    <t>FY 2024 Estimated Non-AOI Student Count</t>
  </si>
  <si>
    <t>FY 2024 Estimated AOI Full-Time Student Count</t>
  </si>
  <si>
    <t>FY 2024 Estimated AOI Part-Time Student Count</t>
  </si>
  <si>
    <t>Total FY 2024 Estimated Student Count</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</si>
  <si>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</si>
  <si>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</si>
  <si>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</si>
  <si>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</si>
  <si>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</si>
  <si>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</si>
  <si>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</si>
  <si>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</si>
  <si>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</si>
  <si>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</si>
  <si>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</si>
  <si>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</si>
  <si>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</si>
  <si>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</si>
  <si>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</si>
  <si>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</si>
  <si>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</si>
  <si>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</si>
  <si>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</si>
  <si>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</si>
  <si>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</si>
  <si>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</si>
  <si>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Total Add-on Count (lines 7 through 21)</t>
  </si>
  <si>
    <t>ADJUSTMENTS TO BASE SUPPORT LEVEL/BASE REVENUE CONTROL LIMIT (A.R.S. §15-944.E)</t>
  </si>
  <si>
    <t>Check box(es) if the district's schools are designated as small isolated by the State Board of Education. (A.R.S. §15-901)</t>
  </si>
  <si>
    <t>Check box if the district has been approved to provide 200 days of instruction by ADE. (A.R.S. §15-902.04)</t>
  </si>
  <si>
    <t>Adjusted FY 2024 Base Level Amount</t>
  </si>
  <si>
    <t>Actual Teacher Experience Index (TEI) from FY 2023 Teacher Experience Report (if actual TEI is less than 1.0000 use 1.0000) (A.R.S. §15-941)</t>
  </si>
  <si>
    <r>
      <t xml:space="preserve">FY 2022 actual </t>
    </r>
    <r>
      <rPr>
        <b/>
        <sz val="9"/>
        <rFont val="Times New Roman"/>
        <family val="1"/>
      </rPr>
      <t xml:space="preserve">non-federal </t>
    </r>
    <r>
      <rPr>
        <sz val="9"/>
        <rFont val="Times New Roman"/>
        <family val="1"/>
      </rPr>
      <t>audit expenditures from all funds (A.R.S. §15-914.F)</t>
    </r>
  </si>
  <si>
    <r>
      <t xml:space="preserve">FY 2022 actual </t>
    </r>
    <r>
      <rPr>
        <b/>
        <sz val="9"/>
        <rFont val="Times New Roman"/>
        <family val="1"/>
      </rPr>
      <t>federal</t>
    </r>
    <r>
      <rPr>
        <sz val="9"/>
        <rFont val="Times New Roman"/>
        <family val="1"/>
      </rPr>
      <t xml:space="preserve"> audit expenditures from all funds </t>
    </r>
  </si>
  <si>
    <r>
      <t xml:space="preserve">FY 2022 actual </t>
    </r>
    <r>
      <rPr>
        <b/>
        <sz val="9"/>
        <rFont val="Times New Roman"/>
        <family val="1"/>
      </rPr>
      <t>total</t>
    </r>
    <r>
      <rPr>
        <sz val="9"/>
        <rFont val="Times New Roman"/>
        <family val="1"/>
      </rPr>
      <t xml:space="preserve"> audit expenditures from all funds (line 6 plus line 7)</t>
    </r>
  </si>
  <si>
    <r>
      <t>TRANSPORTATION (A.R.S. §§15-816.01, 15-945</t>
    </r>
    <r>
      <rPr>
        <b/>
        <sz val="12"/>
        <rFont val="Times New Roman"/>
        <family val="1"/>
      </rPr>
      <t>,</t>
    </r>
    <r>
      <rPr>
        <b/>
        <sz val="12"/>
        <color indexed="8"/>
        <rFont val="Times New Roman"/>
        <family val="1"/>
      </rPr>
      <t xml:space="preserve"> and 15-946)</t>
    </r>
  </si>
  <si>
    <t xml:space="preserve">FY 2023 Approved Daily Route Miles </t>
  </si>
  <si>
    <t xml:space="preserve">Number of Eligible Students Transported in FY 2023 </t>
  </si>
  <si>
    <t xml:space="preserve">FY 2023 Annual Expenditure for Bus Tokens </t>
  </si>
  <si>
    <t xml:space="preserve">FY 2023 Annual Expenditure for Bus Passes </t>
  </si>
  <si>
    <t xml:space="preserve">Actual Route Miles traveled in July and August 2022 to Transport Pupils w/Disabilities for Extended School Year </t>
  </si>
  <si>
    <t>Estimated Route Miles Traveled in June 2023 to Transport Pupils w/Disabilities for Extended School Year</t>
  </si>
  <si>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</si>
  <si>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</si>
  <si>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</si>
  <si>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</si>
  <si>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ASSESSED PROPERTY VALUATIONS</t>
  </si>
  <si>
    <t>2023 Primary Net Assessed Valuation (AV)</t>
  </si>
  <si>
    <t>2023 Primary Net Assessed Valuation (AV2)</t>
  </si>
  <si>
    <t>2023 Salt River Project (SRP) Valuation</t>
  </si>
  <si>
    <t>2023 Government Property Lease Excise Tax Assessed Valuation</t>
  </si>
  <si>
    <t>BUDGET BALANCE CARRYFORWARD (A.R.S. §15-943.01)</t>
  </si>
  <si>
    <t>Adjustments to the General Budget Limit (from FY 2023 BUDG75, leave blank for budget adoption)</t>
  </si>
  <si>
    <t>FY 2023 M&amp;O Fund actual expenditures (from FY 2023 AFR, amount will be estimated for budget adoption)</t>
  </si>
  <si>
    <t>FY 2023 M&amp;O Fund Actual Expenditures (if any) for:</t>
  </si>
  <si>
    <t xml:space="preserve">Special Program Override </t>
  </si>
  <si>
    <t xml:space="preserve">Desegregation (A.R.S. §15-910) </t>
  </si>
  <si>
    <t xml:space="preserve">Tuition Out Debt Service </t>
  </si>
  <si>
    <t>d.</t>
  </si>
  <si>
    <t xml:space="preserve">Dropout Prevention Programs </t>
  </si>
  <si>
    <t>e.</t>
  </si>
  <si>
    <t xml:space="preserve">Joint Career and Technical Education and Vocational Education Center (A.R.S. §15-910.01) </t>
  </si>
  <si>
    <t>f.</t>
  </si>
  <si>
    <t xml:space="preserve">Performance Pay (A.R.S. §15-920) </t>
  </si>
  <si>
    <t>Budget Balance Carryforward transferred to the School Opening Fund (if any)</t>
  </si>
  <si>
    <t>DISTRICTS RECEIVING FEDERAL IMPACT AID REVENUES (A.R.S. §15-905.R):</t>
  </si>
  <si>
    <t>FY 2024 Impact Aid Revenue</t>
  </si>
  <si>
    <t>Impact Aid revenue deposited in FY 2024 to the Impact Aid Revenue Bond Debt Service Fund for principal and interest payments</t>
  </si>
  <si>
    <t>Impact Aid revenue transferred in FY 2024 to the M&amp;O Fund to provide cash for the TRCL/TSL difference</t>
  </si>
  <si>
    <t>TRCL/TSL difference</t>
  </si>
  <si>
    <t>Impact Aid revenue transferred in FY 2024 to the M&amp;O Fund to reduce or eliminate taxes</t>
  </si>
  <si>
    <t xml:space="preserve">FY 2023 Ending Cash Balance in the Impact Aid Fund </t>
  </si>
  <si>
    <t>DISTRICTS OPERATING UNDER THE PROVISIONS OF THE SMALL SCHOOL ADJUSTMENT (A.R.S. §15-949):</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</si>
  <si>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18 below.</t>
    </r>
  </si>
  <si>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</si>
  <si>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</si>
  <si>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</si>
  <si>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</si>
  <si>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</si>
  <si>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</si>
  <si>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</si>
  <si>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</si>
  <si>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</si>
  <si>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</si>
  <si>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</si>
  <si>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</si>
  <si>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</si>
  <si>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as amended by Laws 2023, Ch. 142, Sec. 6)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</si>
  <si>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</si>
  <si>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</si>
  <si>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</si>
  <si>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Maintenance &amp; Operation (M&amp;O) Fund FY 2023 ending cash balance</t>
  </si>
  <si>
    <t>10% of the FY 2024 RCL calculated using the district's 2023 ADM</t>
  </si>
  <si>
    <t>Up to 5% of the FY 2024 RCL calculated pursuant to A.R.S. §15-482.B</t>
  </si>
  <si>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</si>
  <si>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</si>
  <si>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</si>
  <si>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</si>
  <si>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</si>
  <si>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</si>
  <si>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</si>
  <si>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</si>
  <si>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</si>
  <si>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</si>
  <si>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</si>
  <si>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</si>
  <si>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</si>
  <si>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</si>
  <si>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</si>
  <si>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</si>
  <si>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</si>
  <si>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</si>
  <si>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</si>
  <si>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</si>
  <si>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</si>
  <si>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</si>
  <si>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</si>
  <si>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</si>
  <si>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</si>
  <si>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</si>
  <si>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</si>
  <si>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</si>
  <si>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</si>
  <si>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</si>
  <si>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</si>
  <si>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CALCULATION OF DISTRICT ADDITIONAL ASSISTANCE (DAA) PER STUDENT COUNT AMOUNTS (A.R.S. §§15-961, as amended by Laws 2023, Ch. 142, §6; 15-951.C; and 15-962.01)</t>
  </si>
  <si>
    <t>TABLE TO CALCULATE DAA PER STUDENT COUNT</t>
  </si>
  <si>
    <t xml:space="preserve">FY 2024 Student Count (2023 ADM):   .001 - 99.999 </t>
  </si>
  <si>
    <t>DAA per Student Count</t>
  </si>
  <si>
    <t xml:space="preserve">FY 2024 Student Count (2023 ADM):   100.000 - 499.999 </t>
  </si>
  <si>
    <t xml:space="preserve">Support Level Weight  </t>
  </si>
  <si>
    <t>g.</t>
  </si>
  <si>
    <t>h.</t>
  </si>
  <si>
    <t>Support Level Amount</t>
  </si>
  <si>
    <t>i.</t>
  </si>
  <si>
    <t xml:space="preserve">FY 2024 Student Count (2023 ADM):   500.000 - 599.999 </t>
  </si>
  <si>
    <t xml:space="preserve">FY 2024 Student Count (2023 ADM):   600.000 or More &amp; Career Technical Education Districts </t>
  </si>
  <si>
    <t>CALCULATION OF MAINTENANCE AND OPERATION (M&amp;O) FUND BUDGET BALANCE CARRYFORWARD (A.R.S. §15-943.01)</t>
  </si>
  <si>
    <t>General Budget Limit (GBL) (from FY 2023 latest revised Budget, page 7, line 11)</t>
  </si>
  <si>
    <t>Adjustments to the GBL (from FY 2023 BUDG75, amount will be zero for budget adoption)</t>
  </si>
  <si>
    <t>Adjusted GBL</t>
  </si>
  <si>
    <t>Budgeted M&amp;O expenditures (from FY 2023 latest revised Budget, page 1, line 30, Total Budget Year Column)</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</si>
  <si>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</si>
  <si>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</si>
  <si>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</si>
  <si>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</si>
  <si>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Note: For lines 10.a through 10.f the FY 2023 actual expenditures are deducted from the budget amount.  If the result is negative, zero is shown.</t>
  </si>
  <si>
    <t>FY 2023 Actual Expenditures:</t>
  </si>
  <si>
    <t>FY 2023 Budget</t>
  </si>
  <si>
    <t>Actual</t>
  </si>
  <si>
    <t>Unexpended Budget</t>
  </si>
  <si>
    <t>Special Program Override</t>
  </si>
  <si>
    <t>Desegregation</t>
  </si>
  <si>
    <t>Tuition Out Debt Service</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</si>
  <si>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</si>
  <si>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</si>
  <si>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</si>
  <si>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</si>
  <si>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Budget Balance Carryforward transferred to the School Opening Fund (not to exceed the lesser of line 11 or the FY 2023 M&amp;O Fund ending cash balance)</t>
  </si>
  <si>
    <t>Actual Budget Balance Carryforward to be used in M&amp;O Fund (for GBL calculation on page 7, line 8.c)</t>
  </si>
  <si>
    <t>Accommodation District Cash Balance Carryforward</t>
  </si>
  <si>
    <t>M&amp;O Fund cash balance as of June 30, 2023</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</si>
  <si>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</si>
  <si>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</si>
  <si>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</si>
  <si>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</si>
  <si>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 xml:space="preserve">10% of the FY 2024 RCL calculated using the district's 2023 ADM </t>
  </si>
  <si>
    <t xml:space="preserve">Up to 5% of the FY 2024 RCL calculated pursuant to A.R.S. §15-482.B </t>
  </si>
  <si>
    <t>Result (line 15.b plus line 15.c)</t>
  </si>
  <si>
    <t>The lesser of line 15.a or 15.d</t>
  </si>
  <si>
    <t>CALCULATION OF THE AMOUNT AVAILABLE TO BE SPENT IN THE IMPACT AID FUND (A.R.S. §15-905.R)</t>
  </si>
  <si>
    <t xml:space="preserve">FY 2024 Impact Aid Revenue </t>
  </si>
  <si>
    <t>TRCL/TSL Difference</t>
  </si>
  <si>
    <t>Impact Aid revenue transferred in FY 2024 to the M&amp;O Fund to provide cash for the TRCL/TSL difference calculated on line 3</t>
  </si>
  <si>
    <t>FY 2023 Ending Cash Balance in the Impact Aid Fund</t>
  </si>
  <si>
    <t>FY 2024 Amount Available to be Spent in the Impact Aid Fund  (on page 6, Federal Projects line 16)</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</si>
  <si>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</si>
  <si>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</si>
  <si>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r>
      <t xml:space="preserve">If in FY 2024, the K-8 student count is greater than 125 but less than 154, or the 9-12 student count is greater than 100 but less than 176, the district may continue to adopt a budget using a small school adjustment on page 7, line 4 of up to $50,000 without an election.  </t>
    </r>
    <r>
      <rPr>
        <b/>
        <u/>
        <sz val="9"/>
        <rFont val="Times New Roman"/>
        <family val="1"/>
      </rPr>
      <t>OR</t>
    </r>
    <r>
      <rPr>
        <sz val="9"/>
        <rFont val="Times New Roman"/>
        <family val="1"/>
      </rPr>
      <t xml:space="preserve">  If the district holds an override election as provided in A.R.S. §15-481, the district may include up to the amount calculated below on page 7, line 3(a). </t>
    </r>
    <r>
      <rPr>
        <b/>
        <sz val="9"/>
        <rFont val="Times New Roman"/>
        <family val="1"/>
      </rPr>
      <t>For purposes of small school adjustment, the FY 2024 student count is the 2023 ADM.</t>
    </r>
  </si>
  <si>
    <t>A district whose student count K-8 has exceeded 125 but is less than 154 may determine the small school adjustment phase down as follows:</t>
  </si>
  <si>
    <t>SMALL</t>
  </si>
  <si>
    <t>Phase down base</t>
  </si>
  <si>
    <t>TABLE I: Grades K-8</t>
  </si>
  <si>
    <t>ISOLATED</t>
  </si>
  <si>
    <t xml:space="preserve">FY 2024 K-8 student count </t>
  </si>
  <si>
    <t>Small school student count limit</t>
  </si>
  <si>
    <t>FY 2024 Student Count (line 1.b to left)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</si>
  <si>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</si>
  <si>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</si>
  <si>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</si>
  <si>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</si>
  <si>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</si>
  <si>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FY 2024 Adjusted Support Level Weight (to line 1.e)</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</si>
  <si>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</si>
  <si>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</si>
  <si>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</si>
  <si>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FY 2024 9-12 student count </t>
  </si>
  <si>
    <t>FY 2024 Student Count (line 2.b to left)</t>
  </si>
  <si>
    <t>Adjusted Support Level Weight (See Table II at right for calculation)</t>
  </si>
  <si>
    <t>FY 2024 Adjusted Support Level Weight (to line 2.e)</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</si>
  <si>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</si>
  <si>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</si>
  <si>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</si>
  <si>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</si>
  <si>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</si>
  <si>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</si>
  <si>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</si>
  <si>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r>
      <t xml:space="preserve">If in FY 2024, the K-8 student count is greater than 125 but less than 181, or the 9-12 student count is greater than 100 but less than 185, the district may hold an override election as provided in A.R.S. §15-481.  The maximum amount the district may budget on Budget, page 7, line 3(a), subject to an override election, is the amount calculated below.  </t>
    </r>
    <r>
      <rPr>
        <b/>
        <sz val="9"/>
        <rFont val="Times New Roman"/>
        <family val="1"/>
      </rPr>
      <t>For purposes of small school adjustment, the FY 2024 student count is the 2023 ADM.</t>
    </r>
  </si>
  <si>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</si>
  <si>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</si>
  <si>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</si>
  <si>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</si>
  <si>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</si>
  <si>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</si>
  <si>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</si>
  <si>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</si>
  <si>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</si>
  <si>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</si>
  <si>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</si>
  <si>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</si>
  <si>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PSD Weighted ADM Percentage</t>
  </si>
  <si>
    <t>RCL from BSA55</t>
  </si>
  <si>
    <t>PSD RCL</t>
  </si>
  <si>
    <t>K-8 Non-Qualifying RCL</t>
  </si>
  <si>
    <t>10% of K-8 Non-Qualifying RCL (to Data Entry tab, line 19)</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</si>
  <si>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</si>
  <si>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Base Year Attending ADM Grades 9-12</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</si>
  <si>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</si>
  <si>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</si>
  <si>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</si>
  <si>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</si>
  <si>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</si>
  <si>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</si>
  <si>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</si>
  <si>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</si>
  <si>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</si>
  <si>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</si>
  <si>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</si>
  <si>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</si>
  <si>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</si>
  <si>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</si>
  <si>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</si>
  <si>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</si>
  <si>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</si>
  <si>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</si>
  <si>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</si>
  <si>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</si>
  <si>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</si>
  <si>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</si>
  <si>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</si>
  <si>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</si>
  <si>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</si>
  <si>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</si>
  <si>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</si>
  <si>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</si>
  <si>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</si>
  <si>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</si>
  <si>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</si>
  <si>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</si>
  <si>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</si>
  <si>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</si>
  <si>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Assistance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</si>
  <si>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</si>
  <si>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</si>
  <si>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</si>
  <si>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</si>
  <si>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</si>
  <si>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</si>
  <si>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</si>
  <si>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</si>
  <si>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</si>
  <si>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</si>
  <si>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</si>
  <si>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</si>
  <si>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</si>
  <si>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</si>
  <si>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</si>
  <si>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</si>
  <si>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</si>
  <si>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</si>
  <si>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</si>
  <si>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</si>
  <si>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</si>
  <si>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</si>
  <si>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</si>
  <si>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</si>
  <si>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</si>
  <si>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</si>
  <si>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</si>
  <si>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</si>
  <si>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</si>
  <si>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</si>
  <si>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</si>
  <si>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Base Level Amount (FY24)</t>
  </si>
  <si>
    <t>Total Weighted ADM x Base Level Amount</t>
  </si>
  <si>
    <t>Calculated Teachers Experience Index (FY23)</t>
  </si>
  <si>
    <t>Applied Teachers Experience Index (FY24)</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</si>
  <si>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</si>
  <si>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</si>
  <si>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</si>
  <si>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</si>
  <si>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</si>
  <si>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</si>
  <si>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</si>
  <si>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</si>
  <si>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</si>
  <si>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</si>
  <si>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</si>
  <si>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</si>
  <si>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</si>
  <si>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 xml:space="preserve">FY24 Adjusted Base Support Level (BSL) </t>
  </si>
  <si>
    <t>Approved Daily Route Miles</t>
  </si>
  <si>
    <t>FY24 Consolidation or Unification Assistance</t>
  </si>
  <si>
    <t xml:space="preserve">          Eligible Students Transported (FY23)</t>
  </si>
  <si>
    <t>FY24 Transportation Support Level (TSL)</t>
  </si>
  <si>
    <t xml:space="preserve">          Daily Route Miles Per Eligible Student (FY23)</t>
  </si>
  <si>
    <t>FY24 District Support Level (DSL)</t>
  </si>
  <si>
    <t xml:space="preserve">          Total Approved Daily Route Miles</t>
  </si>
  <si>
    <t>State Support Level Per Route Mile</t>
  </si>
  <si>
    <t>Instruction Days</t>
  </si>
  <si>
    <t>Calculation For Revenue Control Limit (RCL)</t>
  </si>
  <si>
    <t>To and From School Support Level</t>
  </si>
  <si>
    <t>FY24 Adjusted Base Support Level (BSL)</t>
  </si>
  <si>
    <r>
      <rPr>
        <sz val="8"/>
        <color indexed="12"/>
        <rFont val="Times New Roman"/>
        <family val="1"/>
      </rPr>
      <t xml:space="preserve">          </t>
    </r>
    <r>
      <rPr>
        <u/>
        <sz val="8"/>
        <color indexed="12"/>
        <rFont val="Times New Roman"/>
        <family val="1"/>
      </rPr>
      <t>Activity Trip Level Factor</t>
    </r>
  </si>
  <si>
    <t xml:space="preserve">          Activity Trip Support Level</t>
  </si>
  <si>
    <t>FY24 Transportation Revenue Control Limit (TRCL)</t>
  </si>
  <si>
    <t>Handicapped Extended School Year Mileage (FY23)</t>
  </si>
  <si>
    <t>FY24 Revenue Control Limit (RCL)</t>
  </si>
  <si>
    <t>Handicapped Extended School Year Support Level</t>
  </si>
  <si>
    <t>FY24 Lesser of DSL/RCL</t>
  </si>
  <si>
    <t>Annual Expenditures For:</t>
  </si>
  <si>
    <t>Bus Passes</t>
  </si>
  <si>
    <t>Bus Tokens</t>
  </si>
  <si>
    <t xml:space="preserve">     Districts (FY23)</t>
  </si>
  <si>
    <t>Calculation For Transportation Revenue Control Limit (TRCL)</t>
  </si>
  <si>
    <t>FY23 Transportation Revenue Control Limit (TRCL)</t>
  </si>
  <si>
    <t>Change:</t>
  </si>
  <si>
    <t>FY24 TSL</t>
  </si>
  <si>
    <t>FY23 TSL         -</t>
  </si>
  <si>
    <t>Difference:             $</t>
  </si>
  <si>
    <t>Preliminary FY24 TRCL</t>
  </si>
  <si>
    <t>120% of FY24 TSL</t>
  </si>
  <si>
    <t>4 of 5</t>
  </si>
  <si>
    <t>District Additional Assistance (DAA) Calculations</t>
  </si>
  <si>
    <t>Type 03 Transported 9-12</t>
  </si>
  <si>
    <t>FY23 District ADM</t>
  </si>
  <si>
    <t>DAA Per ADM</t>
  </si>
  <si>
    <t>Preliminary DAA</t>
  </si>
  <si>
    <t>(*For Type 03 High School Only, Per Student Count Factor at 50%)</t>
  </si>
  <si>
    <t>DAA Growth Factor</t>
  </si>
  <si>
    <t>FY22 District ADM</t>
  </si>
  <si>
    <t>/</t>
  </si>
  <si>
    <t>FY24 Calculated DAA Growth Factor</t>
  </si>
  <si>
    <t>FY24 Applied DAA Growth Factor</t>
  </si>
  <si>
    <t>(1.0000 or Calculated DAA Growth Factor If greater than 1.05, use 1 plus 50% of growth.)</t>
  </si>
  <si>
    <t>District DAA</t>
  </si>
  <si>
    <t>DAA For High School Textbooks</t>
  </si>
  <si>
    <t>FY23 District High School ADM</t>
  </si>
  <si>
    <t>Support Level Amount For Textbooks</t>
  </si>
  <si>
    <t>PSD-8</t>
  </si>
  <si>
    <t>Pre-Adjusted DAA Base Allocation</t>
  </si>
  <si>
    <t>Total DAA Adjustments</t>
  </si>
  <si>
    <t>Adjusted FY24 DAA Base Allocation</t>
  </si>
  <si>
    <t>5 of 5</t>
  </si>
  <si>
    <t>Equalization Base for Lesser of DSL/RCL</t>
  </si>
  <si>
    <t>Lesser of DSL or RCL</t>
  </si>
  <si>
    <t xml:space="preserve">Weighted ADM                                  </t>
  </si>
  <si>
    <t>Percentage</t>
  </si>
  <si>
    <t>FY24 DSL/RCL Allocation</t>
  </si>
  <si>
    <t>Equalization Assessed Valuation</t>
  </si>
  <si>
    <t>9 -12</t>
  </si>
  <si>
    <t>Primary Assessed Valuation 1 (NAV1)</t>
  </si>
  <si>
    <t>Primary Assessed Valuation 2 (NAV2)</t>
  </si>
  <si>
    <t>SRP Assessed Valuation</t>
  </si>
  <si>
    <t>GPLET Assessed Valuation</t>
  </si>
  <si>
    <t>Equalization Assessed Valuation</t>
  </si>
  <si>
    <t>Qualifying Tax Rate</t>
  </si>
  <si>
    <t>FY24 Qualifying Levy</t>
  </si>
  <si>
    <t>Calculation of Equalization Assistance</t>
  </si>
  <si>
    <t>DSL/RCL Allocation</t>
  </si>
  <si>
    <t>Adjusted CY DAA Base Allocation</t>
  </si>
  <si>
    <t>FY24 Equalization Base</t>
  </si>
  <si>
    <t>FY24 Applied Qualifying Levy</t>
  </si>
  <si>
    <t>FY24 Equalization Assistance</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</si>
  <si>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</si>
  <si>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</si>
  <si>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</si>
  <si>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</si>
  <si>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</si>
  <si>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</si>
  <si>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</si>
  <si>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</si>
  <si>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</si>
  <si>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</si>
  <si>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</si>
  <si>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</si>
  <si>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</si>
  <si>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</si>
  <si>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r>
      <t>All districts must revise the FY 2024 budget to include the 2023 (prior year) and 2024 (current year) 100th-Day ADM from the applicable year's ADM20 report.</t>
    </r>
    <r>
      <rPr>
        <strike/>
        <sz val="14"/>
        <rFont val="Times New Roman"/>
        <family val="1"/>
      </rPr>
      <t xml:space="preserve"> </t>
    </r>
    <r>
      <rPr>
        <sz val="14"/>
        <rFont val="Times New Roman"/>
        <family val="1"/>
      </rPr>
      <t xml:space="preserve">
</t>
    </r>
  </si>
  <si>
    <t>Cover</t>
  </si>
  <si>
    <t>District Tax Rates</t>
  </si>
  <si>
    <t>District tax rates for FY 2023 should be the actual tax rates set by the County Board of Supervisors in August 2022. Tax rates for FY 2024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</si>
  <si>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</si>
  <si>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</si>
  <si>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</si>
  <si>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</si>
  <si>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</si>
  <si>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 xml:space="preserve">Function code 2300, object code 6820-Judgments Against the District should be used to budget for excessive property tax valuation judgments to be paid in FY 2024. This amount should also be included on page 7, line 8(h). Pre-approval by ADE is required. Contact ADE’s School Finance payment team at the email address below. </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</si>
  <si>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</si>
  <si>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</si>
  <si>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</si>
  <si>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</si>
  <si>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A district authorized by ADE to continue participation in Dropout Prevention Programs for FY 2024 pursuant to Laws 1992, Ch. 305, §32 and Laws 2000, Ch. 398, §2, must budget the additional amount on this line.</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</si>
  <si>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</si>
  <si>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</si>
  <si>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</si>
  <si>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</si>
  <si>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</si>
  <si>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</si>
  <si>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</si>
  <si>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</si>
  <si>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</si>
  <si>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FTE Certified Employees</t>
  </si>
  <si>
    <r>
      <t>Include</t>
    </r>
    <r>
      <rPr>
        <b/>
        <sz val="14"/>
        <rFont val="Times New Roman"/>
        <family val="1"/>
      </rPr>
      <t xml:space="preserve"> all</t>
    </r>
    <r>
      <rPr>
        <sz val="14"/>
        <rFont val="Times New Roman"/>
        <family val="1"/>
      </rPr>
      <t xml:space="preserve"> certified personnel filling certified positions at the district. </t>
    </r>
  </si>
  <si>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</si>
  <si>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</si>
  <si>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</si>
  <si>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2024 school year for the operation of the food service program. Any questions related to the state matching requirements should be directed to ADE’s Health &amp;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t>
    </r>
  </si>
  <si>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</si>
  <si>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</si>
  <si>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 xml:space="preserve">The total amount budgeted on line 9 cannot exceed the CSFBL on line 16. The total amount budgeted in FY 2024 will affect the next year’s CSFBL. Districts should budget up to the Classroom Site Fund Budget Limit (CSFBL) as calculated on lines 10 through 16. See A.R.S. §15-978 and the calculation below. 
</t>
  </si>
  <si>
    <t>Line 11</t>
  </si>
  <si>
    <r>
      <rPr>
        <b/>
        <sz val="14"/>
        <rFont val="Times New Roman"/>
        <family val="1"/>
      </rPr>
      <t>Budget Revision</t>
    </r>
    <r>
      <rPr>
        <sz val="14"/>
        <rFont val="Times New Roman"/>
        <family val="1"/>
      </rPr>
      <t xml:space="preserve">
Line 11 should reflect total actual CSF expenditures as reported on the district’s FY 2023 AFR.</t>
    </r>
  </si>
  <si>
    <t>Line 13</t>
  </si>
  <si>
    <r>
      <rPr>
        <b/>
        <sz val="14"/>
        <rFont val="Times New Roman"/>
        <family val="1"/>
      </rPr>
      <t>Budget Revision</t>
    </r>
    <r>
      <rPr>
        <sz val="14"/>
        <rFont val="Times New Roman"/>
        <family val="1"/>
      </rPr>
      <t xml:space="preserve">
This line should agree to the total actual interest earned on CSF investments, as reported on the FY 2023 AFR for the CSF.</t>
    </r>
  </si>
  <si>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</si>
  <si>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</si>
  <si>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</si>
  <si>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</si>
  <si>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</si>
  <si>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The amount budgeted in the UCO Fund cannot exceed the Unrestricted Capital Budget Limit (UCBL) on page 8, line 12. The amount budgeted in Fund 610 in FY 2024 will affect the next year’s UCBL. See A.R.S. §15-947(D) and calculation on page 8.</t>
  </si>
  <si>
    <t>Footnote 5</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</si>
  <si>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2024 school year for the food service program. Any questions related to the state matching requirements should be directed to ADE’s Health &amp;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&amp; Nutrition Services will verify that amounts budgeted were spent when the annual financial reports are submitted.
</t>
    </r>
  </si>
  <si>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</si>
  <si>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</si>
  <si>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</si>
  <si>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</si>
  <si>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16</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</si>
  <si>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</si>
  <si>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17</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</si>
  <si>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</si>
  <si>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</si>
  <si>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</si>
  <si>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</si>
  <si>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</si>
  <si>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</si>
  <si>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</si>
  <si>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</si>
  <si>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</si>
  <si>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</si>
  <si>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</si>
  <si>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</si>
  <si>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</si>
  <si>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</si>
  <si>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</si>
  <si>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</si>
  <si>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</si>
  <si>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</si>
  <si>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</si>
  <si>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</si>
  <si>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</si>
  <si>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</si>
  <si>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</si>
  <si>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</si>
  <si>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2024 BUDG25 Report. The amounts on lines (a) and (b) can be reconciled to page 4 of the district's most recent FY 2024 BSA 55-1 report from ADE. </t>
    </r>
  </si>
  <si>
    <t>Line 2(b)</t>
  </si>
  <si>
    <t>After completing the Data Entry tab, the DAA adjustment amount from BSA55 tab, page 4 will pull to this line, if any.</t>
  </si>
  <si>
    <t>Line 3</t>
  </si>
  <si>
    <r>
      <t xml:space="preserve">Do not include any overrides authorized to use excess Impact Aid cash on these lines.
Districts should use prior year ADM to calculate the RCL for overrides (A.R.S. §15-943). Districts may recalculate their RCL based on prior year ADM in a separate copy of this budget file. </t>
    </r>
    <r>
      <rPr>
        <b/>
        <u/>
        <sz val="14"/>
        <rFont val="Times New Roman"/>
        <family val="1"/>
      </rPr>
      <t>Do not</t>
    </r>
    <r>
      <rPr>
        <sz val="14"/>
        <rFont val="Times New Roman"/>
        <family val="1"/>
      </rPr>
      <t xml:space="preserve"> submit this separate copy of the file to ADE. Alternatively, districts can get weighted student counts from page 2 of ADE's FY 2023 "BSA Equalization Report", BSA 55-1. ADE has also posted a link to an override calculation worksheet that may be used as a guide in estimating the override amount. The override calculation worksheet and instructions can be found at the link below.</t>
    </r>
  </si>
  <si>
    <t>https://www.azed.gov/sites/default/files/2022/06/MO%20Override%20Estimator%20FY23.xlsm</t>
  </si>
  <si>
    <t>Line 3(a)</t>
  </si>
  <si>
    <t>See Line 3 Instructions above.
If the voters in the override election authorize the district to exceed the RCL, and the increase is to be fully funded by revenues other than property taxes [A.R.S. §15‑481(F)], only revenues derived from the FY 2023 ending cash balance in the M&amp;O Fund [after the primary tax rate is reduced to zero as required by A.R.S. §15‑481(T)] may be used. A.R.S. §15‑481(P) Note: Districts will not be able to fund an override with Impact Aid monies in FY 2024, as Impact Aid monies are accounted for in the Impact Aid Fund.</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</si>
  <si>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</si>
  <si>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</si>
  <si>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</si>
  <si>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r>
      <t xml:space="preserve">See Line 3 Instructions above.
If the voters in the override election authorize the district to exceed the Capital Outlay Revenue Limit or District Additional Assistance and the increase is to be </t>
    </r>
    <r>
      <rPr>
        <b/>
        <sz val="14"/>
        <rFont val="Times New Roman"/>
        <family val="1"/>
      </rPr>
      <t>fully funded by revenues other than property taxes</t>
    </r>
    <r>
      <rPr>
        <sz val="14"/>
        <rFont val="Times New Roman"/>
        <family val="1"/>
      </rPr>
      <t xml:space="preserve"> [A.R.S. §15‑481(M)], only revenues derived from the FY 2023 ending cash balance in the M&amp;O and UCO Funds [after the primary tax rate is reduced to zero as required by A.R.S. §15‑481(T)] may be used. A.R.S. §15‑481(S) </t>
    </r>
    <r>
      <rPr>
        <b/>
        <sz val="14"/>
        <rFont val="Times New Roman"/>
        <family val="1"/>
      </rPr>
      <t>Note: Districts will not be able to fund an override with Impact Aid monies in FY 2024, as Impact Aid monies are accounted for in the Impact Aid Fund.</t>
    </r>
    <r>
      <rPr>
        <sz val="14"/>
        <rFont val="Times New Roman"/>
        <family val="1"/>
      </rPr>
      <t xml:space="preserve">
The maximum amount a district may request for a capital budget override is 10% of the RCL. A.R.S. §15‑481(AA)</t>
    </r>
  </si>
  <si>
    <t>Line 3(c)</t>
  </si>
  <si>
    <r>
      <t xml:space="preserve">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t>
    </r>
    <r>
      <rPr>
        <b/>
        <sz val="14"/>
        <rFont val="Times New Roman"/>
        <family val="1"/>
      </rPr>
      <t>Note: Districts will not be able to fund an override with Impact Aid monies in FY 2024, as Impact Aid monies are accounted for in the Impact Aid Fund.</t>
    </r>
  </si>
  <si>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</si>
  <si>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</si>
  <si>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(2023 ADM). </t>
    </r>
    <r>
      <rPr>
        <b/>
        <sz val="14"/>
        <rFont val="Times New Roman"/>
        <family val="1"/>
      </rPr>
      <t>Districts should not include amounts on these lines for expenditures that are to be made from the Impact Aid Fund.</t>
    </r>
    <r>
      <rPr>
        <sz val="14"/>
        <rFont val="Times New Roman"/>
        <family val="1"/>
      </rPr>
      <t xml:space="preserve">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 </t>
    </r>
  </si>
  <si>
    <t>SFBudgetTeam@azed.gov</t>
  </si>
  <si>
    <t>Line 5</t>
  </si>
  <si>
    <t>Line 5(d)</t>
  </si>
  <si>
    <t>More information and instructions for calculating this amount can be found at the link below:</t>
  </si>
  <si>
    <t>http://www.azed.gov/finance/certificates-of-educational-convenience/</t>
  </si>
  <si>
    <t>Line 6</t>
  </si>
  <si>
    <r>
      <t xml:space="preserve">Include assistance received from the State for students whose parents are employed by certain State institutions as described in A.R.S. §15-976. Also, include amounts paid to the school district through the special education voucher payment system such as payments for teaching students at the district instead of sending the student to the Arizona State Schools for the Deaf and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2024 ADM15. The work sheets are available on ADE’s website at the link below.</t>
    </r>
  </si>
  <si>
    <t xml:space="preserve">Line 7 </t>
  </si>
  <si>
    <r>
      <t xml:space="preserve">Districts should </t>
    </r>
    <r>
      <rPr>
        <u/>
        <sz val="14"/>
        <rFont val="Times New Roman"/>
        <family val="1"/>
      </rPr>
      <t>not</t>
    </r>
    <r>
      <rPr>
        <sz val="14"/>
        <rFont val="Times New Roman"/>
        <family val="1"/>
      </rPr>
      <t xml:space="preserve"> include amounts on this line for expenditures that are to be made from the Impact Aid Fund.
</t>
    </r>
    <r>
      <rPr>
        <b/>
        <sz val="14"/>
        <rFont val="Times New Roman"/>
        <family val="1"/>
      </rPr>
      <t>Budget Revision</t>
    </r>
    <r>
      <rPr>
        <sz val="14"/>
        <rFont val="Times New Roman"/>
        <family val="1"/>
      </rPr>
      <t xml:space="preserve">
If the June 30, 2023, actual cash balance for the M&amp;O Fund was incorrectly estimated, an accommodation school district must complete and submit a revised budget file, even if the amount recorded on line 7 of the adopted budget is not revised. If the June 30, 2023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2023 BUDG75 Report. 
Record the district’s actual cash balance for the M&amp;O Fund at June 30, 2023,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</si>
  <si>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</si>
  <si>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</si>
  <si>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</si>
  <si>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r>
      <t>Districts are required to use actual expenditures in calculating the budget balance carryforward. Districts that</t>
    </r>
    <r>
      <rPr>
        <b/>
        <sz val="14"/>
        <rFont val="Times New Roman"/>
        <family val="1"/>
      </rPr>
      <t xml:space="preserve"> have overexpended</t>
    </r>
    <r>
      <rPr>
        <sz val="14"/>
        <rFont val="Times New Roman"/>
        <family val="1"/>
      </rPr>
      <t xml:space="preserve"> in the FY 2023 M&amp;O Fund as authorized by the county board of supervisors, in accordance with A.R.S. §15‑907, </t>
    </r>
    <r>
      <rPr>
        <b/>
        <sz val="14"/>
        <rFont val="Times New Roman"/>
        <family val="1"/>
      </rPr>
      <t>cannot record a budget balance carryforward.</t>
    </r>
    <r>
      <rPr>
        <sz val="14"/>
        <rFont val="Times New Roman"/>
        <family val="1"/>
      </rPr>
      <t xml:space="preserve">
Districts should complete Data Entry page, Other Information section, lines 8 through 11. Districts may transfer an amount to the School Opening Fund, not to exceed the lesser of the FY 2023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2023 BUDG75 Report to determine if revisions are necessary. The amounts on this line cannot exceed the amount reported on page 2 of the BUDG75 Report. </t>
    </r>
  </si>
  <si>
    <t>Line 8(c)</t>
  </si>
  <si>
    <t>A district authorized by ADE to continue participation in the Dropout Prevention Programs, in accordance with Laws 1992, Ch. 305, §32 and Laws 2000, Ch. 398, §2, for FY 2024 may record on this line an amount not to exceed the amount budgeted for the Dropout Prevention Programs in FY 1991. Districts should not include amounts on this line for expenditures that are to be made from the Impact Aid Fund.</t>
  </si>
  <si>
    <t>Line 8(d)</t>
  </si>
  <si>
    <r>
      <t xml:space="preserve">A district may budget an amount less than or equal to interest expense for registering warrants or for net interest expense (interest expense minus interest income) on tax anticipation notes outside the FY 2024 RCL, </t>
    </r>
    <r>
      <rPr>
        <b/>
        <sz val="14"/>
        <rFont val="Times New Roman"/>
        <family val="1"/>
      </rPr>
      <t>if both of the following conditions apply</t>
    </r>
    <r>
      <rPr>
        <sz val="14"/>
        <rFont val="Times New Roman"/>
        <family val="1"/>
      </rPr>
      <t xml:space="preserve">:
--The County Treasurer pooled all school district monies for investment during FY 2022 as provided in A.R.S. §15‑996.
--For those districts that received state aid in FY 2022, the districts applied for state aid apportionment before the date set as provided in A.R.S. §15‑973.
</t>
    </r>
  </si>
  <si>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</si>
  <si>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</si>
  <si>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</si>
  <si>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r>
      <t xml:space="preserve">Do </t>
    </r>
    <r>
      <rPr>
        <u/>
        <sz val="14"/>
        <rFont val="Times New Roman"/>
        <family val="1"/>
      </rPr>
      <t>not</t>
    </r>
    <r>
      <rPr>
        <sz val="14"/>
        <rFont val="Times New Roman"/>
        <family val="1"/>
      </rPr>
      <t xml:space="preserve">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2023 BUDG75 Report to determine if revisions are necessary. The amounts on this line cannot exceed the amounts reported on page 2 of the BUDG75 Report.</t>
    </r>
  </si>
  <si>
    <t>Line 8(g)</t>
  </si>
  <si>
    <t>Record the amount of any judgments expected to be paid in FY 2023 for an excessive property tax valuation judgment per A.R.S. §§42-16213 and 42-16214. This amount should also be included on page 1, line 4. Pre-approval by ADE is required. Contact ADE's School Finance payment team at the email address below.</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</si>
  <si>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</si>
  <si>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</si>
  <si>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</si>
  <si>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2024 BUDG25, to determine if the amounts should be revised.</t>
    </r>
  </si>
  <si>
    <r>
      <t xml:space="preserve">For FY 2024, 2016 Prop 123 and Laws 2015, 1st Special Session, Ch. 1, §6 provide total additional funding of $75,000,000 to districts and charter schools on a pro rata basis.  Districts should increase their budget limits by </t>
    </r>
    <r>
      <rPr>
        <b/>
        <sz val="14"/>
        <rFont val="Times New Roman"/>
        <family val="1"/>
      </rPr>
      <t>estimating</t>
    </r>
    <r>
      <rPr>
        <sz val="14"/>
        <rFont val="Times New Roman"/>
        <family val="1"/>
      </rPr>
      <t xml:space="preserve"> their portion of the increase by multiplying the district's percentage of statewide weighted student count, as reported on its most recent Classroom Site Fund Detail Report, by $75,000,000. </t>
    </r>
    <r>
      <rPr>
        <b/>
        <sz val="14"/>
        <rFont val="Times New Roman"/>
        <family val="1"/>
      </rPr>
      <t xml:space="preserve">However, actual amounts will vary and ADE will notify districts of the final amounts. </t>
    </r>
    <r>
      <rPr>
        <sz val="14"/>
        <rFont val="Times New Roman"/>
        <family val="1"/>
      </rPr>
      <t>District CSF Detail Reports can be accessed at the first link below.</t>
    </r>
    <r>
      <rPr>
        <b/>
        <sz val="14"/>
        <rFont val="Times New Roman"/>
        <family val="1"/>
      </rPr>
      <t xml:space="preserve">
Budget Revision
</t>
    </r>
    <r>
      <rPr>
        <sz val="14"/>
        <rFont val="Times New Roman"/>
        <family val="1"/>
      </rPr>
      <t>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t>
    </r>
  </si>
  <si>
    <t>https://www.azed.gov/finance/countyappor</t>
  </si>
  <si>
    <t>Line 2</t>
  </si>
  <si>
    <r>
      <rPr>
        <b/>
        <sz val="14"/>
        <rFont val="Times New Roman"/>
        <family val="1"/>
      </rPr>
      <t>Budget Revision</t>
    </r>
    <r>
      <rPr>
        <sz val="14"/>
        <rFont val="Times New Roman"/>
        <family val="1"/>
      </rPr>
      <t xml:space="preserve">
Line 2, if required, should agree to the most recent FY 2023 BUDG75 Report, page 2, “Add to FY24 Expenditure Budget for (UNR), page 8, line 2” This line will also include any positive or negative A.R.S. §15-915 adjustments as approved by ADE. Contact ADE's School Finance budget team with questions concerning the reconciliation of any differences at the email address below.</t>
    </r>
  </si>
  <si>
    <t xml:space="preserve">SFBudgetTeam@azed.gov </t>
  </si>
  <si>
    <t>Lines 3</t>
  </si>
  <si>
    <r>
      <rPr>
        <b/>
        <sz val="14"/>
        <rFont val="Times New Roman"/>
        <family val="1"/>
      </rPr>
      <t>Budget Revision</t>
    </r>
    <r>
      <rPr>
        <sz val="14"/>
        <rFont val="Times New Roman"/>
        <family val="1"/>
      </rPr>
      <t xml:space="preserve">
Line 3 should agree to the most recent FY 2023 BUDG75 Report, page 2 “Unrestricted Capital Available for FY23.”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</si>
  <si>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2023 AFR, less expenditures approved under A.R.S. §15-907 that are in excess of the most recently revised adopted FY 2023 UCO budget (budget page 4, line 10).</t>
    </r>
  </si>
  <si>
    <t>Line 8</t>
  </si>
  <si>
    <r>
      <rPr>
        <b/>
        <sz val="14"/>
        <rFont val="Times New Roman"/>
        <family val="1"/>
      </rPr>
      <t>Budget Revision</t>
    </r>
    <r>
      <rPr>
        <sz val="14"/>
        <rFont val="Times New Roman"/>
        <family val="1"/>
      </rPr>
      <t xml:space="preserve">
Line 8 should agree to the actual amount of interest earned on investments as reported on the district’s FY 2023 AFR for the UCO Fund.</t>
    </r>
  </si>
  <si>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</si>
  <si>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</si>
  <si>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</si>
  <si>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2024 BUDG25, to determine if the amounts should be revised.</t>
    </r>
  </si>
  <si>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</si>
  <si>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</si>
  <si>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</si>
  <si>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</si>
  <si>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</si>
  <si>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2024. </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</si>
  <si>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2024, there were no new monies available for compensatory instruction programs. ADE will allow districts to use the remaining monies but will deduct those amounts from future funding requests for compensatory instruction programs.</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</si>
  <si>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</si>
  <si>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</si>
  <si>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</si>
  <si>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</si>
  <si>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</si>
  <si>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</si>
  <si>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</si>
  <si>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All districts must complete the Truth in Taxation Work Sheet to calculate the district’s truth in taxation base limit, to determine if a hearing is required, and to report the portion of the FY 2024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2024 expenditure budget forms and A.R.S. §15-905.01 for further requirements.</t>
  </si>
  <si>
    <t>The truth in taxation work sheet and notice do not need to be completed for budget revisions. The impact of any revisions should be included in the following year’s truth in taxation calculation.</t>
  </si>
  <si>
    <t>The prior year TNT Base Limit reported on line 1 is the total of the Adjusted FY 2023 TNT Base Limit and the 2023 Excess over TNT Limit. This calculation assumes that the district properly noticed any required TNT Hearing in 2023. If the district reported an amount on the Excess over Truth in Taxation Limit line in 2023 but did not provide the required notification of a TNT hearing, the 2023 Excess over TNT Limit amount should not be added here.</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</si>
  <si>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</si>
  <si>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</si>
  <si>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Use actual expenditures to date plus estimated amounts for the remainder of FY 2023.</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</si>
  <si>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</si>
  <si>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</si>
  <si>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</si>
  <si>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</si>
  <si>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 xml:space="preserve">FY 2022 ADM is used to calculate the district's FY 2024 District Additional Assistance (DAA) growth factor, if any.
Obtain the total ADM amount from the most recent ADE report “Basic Calculations for Equalization Assistance,” BSA 55-1, page 4 of 5, available on ADE's website. </t>
  </si>
  <si>
    <t>Unweighted Student Count
Line 2</t>
  </si>
  <si>
    <r>
      <rPr>
        <b/>
        <sz val="14"/>
        <rFont val="Times New Roman"/>
        <family val="1"/>
      </rPr>
      <t>Prior Year ADM</t>
    </r>
    <r>
      <rPr>
        <sz val="14"/>
        <rFont val="Times New Roman"/>
        <family val="1"/>
      </rPr>
      <t xml:space="preserve">
FY 2023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2023 100th-day ADM as reported on the ADM20 report.</t>
    </r>
  </si>
  <si>
    <t>Unweighted Student Count
Lines 3, 4, and 5</t>
  </si>
  <si>
    <t xml:space="preserve">Laws 2022, Ch. 285, eliminated tuition calculations for high school students from common school districts not within a high school district (Type 03). Districts of attendance for high school students should add ADM in column I beginning in FY 2024. </t>
  </si>
  <si>
    <t>Student Count
by Category
Lines 7 through 20</t>
  </si>
  <si>
    <r>
      <t xml:space="preserve">For budget adoption, districts should estimate the FY 2024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t>
    </r>
    <r>
      <rPr>
        <strike/>
        <sz val="14"/>
        <rFont val="Times New Roman"/>
        <family val="1"/>
      </rPr>
      <t xml:space="preserve">
</t>
    </r>
    <r>
      <rPr>
        <sz val="14"/>
        <rFont val="Times New Roman"/>
        <family val="1"/>
      </rPr>
      <t xml:space="preserve">
</t>
    </r>
    <r>
      <rPr>
        <b/>
        <sz val="14"/>
        <rFont val="Times New Roman"/>
        <family val="1"/>
      </rPr>
      <t>K-3 Student Counts for both the K-3 &amp; K-3 Reading support level weights:</t>
    </r>
    <r>
      <rPr>
        <sz val="14"/>
        <rFont val="Times New Roman"/>
        <family val="1"/>
      </rPr>
      <t xml:space="preserve"> ADM20
</t>
    </r>
    <r>
      <rPr>
        <b/>
        <sz val="14"/>
        <rFont val="Times New Roman"/>
        <family val="1"/>
      </rPr>
      <t>ELL:</t>
    </r>
    <r>
      <rPr>
        <sz val="14"/>
        <rFont val="Times New Roman"/>
        <family val="1"/>
      </rPr>
      <t xml:space="preserve"> ELL20
</t>
    </r>
    <r>
      <rPr>
        <b/>
        <sz val="14"/>
        <rFont val="Times New Roman"/>
        <family val="1"/>
      </rPr>
      <t>Children with Disabilities:</t>
    </r>
    <r>
      <rPr>
        <sz val="14"/>
        <rFont val="Times New Roman"/>
        <family val="1"/>
      </rPr>
      <t xml:space="preserve"> SPED20
</t>
    </r>
  </si>
  <si>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</si>
  <si>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</si>
  <si>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</si>
  <si>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</si>
  <si>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</si>
  <si>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</si>
  <si>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</si>
  <si>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</si>
  <si>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</si>
  <si>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</si>
  <si>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</si>
  <si>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</si>
  <si>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</si>
  <si>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</si>
  <si>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</si>
  <si>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</si>
  <si>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</si>
  <si>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</si>
  <si>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</si>
  <si>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</si>
  <si>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</si>
  <si>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</si>
  <si>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</si>
  <si>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</si>
  <si>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</si>
  <si>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</si>
  <si>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</si>
  <si>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G (Educational Programs for Gifted Pupils)
For additional information on Educational Programs for Gifted Students, please see the ADE School Finance Hot Topic linked below:</t>
  </si>
  <si>
    <t>https://www.azed.gov/finance/fy-2022-gifted-add-payment</t>
  </si>
  <si>
    <t>Student Count
by Category
Line 23</t>
  </si>
  <si>
    <t>FRPL (Free or Reduced-Price Lunch)
Districts may use ADE's SUPP72 report in AzEDS to estimate FY 2024 eligible student counts. This weight applies to all students in schools with community eligibility.</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</si>
  <si>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</si>
  <si>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</si>
  <si>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</si>
  <si>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 xml:space="preserve">In accordance with A.R.S. §15-902.04, school districts electing to provide 200 days of instruction during FY 2024 must receive approval from ADE prior to June 1, 2023. These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 </t>
  </si>
  <si>
    <t>SFAnalystTeam@azed.gov</t>
  </si>
  <si>
    <t>Adjustments to BSL/BRCL 
Line 3</t>
  </si>
  <si>
    <t>As districts mark the proper check boxes on lines 1 through 3 above, the Adjusted FY 2024 Base Level Amount will automatically update to the proper amount to be used on page 2 of the BSA55 tab.</t>
  </si>
  <si>
    <t>Adjustments to BSL/BRCL 
Line 4</t>
  </si>
  <si>
    <t>Use the FY 2023 “Teacher Experience Index (TEI),” SDER 96, available on ADE’s website at the link below. Districts should print a copy or save an electronic copy for their records.</t>
  </si>
  <si>
    <t>www.ade.az.gov/sder/publicreports.asp</t>
  </si>
  <si>
    <t>Adjustments to BSL/BRCL 
Line 5</t>
  </si>
  <si>
    <r>
      <t xml:space="preserve">A.R.S. §15-914.F allows districts to increase the BSL if financial and compliance audit costs will be incurred for the budget year. Enter the </t>
    </r>
    <r>
      <rPr>
        <b/>
        <sz val="14"/>
        <rFont val="Times New Roman"/>
        <family val="1"/>
      </rPr>
      <t>non-federal</t>
    </r>
    <r>
      <rPr>
        <sz val="14"/>
        <rFont val="Times New Roman"/>
        <family val="1"/>
      </rPr>
      <t xml:space="preserve"> FY 2022 audit expenditures from all funds on line 6. Amount entered should agree to the district's FY 2022 AFR.
Do </t>
    </r>
    <r>
      <rPr>
        <b/>
        <u/>
        <sz val="14"/>
        <rFont val="Times New Roman"/>
        <family val="1"/>
      </rPr>
      <t>not</t>
    </r>
    <r>
      <rPr>
        <sz val="14"/>
        <rFont val="Times New Roman"/>
        <family val="1"/>
      </rPr>
      <t xml:space="preserve"> include costs of consulting or other nonaudit services paid to audit firms (e.g., application fees paid for submission of district's reports to ASBO and GFOA for certification or for the preparation of the Meritorious Budget Award application to ASBO).</t>
    </r>
  </si>
  <si>
    <t>Adjustments to BSL/BRCL 
Line 6</t>
  </si>
  <si>
    <r>
      <t xml:space="preserve">Enter the FY 2022 </t>
    </r>
    <r>
      <rPr>
        <b/>
        <sz val="14"/>
        <rFont val="Times New Roman"/>
        <family val="1"/>
      </rPr>
      <t>federal</t>
    </r>
    <r>
      <rPr>
        <sz val="14"/>
        <rFont val="Times New Roman"/>
        <family val="1"/>
      </rPr>
      <t xml:space="preserve"> audit expenditures from all funds (should agree to FY 2022 AFR).
Do not include costs of consulting or other nonaudit services paid to audit firms (e.g., application fees paid for submission of district's reports to ASBO and GFOA for certification or for the preparation of the Meritorious Budget Award application to ASBO).</t>
    </r>
  </si>
  <si>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</si>
  <si>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</si>
  <si>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</si>
  <si>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Used to increase the transportation support level for the annual expenditure for bus tokens and passes for students who qualify as eligible students as defined by A.R.S. §15-901. Enter the FY 2022 annual expenditures for bus tokens and passes from the ADE report “Transportation Route Report,” TRAN55-1, available on ADE's website.</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</si>
  <si>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</si>
  <si>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</si>
  <si>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</si>
  <si>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</si>
  <si>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</si>
  <si>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</si>
  <si>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</si>
  <si>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</si>
  <si>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</si>
  <si>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</si>
  <si>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5</t>
  </si>
  <si>
    <t>Unified districts (Type 02) with a 9-12 Primary Assessed Valuation that differs from its PSD-8 Primary Assessed Valuation should enter its 9-12 valuation on the AV2 line.</t>
  </si>
  <si>
    <t>Other Information
Line 8</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</si>
  <si>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10(a) through 10(e) below.</t>
  </si>
  <si>
    <t>Other Information
Line 9</t>
  </si>
  <si>
    <r>
      <t xml:space="preserve">For budget adoption, M&amp;O actual expenditures should be based upon the FY 2023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2023 AFR.</t>
    </r>
  </si>
  <si>
    <t>Other Information
Line 10.f</t>
  </si>
  <si>
    <t>In accordance with A.R.S. §15-920, districts may budget any unexpended budget balance in the M&amp;O section attributable to the Performance Pay component in its salary schedule from FY 2023 for use in that component in FY 2024. The Performance Pay budget amount is the portion of FY 2023 M&amp;O expenditures budgeted for a performance pay component of the salary schedule shown on the FY 2023 Budget, page 2. Additionally, the amount calculated on this line, is specifically exempt from the RCL and should be entered on the Budget, page 7, line 8(g).</t>
  </si>
  <si>
    <t>Other Information
 Line 12</t>
  </si>
  <si>
    <r>
      <rPr>
        <b/>
        <sz val="14"/>
        <rFont val="Times New Roman"/>
        <family val="1"/>
      </rPr>
      <t>Districts receiving Impact Aid revenues only:</t>
    </r>
    <r>
      <rPr>
        <sz val="14"/>
        <rFont val="Times New Roman"/>
        <family val="1"/>
      </rPr>
      <t xml:space="preserve">
Include the amount from the most recent FY 2023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2023 encumbrance period and recorded in FY 2024 revenues. </t>
    </r>
  </si>
  <si>
    <t>Other Information
 Line 14</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</si>
  <si>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</si>
  <si>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15</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</si>
  <si>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</si>
  <si>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17</t>
  </si>
  <si>
    <r>
      <rPr>
        <b/>
        <sz val="14"/>
        <rFont val="Times New Roman"/>
        <family val="1"/>
      </rPr>
      <t>Districts operating under a small school adjustment only:</t>
    </r>
    <r>
      <rPr>
        <sz val="14"/>
        <rFont val="Times New Roman"/>
        <family val="1"/>
      </rPr>
      <t xml:space="preserve">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2024 student count is the 2023 ADM. Districts that activate this checkbox </t>
    </r>
    <r>
      <rPr>
        <b/>
        <u/>
        <sz val="14"/>
        <rFont val="Times New Roman"/>
        <family val="1"/>
      </rPr>
      <t>must</t>
    </r>
    <r>
      <rPr>
        <sz val="14"/>
        <rFont val="Times New Roman"/>
        <family val="1"/>
      </rPr>
      <t xml:space="preserve"> also complete line 18 below.</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</si>
  <si>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</si>
  <si>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</si>
  <si>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</si>
  <si>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</si>
  <si>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</si>
  <si>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</si>
  <si>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</si>
  <si>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</si>
  <si>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</si>
  <si>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</si>
  <si>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</si>
  <si>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</si>
  <si>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</si>
  <si>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</si>
  <si>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Short-term Noninstructional Software Subscription</t>
  </si>
  <si>
    <r>
      <t xml:space="preserve">(Do </t>
    </r>
    <r>
      <rPr>
        <b/>
        <sz val="9"/>
        <color indexed="8"/>
        <rFont val="Times New Roman"/>
        <family val="1"/>
      </rPr>
      <t>not</t>
    </r>
    <r>
      <rPr>
        <sz val="9"/>
        <color indexed="8"/>
        <rFont val="Times New Roman"/>
        <family val="1"/>
      </rPr>
      <t xml:space="preserve"> include full-day kindergarten or summer school tuition)</t>
    </r>
  </si>
  <si>
    <t>Qualifying Tax Rate for elementary or secondary (CTEDs use 0.05) A.R.S. §41-1276(I), as amended 
by Laws 2023, Ch.142, §9</t>
  </si>
  <si>
    <t>Check box for Type 03 districts that educate high school students.</t>
  </si>
  <si>
    <t>TABLE III: 10% of K-8 Non-Qualifying RCL</t>
  </si>
  <si>
    <t>CALCULATION OF ADJUSTMENT FOR TUITION LOSS AND STUDENT REVENUE 
LOSS PHASE-DOWN (A.R.S. §§15-954 and 15-902.01)</t>
  </si>
  <si>
    <t xml:space="preserve">Amounts in the prior year columns should be recorded from the budget columns of the latest revised Budget for FY 2023. Amounts should be rounded to the nearest dollar. 
Districts should budget for FY 2024 retirement contributions at the rate of 12.14% and for long term disability at a rate of 0.15% for a total contribution rate of 12.29%. Districts should also budget for any applicable alternative contribution payments to state retirement at a rate of 9.99%. 
</t>
  </si>
  <si>
    <t>Added a column for districts to budget costs for Short-term Noninstructional Software Subscriptions.</t>
  </si>
  <si>
    <t>Laws 2023, Chapter 142, §2 repealed A.R.S. §15-249.08, which had established Fund 457—Results-based Funding. Removed line 27 on Page 6 and renumbered the lines below.</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</si>
  <si>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</si>
  <si>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Laws 2023, Ch. 133, §31 provided a onetime state aid supplement for FY 2024.</t>
  </si>
  <si>
    <t>Districts should report total PSD-12 average daily membership for fiscal year 2023 from the ADM20 report, the report is available on ADE's website. Districts should estimate 2024 current fiscal year ADM.</t>
  </si>
  <si>
    <r>
      <rPr>
        <b/>
        <sz val="14"/>
        <rFont val="Times New Roman"/>
        <family val="1"/>
      </rPr>
      <t>Current Year ADM</t>
    </r>
    <r>
      <rPr>
        <sz val="14"/>
        <rFont val="Times New Roman"/>
        <family val="1"/>
      </rPr>
      <t xml:space="preserve">
Current year ADM amounts are used to calculate the group A weighted student count and the weighted student count for the BSL calculation on the BSA55 page. 
For budget adoption, districts should estimate the student counts for Non-AOI, AOI Full-Time and AOI Part-Time for FY 2024.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2024 100th-day ADM as reported on the ADM20 report, available on ADE's website.
</t>
    </r>
  </si>
  <si>
    <r>
      <t xml:space="preserve">For FY 2024, Laws 2023, Ch. 133, §31 provides total additional funding of $300,000,000 to school districts and charter schools on a pro rata basis. Districts should increase their budget limits by </t>
    </r>
    <r>
      <rPr>
        <b/>
        <sz val="14"/>
        <rFont val="Times New Roman"/>
        <family val="1"/>
      </rPr>
      <t>estimating</t>
    </r>
    <r>
      <rPr>
        <sz val="14"/>
        <rFont val="Times New Roman"/>
        <family val="1"/>
      </rPr>
      <t xml:space="preserve"> their portion of the increase by multiplying the district's percentage of statewide weighted student count, as reported on its most recent Classroom Site Fund Detail Report, by $300,000,000. </t>
    </r>
    <r>
      <rPr>
        <b/>
        <sz val="14"/>
        <rFont val="Times New Roman"/>
        <family val="1"/>
      </rPr>
      <t xml:space="preserve">However, actual amounts will vary and ADE will notify districts of the final amounts. </t>
    </r>
    <r>
      <rPr>
        <sz val="14"/>
        <rFont val="Times New Roman"/>
        <family val="1"/>
      </rPr>
      <t>District CSF Detail Reports can be accessed at link in row 77 above.</t>
    </r>
    <r>
      <rPr>
        <b/>
        <sz val="14"/>
        <rFont val="Times New Roman"/>
        <family val="1"/>
      </rPr>
      <t xml:space="preserve">
Budget Revision
</t>
    </r>
    <r>
      <rPr>
        <sz val="14"/>
        <rFont val="Times New Roman"/>
        <family val="1"/>
      </rPr>
      <t>Districts should compare actual additional funding received or expected to be received for the fiscal year to the amount reported on this line. The amount on this line cannot exceed the actual amount received for additional funding.</t>
    </r>
  </si>
  <si>
    <t>FY 2022 (A.R.S. §15-910.N, as amended by Laws 2022, Ch. 285, §3)</t>
  </si>
  <si>
    <t>Include amounts for Funds 300-399 Other Federal Projects (besides Funds 374—E-Rate and Fund 378—Impact Aid, as they are separately reported on lines 15 and 16, respectively). Districts should also include amounts budgeted for COVID-19 federal relief projects.</t>
  </si>
  <si>
    <t xml:space="preserve">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2024 allocation for the district is $758 multiplied by the district’s district’s weighted student count (based on fundable students attending within the school district). The FY 2024 CSF actual payments detail reports will be available on ADE’s website at the link below beginning in August 2023. </t>
  </si>
  <si>
    <t>MADISON ELEMENTARY SCHOOL DISTRICT</t>
  </si>
  <si>
    <t>MARICOPA</t>
  </si>
  <si>
    <t>070438000</t>
  </si>
  <si>
    <t>Dr. Kimberly Guerin</t>
  </si>
  <si>
    <t>Ella Conroy</t>
  </si>
  <si>
    <t>602-664-7913</t>
  </si>
  <si>
    <t>econroy@madisoned.org</t>
  </si>
  <si>
    <t>Kimberly</t>
  </si>
  <si>
    <t>Guerin</t>
  </si>
  <si>
    <t>kguerin@madisoned.org</t>
  </si>
  <si>
    <t>Danielle</t>
  </si>
  <si>
    <t>Humphrey</t>
  </si>
  <si>
    <t>dhumphrey@madisoned.org</t>
  </si>
  <si>
    <t>Lori</t>
  </si>
  <si>
    <t>Garvey</t>
  </si>
  <si>
    <t>lgarvey@madisoned.org</t>
  </si>
  <si>
    <t>Ella</t>
  </si>
  <si>
    <t>Conroy</t>
  </si>
  <si>
    <t>Anita</t>
  </si>
  <si>
    <t>Gammage</t>
  </si>
  <si>
    <t>agammage@madisoned.org</t>
  </si>
  <si>
    <t>Betsy</t>
  </si>
  <si>
    <t>Kirby</t>
  </si>
  <si>
    <t>bkirby1@madisoned.org</t>
  </si>
  <si>
    <t xml:space="preserve">Jennifer </t>
  </si>
  <si>
    <t>Warrren</t>
  </si>
  <si>
    <t>jwarren1@madisoned.org</t>
  </si>
  <si>
    <t>Diana</t>
  </si>
  <si>
    <t>Nelson</t>
  </si>
  <si>
    <t>dnelson@madisoned.org</t>
  </si>
  <si>
    <t>Jason</t>
  </si>
  <si>
    <t>Piontkowski</t>
  </si>
  <si>
    <t>jpionkowski@madisoned.org</t>
  </si>
  <si>
    <t>Justin</t>
  </si>
  <si>
    <t>Wright</t>
  </si>
  <si>
    <t>jwright@madisoned.org</t>
  </si>
  <si>
    <t>Karen</t>
  </si>
  <si>
    <t>Gresham</t>
  </si>
  <si>
    <t>kgresham@madisoned.org</t>
  </si>
  <si>
    <t>Scott</t>
  </si>
  <si>
    <t>Holcomb</t>
  </si>
  <si>
    <t>sholcomb@madisoned.org</t>
  </si>
  <si>
    <t>Mitra</t>
  </si>
  <si>
    <t>Khazai</t>
  </si>
  <si>
    <t>mkhazai@madisoned.org</t>
  </si>
  <si>
    <t>Sarah</t>
  </si>
  <si>
    <t>Speer</t>
  </si>
  <si>
    <t>sspeer@madisoned.org</t>
  </si>
  <si>
    <t>Hilary</t>
  </si>
  <si>
    <t>O'Brien</t>
  </si>
  <si>
    <t>hjobrien@madisoned.org</t>
  </si>
  <si>
    <t>Laura</t>
  </si>
  <si>
    <t>Webb</t>
  </si>
  <si>
    <t>lwebb@madisoned.org</t>
  </si>
  <si>
    <t>Christine</t>
  </si>
  <si>
    <t>Thompson</t>
  </si>
  <si>
    <t>cthompson@madisoned.org</t>
  </si>
  <si>
    <t>www.madisonaz.org</t>
  </si>
  <si>
    <t>905 Transportation</t>
  </si>
  <si>
    <t>Madison Elementary School</t>
  </si>
  <si>
    <t>Maricopa</t>
  </si>
  <si>
    <t>602-664-7916</t>
  </si>
  <si>
    <t>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</si>
</sst>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0">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b/>
      <u/>
      <sz val="14"/>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1"/>
      <color rgb="FF0A0101"/>
      <name val="Times New Roman"/>
      <family val="1"/>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sz val="12"/>
      <name val="Arial"/>
      <family val="2"/>
    </font>
    <font>
      <b/>
      <sz val="9"/>
      <color rgb="FFFF0000"/>
      <name val="Times New Roman"/>
      <family val="1"/>
    </font>
    <font>
      <b/>
      <sz val="8"/>
      <color rgb="FFFF0000"/>
      <name val="Arial MT"/>
    </font>
    <font>
      <b/>
      <sz val="10"/>
      <color rgb="FFFF0000"/>
      <name val="Times New Roman"/>
      <family val="1"/>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
      <patternFill patternType="solid">
        <fgColor theme="9" tint="0.79992065187536243"/>
        <bgColor indexed="64"/>
      </patternFill>
    </fill>
    <fill>
      <patternFill patternType="solid">
        <fgColor theme="0" tint="-0.49992370372631001"/>
        <bgColor indexed="64"/>
      </patternFill>
    </fill>
    <fill>
      <patternFill patternType="solid">
        <fgColor theme="0" tint="-0.14993743705557422"/>
        <bgColor indexed="64"/>
      </patternFill>
    </fill>
    <fill>
      <patternFill patternType="solid">
        <fgColor indexed="55"/>
        <bgColor indexed="64"/>
      </patternFill>
    </fill>
    <fill>
      <patternFill patternType="solid">
        <fgColor rgb="FF969696"/>
        <bgColor indexed="64"/>
      </patternFill>
    </fill>
    <fill>
      <patternFill patternType="solid">
        <fgColor theme="5" tint="0.79992065187536243"/>
        <bgColor indexed="64"/>
      </patternFill>
    </fill>
    <fill>
      <patternFill patternType="solid">
        <fgColor rgb="FFD9D9D9"/>
        <bgColor indexed="64"/>
      </patternFill>
    </fill>
    <fill>
      <patternFill patternType="solid">
        <fgColor rgb="FFFFFFCC"/>
        <bgColor indexed="64"/>
      </patternFill>
    </fill>
    <fill>
      <patternFill patternType="solid">
        <fgColor theme="9" tint="0.79998168889431442"/>
        <bgColor indexed="64"/>
      </patternFill>
    </fill>
  </fills>
  <borders count="113">
    <border>
      <left/>
      <right/>
      <top/>
      <bottom/>
      <diagonal/>
    </border>
    <border>
      <left/>
      <right style="thin">
        <color indexed="8"/>
      </right>
      <top style="thin">
        <color indexed="8"/>
      </top>
      <bottom/>
      <diagonal/>
    </border>
    <border>
      <left style="thin">
        <color auto="1"/>
      </left>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style="thin">
        <color indexed="8"/>
      </top>
      <bottom/>
      <diagonal/>
    </border>
    <border>
      <left style="thin">
        <color indexed="8"/>
      </left>
      <right/>
      <top/>
      <bottom/>
      <diagonal/>
    </border>
    <border>
      <left/>
      <right/>
      <top style="thin">
        <color indexed="8"/>
      </top>
      <bottom style="thin">
        <color indexed="8"/>
      </bottom>
      <diagonal/>
    </border>
    <border>
      <left/>
      <right style="thin">
        <color indexed="8"/>
      </right>
      <top/>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style="thin">
        <color indexed="8"/>
      </right>
      <top/>
      <bottom style="thin">
        <color indexed="8"/>
      </bottom>
      <diagonal/>
    </border>
    <border>
      <left/>
      <right/>
      <top style="thin">
        <color auto="1"/>
      </top>
      <bottom/>
      <diagonal/>
    </border>
    <border>
      <left/>
      <right style="thin">
        <color indexed="8"/>
      </right>
      <top/>
      <bottom style="thin">
        <color auto="1"/>
      </bottom>
      <diagonal/>
    </border>
    <border>
      <left style="thin">
        <color indexed="8"/>
      </left>
      <right style="thin">
        <color indexed="8"/>
      </right>
      <top/>
      <bottom style="medium">
        <color indexed="8"/>
      </bottom>
      <diagonal/>
    </border>
    <border>
      <left style="thin">
        <color indexed="8"/>
      </left>
      <right style="thin">
        <color auto="1"/>
      </right>
      <top style="thin">
        <color indexed="8"/>
      </top>
      <bottom/>
      <diagonal/>
    </border>
    <border>
      <left/>
      <right/>
      <top style="thin">
        <color auto="1"/>
      </top>
      <bottom style="thin">
        <color auto="1"/>
      </bottom>
      <diagonal/>
    </border>
    <border>
      <left/>
      <right/>
      <top/>
      <bottom style="thin">
        <color auto="1"/>
      </bottom>
      <diagonal/>
    </border>
    <border>
      <left style="thin">
        <color indexed="8"/>
      </left>
      <right style="thin">
        <color indexed="8"/>
      </right>
      <top style="medium">
        <color indexed="8"/>
      </top>
      <bottom style="double">
        <color indexed="8"/>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diagonal/>
    </border>
    <border>
      <left/>
      <right style="thin">
        <color auto="1"/>
      </right>
      <top/>
      <bottom style="thin">
        <color indexed="8"/>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indexed="8"/>
      </left>
      <right/>
      <top/>
      <bottom style="double">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right/>
      <top style="thin">
        <color indexed="8"/>
      </top>
      <bottom style="thin">
        <color auto="1"/>
      </bottom>
      <diagonal/>
    </border>
    <border>
      <left/>
      <right style="thin">
        <color indexed="8"/>
      </right>
      <top style="thin">
        <color indexed="8"/>
      </top>
      <bottom style="thin">
        <color indexed="8"/>
      </bottom>
      <diagonal/>
    </border>
    <border>
      <left style="thin">
        <color indexed="8"/>
      </left>
      <right style="thin">
        <color auto="1"/>
      </right>
      <top/>
      <bottom style="thin">
        <color indexed="8"/>
      </bottom>
      <diagonal/>
    </border>
    <border>
      <left style="thin">
        <color indexed="8"/>
      </left>
      <right/>
      <top style="double">
        <color indexed="8"/>
      </top>
      <bottom/>
      <diagonal/>
    </border>
    <border>
      <left/>
      <right style="thin">
        <color indexed="8"/>
      </right>
      <top style="double">
        <color indexed="8"/>
      </top>
      <bottom/>
      <diagonal/>
    </border>
    <border>
      <left style="thin">
        <color indexed="8"/>
      </left>
      <right style="thin">
        <color indexed="8"/>
      </right>
      <top style="double">
        <color indexed="8"/>
      </top>
      <bottom/>
      <diagonal/>
    </border>
    <border>
      <left/>
      <right/>
      <top style="thin">
        <color theme="1"/>
      </top>
      <bottom style="thin">
        <color theme="1"/>
      </bottom>
      <diagonal/>
    </border>
    <border>
      <left/>
      <right style="thin">
        <color auto="1"/>
      </right>
      <top style="thin">
        <color auto="1"/>
      </top>
      <bottom style="thin">
        <color auto="1"/>
      </bottom>
      <diagonal/>
    </border>
    <border>
      <left/>
      <right/>
      <top/>
      <bottom style="double">
        <color auto="1"/>
      </bottom>
      <diagonal/>
    </border>
    <border>
      <left style="thin">
        <color theme="1"/>
      </left>
      <right style="thin">
        <color theme="1"/>
      </right>
      <top style="thin">
        <color theme="1"/>
      </top>
      <bottom style="thin">
        <color theme="1"/>
      </bottom>
      <diagonal/>
    </border>
    <border>
      <left/>
      <right/>
      <top style="thin">
        <color auto="1"/>
      </top>
      <bottom style="double">
        <color auto="1"/>
      </bottom>
      <diagonal/>
    </border>
    <border>
      <left style="thin">
        <color indexed="8"/>
      </left>
      <right style="thin">
        <color auto="1"/>
      </right>
      <top style="thin">
        <color auto="1"/>
      </top>
      <bottom style="thin">
        <color auto="1"/>
      </bottom>
      <diagonal/>
    </border>
    <border>
      <left/>
      <right style="thin">
        <color auto="1"/>
      </right>
      <top style="thin">
        <color auto="1"/>
      </top>
      <bottom/>
      <diagonal/>
    </border>
    <border>
      <left/>
      <right/>
      <top style="thin">
        <color auto="1"/>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style="thin">
        <color indexed="8"/>
      </left>
      <right style="thin">
        <color auto="1"/>
      </right>
      <top style="thin">
        <color auto="1"/>
      </top>
      <bottom/>
      <diagonal/>
    </border>
    <border>
      <left style="thin">
        <color indexed="8"/>
      </left>
      <right style="thin">
        <color indexed="8"/>
      </right>
      <top style="thin">
        <color indexed="8"/>
      </top>
      <bottom style="medium">
        <color indexed="8"/>
      </bottom>
      <diagonal/>
    </border>
    <border>
      <left style="thin">
        <color indexed="8"/>
      </left>
      <right style="thin">
        <color auto="1"/>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top style="medium">
        <color auto="1"/>
      </top>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indexed="8"/>
      </left>
      <right style="thin">
        <color indexed="8"/>
      </right>
      <top style="thin">
        <color auto="1"/>
      </top>
      <bottom style="thin">
        <color auto="1"/>
      </bottom>
      <diagonal/>
    </border>
    <border>
      <left/>
      <right/>
      <top/>
      <bottom style="thin">
        <color theme="1"/>
      </bottom>
      <diagonal/>
    </border>
    <border>
      <left style="thin">
        <color auto="1"/>
      </left>
      <right/>
      <top/>
      <bottom style="medium">
        <color auto="1"/>
      </bottom>
      <diagonal/>
    </border>
    <border>
      <left/>
      <right style="thin">
        <color auto="1"/>
      </right>
      <top/>
      <bottom style="medium">
        <color auto="1"/>
      </bottom>
      <diagonal/>
    </border>
    <border>
      <left style="thin">
        <color indexed="8"/>
      </left>
      <right/>
      <top/>
      <bottom style="thin">
        <color auto="1"/>
      </bottom>
      <diagonal/>
    </border>
    <border>
      <left style="thin">
        <color theme="1"/>
      </left>
      <right style="thin">
        <color indexed="8"/>
      </right>
      <top style="thin">
        <color indexed="8"/>
      </top>
      <bottom style="thin">
        <color indexed="8"/>
      </bottom>
      <diagonal/>
    </border>
    <border>
      <left style="thin">
        <color indexed="8"/>
      </left>
      <right style="thin">
        <color auto="1"/>
      </right>
      <top/>
      <bottom style="thin">
        <color auto="1"/>
      </bottom>
      <diagonal/>
    </border>
    <border>
      <left style="thin">
        <color indexed="8"/>
      </left>
      <right style="thin">
        <color auto="1"/>
      </right>
      <top/>
      <bottom/>
      <diagonal/>
    </border>
    <border>
      <left/>
      <right/>
      <top/>
      <bottom style="medium">
        <color auto="1"/>
      </bottom>
      <diagonal/>
    </border>
    <border>
      <left style="medium">
        <color auto="1"/>
      </left>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bottom style="double">
        <color indexed="8"/>
      </bottom>
      <diagonal/>
    </border>
    <border>
      <left style="thin">
        <color indexed="8"/>
      </left>
      <right style="thin">
        <color indexed="8"/>
      </right>
      <top/>
      <bottom style="double">
        <color indexed="8"/>
      </bottom>
      <diagonal/>
    </border>
    <border>
      <left/>
      <right style="thin">
        <color theme="1"/>
      </right>
      <top/>
      <bottom/>
      <diagonal/>
    </border>
    <border>
      <left style="thin">
        <color indexed="8"/>
      </left>
      <right/>
      <top style="thin">
        <color auto="1"/>
      </top>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style="medium">
        <color auto="1"/>
      </right>
      <top/>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indexed="8"/>
      </top>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style="thin">
        <color indexed="8"/>
      </right>
      <top style="thin">
        <color indexed="8"/>
      </top>
      <bottom/>
      <diagonal/>
    </border>
    <border>
      <left style="thin">
        <color auto="1"/>
      </left>
      <right style="thin">
        <color indexed="8"/>
      </right>
      <top style="thin">
        <color indexed="8"/>
      </top>
      <bottom style="thin">
        <color indexed="8"/>
      </bottom>
      <diagonal/>
    </border>
    <border>
      <left style="thin">
        <color indexed="8"/>
      </left>
      <right style="thin">
        <color auto="1"/>
      </right>
      <top style="thin">
        <color indexed="8"/>
      </top>
      <bottom style="medium">
        <color indexed="8"/>
      </bottom>
      <diagonal/>
    </border>
    <border>
      <left style="thin">
        <color auto="1"/>
      </left>
      <right style="thin">
        <color indexed="8"/>
      </right>
      <top style="thin">
        <color indexed="8"/>
      </top>
      <bottom style="medium">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style="thin">
        <color indexed="8"/>
      </top>
      <bottom style="double">
        <color indexed="8"/>
      </bottom>
      <diagonal/>
    </border>
    <border>
      <left style="thin">
        <color auto="1"/>
      </left>
      <right style="thin">
        <color indexed="8"/>
      </right>
      <top style="thin">
        <color indexed="8"/>
      </top>
      <bottom style="double">
        <color indexed="8"/>
      </bottom>
      <diagonal/>
    </border>
    <border>
      <left style="thin">
        <color indexed="8"/>
      </left>
      <right/>
      <top style="thin">
        <color auto="1"/>
      </top>
      <bottom style="thin">
        <color indexed="8"/>
      </bottom>
      <diagonal/>
    </border>
    <border>
      <left/>
      <right/>
      <top style="double">
        <color auto="1"/>
      </top>
      <bottom/>
      <diagonal/>
    </border>
    <border>
      <left style="thin">
        <color auto="1"/>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s>
  <cellStyleXfs count="22">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06" fillId="0" borderId="0" applyNumberFormat="0" applyFill="0" applyBorder="0">
      <protection locked="0"/>
    </xf>
    <xf numFmtId="0" fontId="106" fillId="0" borderId="0" applyNumberFormat="0" applyFill="0" applyBorder="0">
      <protection locked="0"/>
    </xf>
    <xf numFmtId="0" fontId="26" fillId="0" borderId="0" applyNumberFormat="0" applyFill="0" applyBorder="0">
      <protection locked="0"/>
    </xf>
    <xf numFmtId="0" fontId="106" fillId="0" borderId="0" applyNumberFormat="0" applyFill="0" applyBorder="0">
      <protection locked="0"/>
    </xf>
    <xf numFmtId="0" fontId="106" fillId="0" borderId="0" applyNumberFormat="0" applyFill="0" applyBorder="0">
      <protection locked="0"/>
    </xf>
    <xf numFmtId="0" fontId="106"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cellStyleXfs>
  <cellXfs count="1821">
    <xf numFmtId="0" fontId="0" fillId="0" borderId="0" xfId="0"/>
    <xf numFmtId="37" fontId="7" fillId="0" borderId="13" xfId="0" applyNumberFormat="1" applyFont="1" applyBorder="1" applyAlignment="1" applyProtection="1">
      <alignment horizontal="right"/>
      <protection locked="0"/>
    </xf>
    <xf numFmtId="37" fontId="11" fillId="2" borderId="14" xfId="13" applyNumberFormat="1" applyFont="1" applyBorder="1" applyProtection="1">
      <protection locked="0"/>
    </xf>
    <xf numFmtId="37" fontId="7" fillId="2" borderId="14" xfId="13" applyNumberFormat="1" applyFont="1" applyBorder="1" applyProtection="1">
      <protection locked="0"/>
    </xf>
    <xf numFmtId="3" fontId="7" fillId="0" borderId="17" xfId="0" applyNumberFormat="1" applyFont="1" applyBorder="1" applyProtection="1">
      <protection locked="0"/>
    </xf>
    <xf numFmtId="3" fontId="7" fillId="0" borderId="13" xfId="0" applyNumberFormat="1" applyFont="1" applyBorder="1" applyProtection="1">
      <protection locked="0"/>
    </xf>
    <xf numFmtId="37" fontId="11" fillId="0" borderId="13" xfId="0" applyNumberFormat="1" applyFont="1" applyBorder="1" applyProtection="1">
      <protection locked="0"/>
    </xf>
    <xf numFmtId="37" fontId="11" fillId="0" borderId="17" xfId="0" applyNumberFormat="1" applyFont="1" applyBorder="1" applyProtection="1">
      <protection locked="0"/>
    </xf>
    <xf numFmtId="37" fontId="11" fillId="0" borderId="20" xfId="0" applyNumberFormat="1" applyFont="1" applyBorder="1" applyProtection="1">
      <protection locked="0"/>
    </xf>
    <xf numFmtId="37" fontId="7" fillId="0" borderId="13" xfId="0" applyNumberFormat="1" applyFont="1" applyBorder="1" applyProtection="1">
      <protection locked="0"/>
    </xf>
    <xf numFmtId="37" fontId="7" fillId="0" borderId="17" xfId="0" applyNumberFormat="1" applyFont="1" applyBorder="1" applyProtection="1">
      <protection locked="0"/>
    </xf>
    <xf numFmtId="4" fontId="7" fillId="0" borderId="17" xfId="0" applyNumberFormat="1" applyFont="1" applyBorder="1" applyAlignment="1" applyProtection="1">
      <alignment horizontal="right"/>
      <protection locked="0"/>
    </xf>
    <xf numFmtId="4" fontId="7" fillId="0" borderId="13" xfId="0" applyNumberFormat="1" applyFont="1" applyBorder="1" applyAlignment="1" applyProtection="1">
      <alignment horizontal="right"/>
      <protection locked="0"/>
    </xf>
    <xf numFmtId="0" fontId="7" fillId="0" borderId="0" xfId="0" applyFont="1" applyProtection="1">
      <protection locked="0"/>
    </xf>
    <xf numFmtId="38" fontId="7" fillId="0" borderId="14" xfId="0" applyNumberFormat="1" applyFont="1" applyBorder="1" applyProtection="1">
      <protection locked="0"/>
    </xf>
    <xf numFmtId="174" fontId="7" fillId="0" borderId="17" xfId="0" applyNumberFormat="1" applyFont="1" applyBorder="1" applyProtection="1">
      <protection locked="0"/>
    </xf>
    <xf numFmtId="174" fontId="7" fillId="0" borderId="13" xfId="0" applyNumberFormat="1" applyFont="1" applyBorder="1" applyProtection="1">
      <protection locked="0"/>
    </xf>
    <xf numFmtId="37" fontId="7" fillId="0" borderId="22"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22" xfId="0" applyNumberFormat="1" applyFont="1" applyBorder="1" applyProtection="1">
      <protection locked="0"/>
    </xf>
    <xf numFmtId="37" fontId="5" fillId="0" borderId="30" xfId="0" applyNumberFormat="1" applyFont="1" applyBorder="1" applyAlignment="1" applyProtection="1">
      <alignment horizontal="right"/>
      <protection locked="0"/>
    </xf>
    <xf numFmtId="37" fontId="5" fillId="0" borderId="31" xfId="0" applyNumberFormat="1" applyFont="1" applyBorder="1" applyAlignment="1" applyProtection="1">
      <alignment horizontal="right"/>
      <protection locked="0"/>
    </xf>
    <xf numFmtId="37" fontId="5" fillId="0" borderId="32" xfId="0" applyNumberFormat="1" applyFont="1" applyBorder="1" applyAlignment="1" applyProtection="1">
      <alignment horizontal="right"/>
      <protection locked="0"/>
    </xf>
    <xf numFmtId="37" fontId="5" fillId="0" borderId="33" xfId="0" applyNumberFormat="1" applyFont="1" applyBorder="1" applyAlignment="1" applyProtection="1">
      <alignment horizontal="right"/>
      <protection locked="0"/>
    </xf>
    <xf numFmtId="37" fontId="3" fillId="0" borderId="23" xfId="0" applyNumberFormat="1" applyFont="1" applyBorder="1" applyProtection="1">
      <protection locked="0"/>
    </xf>
    <xf numFmtId="37" fontId="7" fillId="0" borderId="22" xfId="2" applyNumberFormat="1" applyFont="1" applyBorder="1" applyProtection="1">
      <protection locked="0"/>
    </xf>
    <xf numFmtId="49" fontId="3" fillId="0" borderId="14" xfId="0" applyNumberFormat="1" applyFont="1" applyBorder="1" applyAlignment="1" applyProtection="1">
      <alignment horizontal="center"/>
      <protection locked="0"/>
    </xf>
    <xf numFmtId="37" fontId="5" fillId="0" borderId="34" xfId="0" applyNumberFormat="1" applyFont="1" applyBorder="1" applyAlignment="1" applyProtection="1">
      <alignment horizontal="right"/>
      <protection locked="0"/>
    </xf>
    <xf numFmtId="42" fontId="7" fillId="0" borderId="22" xfId="2" applyNumberFormat="1" applyFont="1" applyBorder="1" applyProtection="1">
      <protection locked="0"/>
    </xf>
    <xf numFmtId="42" fontId="7" fillId="0" borderId="23" xfId="2" applyNumberFormat="1" applyFont="1" applyBorder="1" applyProtection="1">
      <protection locked="0"/>
    </xf>
    <xf numFmtId="42" fontId="3" fillId="0" borderId="14" xfId="0" applyNumberFormat="1" applyFont="1" applyBorder="1" applyProtection="1">
      <protection locked="0"/>
    </xf>
    <xf numFmtId="42" fontId="23" fillId="0" borderId="14" xfId="0" applyNumberFormat="1" applyFont="1" applyBorder="1" applyAlignment="1" applyProtection="1">
      <alignment horizontal="right"/>
      <protection locked="0"/>
    </xf>
    <xf numFmtId="37" fontId="7" fillId="0" borderId="23" xfId="4" applyNumberFormat="1" applyFont="1" applyBorder="1" applyProtection="1">
      <protection locked="0"/>
    </xf>
    <xf numFmtId="0" fontId="14" fillId="0" borderId="23" xfId="0" applyFont="1" applyBorder="1" applyProtection="1">
      <protection locked="0"/>
    </xf>
    <xf numFmtId="42" fontId="7" fillId="0" borderId="23" xfId="0" applyNumberFormat="1" applyFont="1" applyBorder="1" applyAlignment="1" applyProtection="1">
      <alignment horizontal="right"/>
      <protection locked="0"/>
    </xf>
    <xf numFmtId="37" fontId="7" fillId="0" borderId="9" xfId="0" applyNumberFormat="1" applyFont="1" applyBorder="1" applyProtection="1">
      <protection locked="0"/>
    </xf>
    <xf numFmtId="37" fontId="7" fillId="0" borderId="38" xfId="0" applyNumberFormat="1" applyFont="1" applyBorder="1" applyProtection="1">
      <protection locked="0"/>
    </xf>
    <xf numFmtId="37" fontId="5" fillId="0" borderId="34" xfId="0" applyNumberFormat="1" applyFont="1" applyBorder="1" applyProtection="1">
      <protection locked="0"/>
    </xf>
    <xf numFmtId="4" fontId="7" fillId="0" borderId="17" xfId="0" applyNumberFormat="1" applyFont="1" applyBorder="1" applyProtection="1">
      <protection locked="0"/>
    </xf>
    <xf numFmtId="37" fontId="7" fillId="0" borderId="17" xfId="0" applyNumberFormat="1" applyFont="1" applyBorder="1" applyAlignment="1" applyProtection="1">
      <alignment horizontal="right"/>
      <protection locked="0"/>
    </xf>
    <xf numFmtId="37" fontId="7" fillId="0" borderId="40" xfId="0" applyNumberFormat="1" applyFont="1" applyBorder="1" applyAlignment="1" applyProtection="1">
      <alignment horizontal="right"/>
      <protection locked="0"/>
    </xf>
    <xf numFmtId="37" fontId="7" fillId="0" borderId="40" xfId="0" applyNumberFormat="1" applyFont="1" applyBorder="1" applyProtection="1">
      <protection locked="0"/>
    </xf>
    <xf numFmtId="4" fontId="7" fillId="0" borderId="5" xfId="0" applyNumberFormat="1" applyFont="1" applyBorder="1" applyProtection="1">
      <protection locked="0"/>
    </xf>
    <xf numFmtId="3" fontId="7" fillId="0" borderId="5" xfId="0" applyNumberFormat="1" applyFont="1" applyBorder="1" applyProtection="1">
      <protection locked="0"/>
    </xf>
    <xf numFmtId="37" fontId="5" fillId="0" borderId="17" xfId="11" applyNumberFormat="1" applyFont="1" applyBorder="1" applyAlignment="1" applyProtection="1">
      <alignment horizontal="right"/>
      <protection locked="0"/>
    </xf>
    <xf numFmtId="37" fontId="5" fillId="0" borderId="13" xfId="11" applyNumberFormat="1" applyFont="1" applyBorder="1" applyAlignment="1" applyProtection="1">
      <alignment horizontal="right"/>
      <protection locked="0"/>
    </xf>
    <xf numFmtId="37" fontId="3" fillId="0" borderId="44" xfId="0" applyNumberFormat="1" applyFont="1" applyBorder="1" applyAlignment="1" applyProtection="1">
      <alignment horizontal="right"/>
      <protection locked="0"/>
    </xf>
    <xf numFmtId="37" fontId="7" fillId="2" borderId="22" xfId="13" applyNumberFormat="1" applyFont="1" applyBorder="1" applyProtection="1">
      <protection locked="0"/>
    </xf>
    <xf numFmtId="37" fontId="5" fillId="0" borderId="12" xfId="11" applyNumberFormat="1" applyFont="1" applyBorder="1" applyAlignment="1" applyProtection="1">
      <alignment horizontal="right"/>
      <protection locked="0"/>
    </xf>
    <xf numFmtId="3" fontId="7" fillId="0" borderId="3" xfId="0" applyNumberFormat="1" applyFont="1" applyBorder="1" applyProtection="1">
      <protection locked="0"/>
    </xf>
    <xf numFmtId="3" fontId="7" fillId="0" borderId="47" xfId="0" applyNumberFormat="1" applyFont="1" applyBorder="1" applyProtection="1">
      <protection locked="0"/>
    </xf>
    <xf numFmtId="3" fontId="7" fillId="0" borderId="4" xfId="0" applyNumberFormat="1" applyFont="1" applyBorder="1" applyProtection="1">
      <protection locked="0"/>
    </xf>
    <xf numFmtId="37" fontId="7" fillId="0" borderId="23" xfId="0" applyNumberFormat="1" applyFont="1" applyBorder="1" applyProtection="1">
      <protection locked="0"/>
    </xf>
    <xf numFmtId="37" fontId="11" fillId="0" borderId="22" xfId="13" quotePrefix="1" applyNumberFormat="1" applyFont="1" applyFill="1" applyBorder="1" applyProtection="1">
      <protection locked="0"/>
    </xf>
    <xf numFmtId="37" fontId="3" fillId="0" borderId="22" xfId="0" applyNumberFormat="1" applyFont="1" applyBorder="1" applyProtection="1">
      <protection locked="0"/>
    </xf>
    <xf numFmtId="37" fontId="5" fillId="0" borderId="52" xfId="0" applyNumberFormat="1" applyFont="1" applyBorder="1" applyAlignment="1" applyProtection="1">
      <alignment horizontal="right"/>
      <protection locked="0"/>
    </xf>
    <xf numFmtId="37" fontId="5" fillId="0" borderId="32" xfId="0" applyNumberFormat="1" applyFont="1" applyBorder="1" applyProtection="1">
      <protection locked="0"/>
    </xf>
    <xf numFmtId="37" fontId="7" fillId="2" borderId="23" xfId="13" applyNumberFormat="1" applyFont="1" applyBorder="1" applyProtection="1">
      <protection locked="0"/>
    </xf>
    <xf numFmtId="38" fontId="3" fillId="0" borderId="53" xfId="0" applyNumberFormat="1" applyFont="1" applyBorder="1" applyAlignment="1" applyProtection="1">
      <alignment vertical="top"/>
      <protection locked="0"/>
    </xf>
    <xf numFmtId="38" fontId="23" fillId="0" borderId="13" xfId="0" applyNumberFormat="1" applyFont="1" applyBorder="1" applyProtection="1">
      <protection locked="0"/>
    </xf>
    <xf numFmtId="38" fontId="23" fillId="0" borderId="12" xfId="0" applyNumberFormat="1" applyFont="1" applyBorder="1" applyProtection="1">
      <protection locked="0"/>
    </xf>
    <xf numFmtId="40" fontId="3" fillId="0" borderId="39" xfId="0" applyNumberFormat="1" applyFont="1" applyBorder="1" applyProtection="1">
      <protection locked="0"/>
    </xf>
    <xf numFmtId="38" fontId="23" fillId="0" borderId="55" xfId="0" applyNumberFormat="1" applyFont="1" applyBorder="1" applyProtection="1">
      <protection locked="0"/>
    </xf>
    <xf numFmtId="37" fontId="5" fillId="0" borderId="45" xfId="0" applyNumberFormat="1" applyFont="1" applyBorder="1" applyProtection="1">
      <protection locked="0"/>
    </xf>
    <xf numFmtId="179" fontId="7" fillId="0" borderId="23" xfId="2" applyNumberFormat="1" applyFont="1" applyBorder="1" applyAlignment="1" applyProtection="1">
      <alignment horizontal="left"/>
      <protection locked="0"/>
    </xf>
    <xf numFmtId="37" fontId="11" fillId="0" borderId="23" xfId="13" quotePrefix="1" applyNumberFormat="1" applyFont="1" applyFill="1" applyBorder="1" applyProtection="1">
      <protection locked="0"/>
    </xf>
    <xf numFmtId="37" fontId="7" fillId="0" borderId="18" xfId="0" applyNumberFormat="1" applyFont="1" applyBorder="1" applyProtection="1">
      <protection locked="0"/>
    </xf>
    <xf numFmtId="0" fontId="4" fillId="0" borderId="33" xfId="0" applyFont="1" applyBorder="1" applyProtection="1">
      <protection locked="0"/>
    </xf>
    <xf numFmtId="0" fontId="4" fillId="0" borderId="47" xfId="0" applyFont="1" applyBorder="1" applyProtection="1">
      <protection locked="0"/>
    </xf>
    <xf numFmtId="183" fontId="4" fillId="0" borderId="33" xfId="0" applyNumberFormat="1" applyFont="1" applyBorder="1" applyProtection="1">
      <protection locked="0"/>
    </xf>
    <xf numFmtId="0" fontId="7" fillId="0" borderId="57" xfId="0" applyFont="1" applyBorder="1" applyProtection="1">
      <protection locked="0"/>
    </xf>
    <xf numFmtId="0" fontId="5" fillId="0" borderId="57" xfId="0" applyFont="1" applyBorder="1" applyProtection="1">
      <protection locked="0"/>
    </xf>
    <xf numFmtId="39" fontId="7" fillId="0" borderId="33" xfId="0" applyNumberFormat="1" applyFont="1" applyBorder="1" applyProtection="1">
      <protection locked="0"/>
    </xf>
    <xf numFmtId="166" fontId="7" fillId="6" borderId="33" xfId="0" applyNumberFormat="1" applyFont="1" applyFill="1" applyBorder="1" applyProtection="1">
      <protection locked="0"/>
    </xf>
    <xf numFmtId="39" fontId="7" fillId="6" borderId="33" xfId="0" applyNumberFormat="1" applyFont="1" applyFill="1" applyBorder="1" applyProtection="1">
      <protection locked="0"/>
    </xf>
    <xf numFmtId="174" fontId="7" fillId="6" borderId="33" xfId="0" applyNumberFormat="1" applyFont="1" applyFill="1" applyBorder="1" applyProtection="1">
      <protection locked="0"/>
    </xf>
    <xf numFmtId="7" fontId="7" fillId="6" borderId="33" xfId="0" applyNumberFormat="1" applyFont="1" applyFill="1" applyBorder="1" applyProtection="1">
      <protection locked="0"/>
    </xf>
    <xf numFmtId="7" fontId="7" fillId="0" borderId="33" xfId="0" applyNumberFormat="1" applyFont="1" applyBorder="1" applyProtection="1">
      <protection locked="0"/>
    </xf>
    <xf numFmtId="7" fontId="7" fillId="6" borderId="52" xfId="0" applyNumberFormat="1" applyFont="1" applyFill="1" applyBorder="1" applyProtection="1">
      <protection locked="0"/>
    </xf>
    <xf numFmtId="7" fontId="7" fillId="0" borderId="52" xfId="0" applyNumberFormat="1" applyFont="1" applyBorder="1" applyProtection="1">
      <protection locked="0"/>
    </xf>
    <xf numFmtId="37" fontId="13" fillId="0" borderId="13" xfId="15" applyNumberFormat="1" applyFont="1" applyFill="1" applyBorder="1" applyAlignment="1" applyProtection="1">
      <alignment horizontal="right"/>
      <protection locked="0"/>
    </xf>
    <xf numFmtId="37" fontId="13" fillId="0" borderId="17" xfId="15" applyNumberFormat="1" applyFont="1" applyFill="1" applyBorder="1" applyAlignment="1" applyProtection="1">
      <alignment horizontal="right"/>
      <protection locked="0"/>
    </xf>
    <xf numFmtId="37" fontId="13" fillId="0" borderId="33" xfId="15" applyNumberFormat="1" applyFont="1" applyFill="1" applyBorder="1" applyAlignment="1" applyProtection="1">
      <alignment horizontal="right"/>
      <protection locked="0"/>
    </xf>
    <xf numFmtId="37" fontId="13" fillId="0" borderId="58" xfId="15" applyNumberFormat="1" applyFont="1" applyFill="1" applyBorder="1" applyAlignment="1" applyProtection="1">
      <alignment horizontal="right"/>
      <protection locked="0"/>
    </xf>
    <xf numFmtId="0" fontId="5" fillId="0" borderId="33" xfId="0" applyFont="1" applyBorder="1" applyAlignment="1" applyProtection="1">
      <alignment horizontal="center"/>
      <protection locked="0"/>
    </xf>
    <xf numFmtId="40" fontId="3" fillId="3" borderId="13" xfId="0" applyNumberFormat="1" applyFont="1" applyFill="1" applyBorder="1" applyProtection="1">
      <protection locked="0"/>
    </xf>
    <xf numFmtId="37" fontId="7" fillId="0" borderId="12" xfId="0" applyNumberFormat="1" applyFont="1" applyBorder="1" applyProtection="1">
      <protection locked="0"/>
    </xf>
    <xf numFmtId="37" fontId="5" fillId="0" borderId="9" xfId="0" applyNumberFormat="1" applyFont="1" applyBorder="1" applyAlignment="1" applyProtection="1">
      <alignment horizontal="right"/>
      <protection locked="0"/>
    </xf>
    <xf numFmtId="49" fontId="4" fillId="0" borderId="33" xfId="0" applyNumberFormat="1" applyFont="1" applyBorder="1" applyAlignment="1" applyProtection="1">
      <alignment horizontal="right"/>
      <protection locked="0"/>
    </xf>
    <xf numFmtId="37" fontId="7" fillId="0" borderId="39" xfId="0" applyNumberFormat="1" applyFont="1" applyBorder="1" applyProtection="1">
      <protection locked="0"/>
    </xf>
    <xf numFmtId="168" fontId="7" fillId="0" borderId="33" xfId="0" applyNumberFormat="1" applyFont="1" applyBorder="1" applyProtection="1">
      <protection locked="0"/>
    </xf>
    <xf numFmtId="168" fontId="7" fillId="0" borderId="33" xfId="0" applyNumberFormat="1" applyFont="1" applyBorder="1" applyAlignment="1" applyProtection="1">
      <alignment horizontal="right"/>
      <protection locked="0"/>
    </xf>
    <xf numFmtId="166" fontId="7" fillId="0" borderId="33" xfId="0" applyNumberFormat="1" applyFont="1" applyBorder="1" applyProtection="1">
      <protection locked="0"/>
    </xf>
    <xf numFmtId="7" fontId="7" fillId="6" borderId="27" xfId="0" applyNumberFormat="1" applyFont="1" applyFill="1" applyBorder="1" applyProtection="1">
      <protection locked="0"/>
    </xf>
    <xf numFmtId="37" fontId="5" fillId="0" borderId="71" xfId="0" applyNumberFormat="1" applyFont="1" applyBorder="1" applyAlignment="1" applyProtection="1">
      <alignment horizontal="right"/>
      <protection locked="0"/>
    </xf>
    <xf numFmtId="37" fontId="5" fillId="0" borderId="13" xfId="0" applyNumberFormat="1" applyFont="1" applyBorder="1" applyAlignment="1" applyProtection="1">
      <alignment horizontal="right"/>
      <protection locked="0"/>
    </xf>
    <xf numFmtId="37" fontId="63" fillId="0" borderId="1" xfId="0" applyNumberFormat="1" applyFont="1" applyBorder="1" applyAlignment="1" applyProtection="1">
      <alignment horizontal="right"/>
      <protection locked="0"/>
    </xf>
    <xf numFmtId="38" fontId="66" fillId="0" borderId="72" xfId="0" applyNumberFormat="1" applyFont="1" applyBorder="1" applyProtection="1">
      <protection locked="0"/>
    </xf>
    <xf numFmtId="174" fontId="7" fillId="0" borderId="33" xfId="0" applyNumberFormat="1" applyFont="1" applyBorder="1" applyAlignment="1" applyProtection="1">
      <alignment horizontal="right"/>
      <protection locked="0"/>
    </xf>
    <xf numFmtId="174" fontId="7" fillId="0" borderId="33" xfId="0" applyNumberFormat="1" applyFont="1" applyBorder="1" applyProtection="1">
      <protection locked="0"/>
    </xf>
    <xf numFmtId="174" fontId="7" fillId="0" borderId="58" xfId="0" applyNumberFormat="1" applyFont="1" applyBorder="1" applyProtection="1">
      <protection locked="0"/>
    </xf>
    <xf numFmtId="174" fontId="7" fillId="0" borderId="33" xfId="0" applyNumberFormat="1" applyFont="1" applyBorder="1" applyAlignment="1" applyProtection="1">
      <alignment horizontal="right" vertical="top"/>
      <protection locked="0"/>
    </xf>
    <xf numFmtId="174" fontId="7" fillId="0" borderId="33" xfId="0" applyNumberFormat="1" applyFont="1" applyBorder="1" applyAlignment="1" applyProtection="1">
      <alignment vertical="top"/>
      <protection locked="0"/>
    </xf>
    <xf numFmtId="174" fontId="7" fillId="6" borderId="33" xfId="0" applyNumberFormat="1" applyFont="1" applyFill="1" applyBorder="1" applyAlignment="1" applyProtection="1">
      <alignment horizontal="right" vertical="top"/>
      <protection locked="0"/>
    </xf>
    <xf numFmtId="174" fontId="65" fillId="6" borderId="33" xfId="0" applyNumberFormat="1" applyFont="1" applyFill="1" applyBorder="1" applyAlignment="1" applyProtection="1">
      <alignment horizontal="right" vertical="top"/>
      <protection locked="0"/>
    </xf>
    <xf numFmtId="174" fontId="65" fillId="6" borderId="33" xfId="0" applyNumberFormat="1" applyFont="1" applyFill="1" applyBorder="1" applyProtection="1">
      <protection locked="0"/>
    </xf>
    <xf numFmtId="174" fontId="65" fillId="3" borderId="33" xfId="0" applyNumberFormat="1" applyFont="1" applyFill="1" applyBorder="1" applyProtection="1">
      <protection locked="0"/>
    </xf>
    <xf numFmtId="37" fontId="5" fillId="0" borderId="33" xfId="0" applyNumberFormat="1" applyFont="1" applyBorder="1" applyProtection="1">
      <protection locked="0"/>
    </xf>
    <xf numFmtId="5" fontId="7" fillId="6" borderId="33" xfId="0" applyNumberFormat="1" applyFont="1" applyFill="1" applyBorder="1" applyProtection="1">
      <protection locked="0"/>
    </xf>
    <xf numFmtId="5" fontId="7" fillId="0" borderId="33" xfId="0" applyNumberFormat="1" applyFont="1" applyBorder="1" applyProtection="1">
      <protection locked="0"/>
    </xf>
    <xf numFmtId="37" fontId="7" fillId="0" borderId="3" xfId="0" applyNumberFormat="1" applyFont="1" applyBorder="1" applyProtection="1">
      <protection locked="0"/>
    </xf>
    <xf numFmtId="49" fontId="14" fillId="0" borderId="23" xfId="14" applyNumberFormat="1" applyFont="1" applyFill="1" applyBorder="1" applyAlignment="1" applyProtection="1">
      <alignment horizontal="center"/>
      <protection locked="0"/>
    </xf>
    <xf numFmtId="3" fontId="7" fillId="0" borderId="12" xfId="0" applyNumberFormat="1" applyFont="1" applyBorder="1" applyProtection="1">
      <protection locked="0"/>
    </xf>
    <xf numFmtId="4" fontId="7" fillId="0" borderId="12" xfId="0" applyNumberFormat="1" applyFont="1" applyBorder="1" applyProtection="1">
      <protection locked="0"/>
    </xf>
    <xf numFmtId="37" fontId="7" fillId="0" borderId="0" xfId="0" applyNumberFormat="1" applyFont="1" applyProtection="1">
      <protection locked="0"/>
    </xf>
    <xf numFmtId="3" fontId="7" fillId="0" borderId="0" xfId="0" applyNumberFormat="1" applyFont="1" applyProtection="1">
      <protection locked="0"/>
    </xf>
    <xf numFmtId="37" fontId="7" fillId="2" borderId="0" xfId="13" applyNumberFormat="1" applyFont="1" applyProtection="1">
      <protection locked="0"/>
    </xf>
    <xf numFmtId="37" fontId="7" fillId="0" borderId="14" xfId="0" applyNumberFormat="1" applyFont="1" applyBorder="1" applyProtection="1">
      <protection locked="0"/>
    </xf>
    <xf numFmtId="37" fontId="3" fillId="0" borderId="23" xfId="0" applyNumberFormat="1" applyFont="1" applyBorder="1" applyAlignment="1" applyProtection="1">
      <alignment horizontal="right"/>
      <protection locked="0"/>
    </xf>
    <xf numFmtId="37" fontId="5" fillId="2" borderId="17" xfId="11" applyNumberFormat="1" applyFont="1" applyFill="1" applyBorder="1" applyAlignment="1" applyProtection="1">
      <alignment horizontal="right"/>
      <protection locked="0"/>
    </xf>
    <xf numFmtId="44" fontId="7" fillId="0" borderId="33" xfId="2" applyFont="1" applyBorder="1" applyProtection="1"/>
    <xf numFmtId="174" fontId="7" fillId="14" borderId="33" xfId="0" applyNumberFormat="1" applyFont="1" applyFill="1" applyBorder="1" applyProtection="1">
      <protection locked="0"/>
    </xf>
    <xf numFmtId="0" fontId="7" fillId="0" borderId="0" xfId="0" applyFont="1"/>
    <xf numFmtId="0" fontId="8" fillId="0" borderId="0" xfId="0" applyFont="1" applyAlignment="1">
      <alignment horizontal="right"/>
    </xf>
    <xf numFmtId="49" fontId="3" fillId="0" borderId="14" xfId="0" applyNumberFormat="1" applyFont="1" applyBorder="1" applyAlignment="1">
      <alignment horizontal="left"/>
    </xf>
    <xf numFmtId="0" fontId="2" fillId="0" borderId="0" xfId="0" applyFont="1"/>
    <xf numFmtId="49" fontId="3" fillId="0" borderId="14" xfId="0" applyNumberFormat="1" applyFont="1" applyBorder="1" applyAlignment="1">
      <alignment horizontal="center"/>
    </xf>
    <xf numFmtId="0" fontId="7" fillId="0" borderId="16"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0" xfId="0" applyFont="1" applyAlignment="1">
      <alignment horizontal="center"/>
    </xf>
    <xf numFmtId="0" fontId="7" fillId="0" borderId="9" xfId="0" applyFont="1" applyBorder="1" applyAlignment="1">
      <alignment horizontal="center"/>
    </xf>
    <xf numFmtId="0" fontId="7" fillId="0" borderId="7" xfId="0" applyFont="1" applyBorder="1"/>
    <xf numFmtId="38" fontId="7" fillId="0" borderId="14" xfId="0" applyNumberFormat="1" applyFont="1" applyBorder="1"/>
    <xf numFmtId="0" fontId="7" fillId="0" borderId="0" xfId="0" applyFont="1" applyAlignment="1">
      <alignment horizontal="centerContinuous"/>
    </xf>
    <xf numFmtId="0" fontId="7" fillId="0" borderId="16" xfId="0" applyFont="1" applyBorder="1" applyAlignment="1">
      <alignment horizontal="center"/>
    </xf>
    <xf numFmtId="38" fontId="7" fillId="0" borderId="80" xfId="0" applyNumberFormat="1" applyFont="1" applyBorder="1"/>
    <xf numFmtId="0" fontId="35" fillId="4" borderId="0" xfId="8" applyFont="1" applyFill="1" applyProtection="1"/>
    <xf numFmtId="0" fontId="26" fillId="4" borderId="0" xfId="8" applyFill="1" applyProtection="1"/>
    <xf numFmtId="0" fontId="71"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9" fillId="0" borderId="0" xfId="0" applyFont="1"/>
    <xf numFmtId="0" fontId="30" fillId="0" borderId="0" xfId="8" applyFont="1" applyAlignment="1" applyProtection="1">
      <alignment wrapText="1"/>
    </xf>
    <xf numFmtId="0" fontId="7" fillId="0" borderId="9" xfId="0" applyFont="1" applyBorder="1" applyAlignment="1">
      <alignment wrapText="1"/>
    </xf>
    <xf numFmtId="0" fontId="30" fillId="0" borderId="0" xfId="8" applyFont="1" applyFill="1" applyProtection="1"/>
    <xf numFmtId="174" fontId="7" fillId="0" borderId="81" xfId="0" applyNumberFormat="1" applyFont="1" applyBorder="1"/>
    <xf numFmtId="0" fontId="9" fillId="0" borderId="0" xfId="0" applyFont="1"/>
    <xf numFmtId="0" fontId="48" fillId="0" borderId="0" xfId="0" applyFont="1" applyAlignment="1">
      <alignment horizontal="center"/>
    </xf>
    <xf numFmtId="0" fontId="64"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9"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4" borderId="0" xfId="8" applyFont="1" applyFill="1" applyProtection="1"/>
    <xf numFmtId="0" fontId="7" fillId="0" borderId="0" xfId="0" applyFont="1" applyAlignment="1">
      <alignment horizontal="justify" vertical="top" wrapText="1"/>
    </xf>
    <xf numFmtId="0" fontId="69" fillId="0" borderId="0" xfId="0" quotePrefix="1" applyFont="1"/>
    <xf numFmtId="0" fontId="7" fillId="0" borderId="0" xfId="0" applyFont="1" applyAlignment="1">
      <alignment horizontal="center" wrapText="1"/>
    </xf>
    <xf numFmtId="0" fontId="62" fillId="0" borderId="0" xfId="0" applyFont="1"/>
    <xf numFmtId="37" fontId="7" fillId="0" borderId="1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7" xfId="0" applyFont="1" applyBorder="1"/>
    <xf numFmtId="0" fontId="2" fillId="0" borderId="2" xfId="0" applyFont="1" applyBorder="1"/>
    <xf numFmtId="0" fontId="3" fillId="0" borderId="82" xfId="0" applyFont="1" applyBorder="1"/>
    <xf numFmtId="0" fontId="23" fillId="0" borderId="2" xfId="0" applyFont="1" applyBorder="1"/>
    <xf numFmtId="0" fontId="1" fillId="0" borderId="0" xfId="0" applyFont="1"/>
    <xf numFmtId="0" fontId="23" fillId="0" borderId="0" xfId="0" applyFont="1"/>
    <xf numFmtId="38" fontId="65"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14" xfId="0" applyFont="1" applyBorder="1" applyAlignment="1">
      <alignment horizontal="left"/>
    </xf>
    <xf numFmtId="49" fontId="3" fillId="0" borderId="68" xfId="0" applyNumberFormat="1" applyFont="1" applyBorder="1" applyAlignment="1">
      <alignment horizontal="center"/>
    </xf>
    <xf numFmtId="0" fontId="3" fillId="0" borderId="0" xfId="0" applyFont="1" applyAlignment="1">
      <alignment horizontal="center"/>
    </xf>
    <xf numFmtId="0" fontId="3" fillId="0" borderId="14" xfId="0" applyFont="1" applyBorder="1"/>
    <xf numFmtId="0" fontId="70" fillId="0" borderId="0" xfId="0" applyFont="1"/>
    <xf numFmtId="0" fontId="73" fillId="0" borderId="0" xfId="0" applyFont="1" applyAlignment="1">
      <alignment vertical="center"/>
    </xf>
    <xf numFmtId="0" fontId="25" fillId="0" borderId="0" xfId="0" applyFont="1"/>
    <xf numFmtId="0" fontId="4" fillId="0" borderId="0" xfId="0" applyFont="1"/>
    <xf numFmtId="0" fontId="4" fillId="0" borderId="33" xfId="0" applyFont="1" applyBorder="1"/>
    <xf numFmtId="0" fontId="4" fillId="0" borderId="0" xfId="0" applyFont="1" applyAlignment="1">
      <alignment vertical="center" wrapText="1"/>
    </xf>
    <xf numFmtId="0" fontId="4" fillId="0" borderId="0" xfId="0" applyFont="1" applyAlignment="1">
      <alignment vertical="center"/>
    </xf>
    <xf numFmtId="0" fontId="76" fillId="0" borderId="0" xfId="0" applyFont="1" applyAlignment="1">
      <alignment wrapText="1"/>
    </xf>
    <xf numFmtId="0" fontId="85" fillId="0" borderId="0" xfId="0" applyFont="1" applyAlignment="1">
      <alignment vertical="center"/>
    </xf>
    <xf numFmtId="0" fontId="81" fillId="0" borderId="0" xfId="0" applyFont="1"/>
    <xf numFmtId="0" fontId="93" fillId="0" borderId="0" xfId="0" applyFont="1"/>
    <xf numFmtId="0" fontId="76" fillId="0" borderId="0" xfId="0" applyFont="1" applyAlignment="1">
      <alignment horizontal="center" wrapText="1"/>
    </xf>
    <xf numFmtId="0" fontId="73" fillId="0" borderId="0" xfId="0" applyFont="1"/>
    <xf numFmtId="0" fontId="83" fillId="0" borderId="0" xfId="0" applyFont="1"/>
    <xf numFmtId="0" fontId="82"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5" fillId="0" borderId="0" xfId="0" applyFont="1"/>
    <xf numFmtId="0" fontId="3" fillId="0" borderId="14" xfId="0" applyFont="1" applyBorder="1" applyAlignment="1">
      <alignment horizontal="center"/>
    </xf>
    <xf numFmtId="0" fontId="6" fillId="0" borderId="14" xfId="0" applyFont="1" applyBorder="1"/>
    <xf numFmtId="0" fontId="6" fillId="0" borderId="14" xfId="0" applyFont="1" applyBorder="1" applyAlignment="1">
      <alignment horizontal="centerContinuous"/>
    </xf>
    <xf numFmtId="0" fontId="2" fillId="0" borderId="14" xfId="0" applyFont="1" applyBorder="1" applyAlignment="1">
      <alignment horizontal="centerContinuous"/>
    </xf>
    <xf numFmtId="0" fontId="2" fillId="0" borderId="0" xfId="0" applyFont="1" applyAlignment="1">
      <alignment horizontal="centerContinuous"/>
    </xf>
    <xf numFmtId="0" fontId="2" fillId="0" borderId="0" xfId="0" applyFont="1" applyAlignment="1">
      <alignment horizontal="left"/>
    </xf>
    <xf numFmtId="0" fontId="7" fillId="0" borderId="6" xfId="0" applyFont="1" applyBorder="1"/>
    <xf numFmtId="0" fontId="7" fillId="0" borderId="7" xfId="0" applyFont="1" applyBorder="1" applyAlignment="1">
      <alignment horizontal="centerContinuous"/>
    </xf>
    <xf numFmtId="0" fontId="7" fillId="0" borderId="5" xfId="0" applyFont="1" applyBorder="1" applyAlignment="1">
      <alignment horizontal="center"/>
    </xf>
    <xf numFmtId="0" fontId="7" fillId="0" borderId="14" xfId="0" applyFont="1" applyBorder="1" applyAlignment="1">
      <alignment horizontal="centerContinuous"/>
    </xf>
    <xf numFmtId="0" fontId="7" fillId="0" borderId="12" xfId="0" applyFont="1" applyBorder="1"/>
    <xf numFmtId="0" fontId="7" fillId="0" borderId="3" xfId="0" applyFont="1" applyBorder="1" applyAlignment="1">
      <alignment horizontal="centerContinuous"/>
    </xf>
    <xf numFmtId="0" fontId="7" fillId="0" borderId="7" xfId="0" applyFont="1" applyBorder="1" applyAlignment="1">
      <alignment horizontal="center"/>
    </xf>
    <xf numFmtId="0" fontId="8" fillId="0" borderId="7" xfId="0" applyFont="1" applyBorder="1"/>
    <xf numFmtId="0" fontId="7" fillId="0" borderId="5" xfId="0" applyFont="1" applyBorder="1"/>
    <xf numFmtId="0" fontId="2" fillId="0" borderId="3" xfId="0" applyFont="1" applyBorder="1"/>
    <xf numFmtId="0" fontId="2" fillId="0" borderId="14" xfId="0" applyFont="1" applyBorder="1"/>
    <xf numFmtId="0" fontId="7" fillId="0" borderId="14" xfId="0" applyFont="1" applyBorder="1"/>
    <xf numFmtId="0" fontId="7" fillId="0" borderId="17" xfId="0" applyFont="1" applyBorder="1" applyAlignment="1">
      <alignment horizontal="center"/>
    </xf>
    <xf numFmtId="0" fontId="7" fillId="0" borderId="14" xfId="0" applyFont="1" applyBorder="1" applyAlignment="1">
      <alignment horizontal="center"/>
    </xf>
    <xf numFmtId="0" fontId="7" fillId="0" borderId="3" xfId="0" applyFont="1" applyBorder="1" applyAlignment="1">
      <alignment horizontal="center"/>
    </xf>
    <xf numFmtId="4" fontId="7" fillId="0" borderId="12" xfId="0" applyNumberFormat="1" applyFont="1" applyBorder="1"/>
    <xf numFmtId="3" fontId="7" fillId="0" borderId="12" xfId="0" applyNumberFormat="1" applyFont="1" applyBorder="1"/>
    <xf numFmtId="49" fontId="7" fillId="0" borderId="0" xfId="0" applyNumberFormat="1" applyFont="1" applyAlignment="1">
      <alignment horizontal="right"/>
    </xf>
    <xf numFmtId="3" fontId="7" fillId="0" borderId="17" xfId="0" applyNumberFormat="1" applyFont="1" applyBorder="1"/>
    <xf numFmtId="49" fontId="7" fillId="0" borderId="0" xfId="0" applyNumberFormat="1" applyFont="1" applyAlignment="1">
      <alignment horizontal="left"/>
    </xf>
    <xf numFmtId="4" fontId="7" fillId="2" borderId="17" xfId="0" applyNumberFormat="1" applyFont="1" applyFill="1" applyBorder="1" applyAlignment="1">
      <alignment horizontal="right"/>
    </xf>
    <xf numFmtId="4" fontId="7" fillId="0" borderId="17" xfId="0" applyNumberFormat="1" applyFont="1" applyBorder="1" applyAlignment="1">
      <alignment horizontal="right"/>
    </xf>
    <xf numFmtId="3" fontId="7" fillId="0" borderId="13" xfId="0" applyNumberFormat="1" applyFont="1" applyBorder="1"/>
    <xf numFmtId="3" fontId="7" fillId="2" borderId="13" xfId="0" applyNumberFormat="1" applyFont="1" applyFill="1" applyBorder="1"/>
    <xf numFmtId="165" fontId="7" fillId="2" borderId="13" xfId="0" applyNumberFormat="1" applyFont="1" applyFill="1" applyBorder="1"/>
    <xf numFmtId="49" fontId="35" fillId="4" borderId="0" xfId="8" applyNumberFormat="1" applyFont="1" applyFill="1" applyAlignment="1" applyProtection="1">
      <alignment horizontal="right"/>
    </xf>
    <xf numFmtId="49" fontId="7" fillId="0" borderId="9" xfId="0" applyNumberFormat="1" applyFont="1" applyBorder="1" applyAlignment="1">
      <alignment horizontal="right"/>
    </xf>
    <xf numFmtId="3" fontId="7" fillId="2" borderId="17" xfId="0" applyNumberFormat="1" applyFont="1" applyFill="1" applyBorder="1"/>
    <xf numFmtId="165" fontId="7" fillId="2" borderId="17" xfId="0" applyNumberFormat="1" applyFont="1" applyFill="1" applyBorder="1"/>
    <xf numFmtId="49" fontId="7" fillId="0" borderId="9" xfId="0" quotePrefix="1" applyNumberFormat="1" applyFont="1" applyBorder="1" applyAlignment="1">
      <alignment horizontal="right"/>
    </xf>
    <xf numFmtId="3" fontId="7" fillId="0" borderId="0" xfId="0" applyNumberFormat="1" applyFont="1"/>
    <xf numFmtId="0" fontId="65" fillId="0" borderId="9" xfId="0" quotePrefix="1" applyFont="1" applyBorder="1" applyAlignment="1">
      <alignment horizontal="right"/>
    </xf>
    <xf numFmtId="165" fontId="7" fillId="0" borderId="17" xfId="0" applyNumberFormat="1" applyFont="1" applyBorder="1"/>
    <xf numFmtId="49" fontId="7" fillId="0" borderId="0" xfId="0" quotePrefix="1" applyNumberFormat="1" applyFont="1" applyAlignment="1">
      <alignment horizontal="left"/>
    </xf>
    <xf numFmtId="0" fontId="7" fillId="0" borderId="7" xfId="0" applyFont="1" applyBorder="1" applyAlignment="1">
      <alignment horizontal="left"/>
    </xf>
    <xf numFmtId="0" fontId="7" fillId="0" borderId="0" xfId="0" applyFont="1" applyAlignment="1">
      <alignment horizontal="left" wrapText="1"/>
    </xf>
    <xf numFmtId="0" fontId="65" fillId="0" borderId="9" xfId="0" applyFont="1" applyBorder="1" applyAlignment="1">
      <alignment horizontal="right"/>
    </xf>
    <xf numFmtId="4" fontId="7" fillId="0" borderId="13" xfId="0" applyNumberFormat="1" applyFont="1" applyBorder="1" applyAlignment="1">
      <alignment horizontal="right"/>
    </xf>
    <xf numFmtId="165" fontId="7" fillId="0" borderId="13" xfId="0" applyNumberFormat="1" applyFont="1" applyBorder="1"/>
    <xf numFmtId="0" fontId="7" fillId="0" borderId="3" xfId="0" applyFont="1" applyBorder="1"/>
    <xf numFmtId="49" fontId="7" fillId="0" borderId="14" xfId="0" applyNumberFormat="1" applyFont="1" applyBorder="1" applyAlignment="1">
      <alignment horizontal="right"/>
    </xf>
    <xf numFmtId="4" fontId="7" fillId="2" borderId="13" xfId="0" applyNumberFormat="1" applyFont="1" applyFill="1" applyBorder="1" applyAlignment="1">
      <alignment horizontal="right"/>
    </xf>
    <xf numFmtId="3" fontId="7" fillId="0" borderId="13" xfId="0" applyNumberFormat="1" applyFont="1" applyBorder="1" applyAlignment="1">
      <alignment horizontal="right"/>
    </xf>
    <xf numFmtId="0" fontId="7" fillId="3" borderId="7" xfId="0" applyFont="1" applyFill="1" applyBorder="1"/>
    <xf numFmtId="0" fontId="65" fillId="0" borderId="0" xfId="0" applyFont="1" applyAlignment="1">
      <alignment horizontal="right"/>
    </xf>
    <xf numFmtId="4" fontId="7" fillId="0" borderId="12" xfId="0" applyNumberFormat="1" applyFont="1" applyBorder="1" applyAlignment="1">
      <alignment horizontal="right"/>
    </xf>
    <xf numFmtId="3" fontId="7" fillId="0" borderId="12" xfId="0" applyNumberFormat="1" applyFont="1" applyBorder="1" applyAlignment="1">
      <alignment horizontal="right"/>
    </xf>
    <xf numFmtId="49" fontId="7" fillId="0" borderId="1" xfId="0" applyNumberFormat="1" applyFont="1" applyBorder="1" applyAlignment="1">
      <alignment horizontal="right"/>
    </xf>
    <xf numFmtId="165" fontId="7" fillId="2" borderId="12" xfId="0" applyNumberFormat="1" applyFont="1" applyFill="1" applyBorder="1" applyAlignment="1">
      <alignment horizontal="right"/>
    </xf>
    <xf numFmtId="0" fontId="35" fillId="4" borderId="39" xfId="8" quotePrefix="1" applyFont="1" applyFill="1" applyBorder="1" applyAlignment="1" applyProtection="1">
      <alignment horizontal="right" vertical="center"/>
    </xf>
    <xf numFmtId="0" fontId="35" fillId="4" borderId="4" xfId="8" quotePrefix="1" applyFont="1" applyFill="1" applyBorder="1" applyAlignment="1" applyProtection="1">
      <alignment horizontal="right" vertical="center"/>
    </xf>
    <xf numFmtId="3" fontId="7" fillId="0" borderId="5" xfId="0" applyNumberFormat="1" applyFont="1" applyBorder="1"/>
    <xf numFmtId="3" fontId="7" fillId="0" borderId="5" xfId="0" applyNumberFormat="1" applyFont="1" applyBorder="1" applyAlignment="1">
      <alignment horizontal="right"/>
    </xf>
    <xf numFmtId="0" fontId="3" fillId="0" borderId="0" xfId="0" applyFont="1" applyAlignment="1">
      <alignment horizontal="centerContinuous"/>
    </xf>
    <xf numFmtId="0" fontId="3" fillId="0" borderId="0" xfId="0" applyFont="1" applyAlignment="1">
      <alignment horizontal="left"/>
    </xf>
    <xf numFmtId="0" fontId="77" fillId="0" borderId="0" xfId="0" applyFont="1" applyBorder="1"/>
    <xf numFmtId="0" fontId="65" fillId="0" borderId="0" xfId="0" applyFont="1" applyBorder="1"/>
    <xf numFmtId="0" fontId="65" fillId="0" borderId="0" xfId="0" applyFont="1"/>
    <xf numFmtId="0" fontId="65" fillId="0" borderId="0" xfId="0" quotePrefix="1" applyFont="1" applyBorder="1" applyAlignment="1">
      <alignment horizontal="right"/>
    </xf>
    <xf numFmtId="0" fontId="78" fillId="0" borderId="0" xfId="8" quotePrefix="1" applyFont="1" applyFill="1" applyBorder="1" applyAlignment="1" applyProtection="1">
      <alignment horizontal="right" vertical="center"/>
    </xf>
    <xf numFmtId="3" fontId="65" fillId="0" borderId="0" xfId="0" applyNumberFormat="1" applyFont="1" applyBorder="1"/>
    <xf numFmtId="0" fontId="65" fillId="0" borderId="0" xfId="0" quotePrefix="1" applyFont="1" applyBorder="1"/>
    <xf numFmtId="0" fontId="77"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8" fillId="4"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4" borderId="0" xfId="8" quotePrefix="1" applyFont="1" applyFill="1" applyAlignment="1" applyProtection="1">
      <alignment horizontal="right"/>
    </xf>
    <xf numFmtId="0" fontId="3" fillId="0" borderId="0" xfId="0" applyFont="1" applyAlignment="1">
      <alignment vertical="top"/>
    </xf>
    <xf numFmtId="38" fontId="3" fillId="0" borderId="9" xfId="0" applyNumberFormat="1" applyFont="1" applyBorder="1" applyAlignment="1">
      <alignment vertical="top"/>
    </xf>
    <xf numFmtId="38" fontId="3" fillId="0" borderId="53"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4" borderId="0" xfId="8" applyFont="1" applyFill="1" applyAlignment="1" applyProtection="1">
      <alignment horizontal="left"/>
    </xf>
    <xf numFmtId="0" fontId="26" fillId="4" borderId="0" xfId="8" applyFill="1" applyAlignment="1" applyProtection="1">
      <alignment horizontal="left"/>
    </xf>
    <xf numFmtId="0" fontId="68" fillId="0" borderId="0" xfId="8" applyFont="1" applyAlignment="1" applyProtection="1">
      <alignment horizontal="left"/>
    </xf>
    <xf numFmtId="38" fontId="62" fillId="0" borderId="0" xfId="0" applyNumberFormat="1" applyFont="1"/>
    <xf numFmtId="164" fontId="3" fillId="0" borderId="0" xfId="0" quotePrefix="1" applyNumberFormat="1" applyFont="1" applyAlignment="1">
      <alignment horizontal="right"/>
    </xf>
    <xf numFmtId="38" fontId="23" fillId="0" borderId="9" xfId="0" applyNumberFormat="1" applyFont="1" applyBorder="1" applyAlignment="1">
      <alignment vertical="top"/>
    </xf>
    <xf numFmtId="38" fontId="23" fillId="0" borderId="1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4"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2" xfId="0" applyNumberFormat="1" applyFont="1" applyBorder="1" applyAlignment="1">
      <alignment vertical="top"/>
    </xf>
    <xf numFmtId="49" fontId="3" fillId="0" borderId="0" xfId="0" quotePrefix="1" applyNumberFormat="1" applyFont="1"/>
    <xf numFmtId="0" fontId="3" fillId="3" borderId="0" xfId="0" applyFont="1" applyFill="1"/>
    <xf numFmtId="38" fontId="23" fillId="3" borderId="9" xfId="0" applyNumberFormat="1" applyFont="1" applyFill="1" applyBorder="1" applyAlignment="1">
      <alignment vertical="top"/>
    </xf>
    <xf numFmtId="42" fontId="3" fillId="0" borderId="0" xfId="0" applyNumberFormat="1" applyFont="1"/>
    <xf numFmtId="0" fontId="66"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0" fontId="0" fillId="0" borderId="9" xfId="0" applyBorder="1"/>
    <xf numFmtId="49" fontId="3" fillId="0" borderId="0" xfId="0" quotePrefix="1" applyNumberFormat="1" applyFont="1" applyAlignment="1">
      <alignment horizontal="left"/>
    </xf>
    <xf numFmtId="0" fontId="66" fillId="0" borderId="0" xfId="0" applyFont="1"/>
    <xf numFmtId="0" fontId="91" fillId="0" borderId="0" xfId="0" applyFont="1"/>
    <xf numFmtId="0" fontId="32" fillId="0" borderId="0" xfId="0" applyFont="1"/>
    <xf numFmtId="38" fontId="66" fillId="0" borderId="72" xfId="0" applyNumberFormat="1" applyFont="1" applyBorder="1"/>
    <xf numFmtId="49" fontId="66"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8" fillId="0" borderId="0" xfId="0" applyFont="1" applyAlignment="1">
      <alignment horizontal="left"/>
    </xf>
    <xf numFmtId="0" fontId="2" fillId="0" borderId="0" xfId="0" quotePrefix="1" applyFont="1"/>
    <xf numFmtId="0" fontId="3" fillId="0" borderId="0" xfId="0" applyFont="1" applyAlignment="1">
      <alignment horizontal="left" vertical="top"/>
    </xf>
    <xf numFmtId="37" fontId="3" fillId="0" borderId="14" xfId="0" applyNumberFormat="1" applyFont="1" applyBorder="1" applyAlignment="1">
      <alignment horizontal="left"/>
    </xf>
    <xf numFmtId="172" fontId="3" fillId="0" borderId="0" xfId="0" applyNumberFormat="1" applyFont="1"/>
    <xf numFmtId="164" fontId="3" fillId="0" borderId="14" xfId="0" applyNumberFormat="1" applyFont="1" applyBorder="1" applyAlignment="1">
      <alignment horizontal="left"/>
    </xf>
    <xf numFmtId="0" fontId="3" fillId="3" borderId="0" xfId="2" applyNumberFormat="1" applyFont="1" applyFill="1" applyAlignment="1" applyProtection="1">
      <alignment horizontal="right"/>
    </xf>
    <xf numFmtId="42" fontId="3" fillId="3" borderId="0" xfId="2" applyNumberFormat="1" applyFont="1" applyFill="1" applyAlignment="1" applyProtection="1">
      <alignment horizontal="right"/>
    </xf>
    <xf numFmtId="0" fontId="4" fillId="3" borderId="0" xfId="0" applyFont="1" applyFill="1" applyAlignment="1">
      <alignment horizontal="right" wrapText="1"/>
    </xf>
    <xf numFmtId="0" fontId="2" fillId="3" borderId="0" xfId="0" applyFont="1" applyFill="1"/>
    <xf numFmtId="0" fontId="2" fillId="0" borderId="0" xfId="0" quotePrefix="1" applyFont="1" applyAlignment="1">
      <alignment horizontal="right"/>
    </xf>
    <xf numFmtId="0" fontId="10" fillId="3" borderId="0" xfId="8" quotePrefix="1" applyFont="1" applyFill="1" applyAlignment="1" applyProtection="1">
      <alignment horizontal="right"/>
    </xf>
    <xf numFmtId="2" fontId="23" fillId="3" borderId="0" xfId="0" applyNumberFormat="1" applyFont="1" applyFill="1" applyAlignment="1">
      <alignment horizontal="right"/>
    </xf>
    <xf numFmtId="0" fontId="3" fillId="0" borderId="13" xfId="0" applyFont="1" applyBorder="1" applyAlignment="1">
      <alignment horizontal="center"/>
    </xf>
    <xf numFmtId="40" fontId="3" fillId="0" borderId="13" xfId="0" applyNumberFormat="1" applyFont="1" applyBorder="1"/>
    <xf numFmtId="37" fontId="23" fillId="3" borderId="0" xfId="0" applyNumberFormat="1" applyFont="1" applyFill="1" applyAlignment="1">
      <alignment horizontal="left"/>
    </xf>
    <xf numFmtId="37" fontId="29" fillId="3" borderId="0" xfId="0" applyNumberFormat="1" applyFont="1" applyFill="1" applyAlignment="1">
      <alignment horizontal="center"/>
    </xf>
    <xf numFmtId="37" fontId="23" fillId="3" borderId="0" xfId="0" applyNumberFormat="1" applyFont="1" applyFill="1" applyAlignment="1">
      <alignment horizontal="right"/>
    </xf>
    <xf numFmtId="170" fontId="23" fillId="3" borderId="0" xfId="0" applyNumberFormat="1" applyFont="1" applyFill="1" applyAlignment="1">
      <alignment horizontal="right"/>
    </xf>
    <xf numFmtId="0" fontId="3" fillId="3" borderId="0" xfId="0" applyFont="1" applyFill="1" applyAlignment="1">
      <alignment horizontal="right"/>
    </xf>
    <xf numFmtId="40" fontId="3" fillId="10" borderId="13" xfId="0" applyNumberFormat="1" applyFont="1" applyFill="1" applyBorder="1" applyAlignment="1">
      <alignment horizontal="right"/>
    </xf>
    <xf numFmtId="164" fontId="3" fillId="0" borderId="0" xfId="0" applyNumberFormat="1" applyFont="1" applyAlignment="1">
      <alignment horizontal="center"/>
    </xf>
    <xf numFmtId="0" fontId="3" fillId="3"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23" xfId="0" applyNumberFormat="1" applyFont="1" applyBorder="1" applyAlignment="1">
      <alignment horizontal="left"/>
    </xf>
    <xf numFmtId="0" fontId="3" fillId="0" borderId="23" xfId="0" applyFont="1" applyBorder="1" applyAlignment="1">
      <alignment horizontal="left"/>
    </xf>
    <xf numFmtId="0" fontId="3" fillId="0" borderId="23" xfId="0" applyFont="1" applyBorder="1"/>
    <xf numFmtId="0" fontId="80" fillId="0" borderId="23" xfId="0" applyFont="1" applyBorder="1"/>
    <xf numFmtId="0" fontId="8" fillId="0" borderId="23" xfId="0" applyFont="1" applyBorder="1" applyAlignment="1">
      <alignment horizontal="center"/>
    </xf>
    <xf numFmtId="0" fontId="5" fillId="0" borderId="26" xfId="0" applyFont="1" applyBorder="1"/>
    <xf numFmtId="0" fontId="5" fillId="0" borderId="18" xfId="0" applyFont="1" applyBorder="1"/>
    <xf numFmtId="49" fontId="5" fillId="0" borderId="50" xfId="0" applyNumberFormat="1" applyFont="1" applyBorder="1"/>
    <xf numFmtId="49" fontId="5" fillId="0" borderId="18"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18" xfId="0" applyNumberFormat="1" applyFont="1" applyBorder="1" applyAlignment="1">
      <alignment horizontal="center"/>
    </xf>
    <xf numFmtId="0" fontId="5" fillId="0" borderId="27" xfId="0" applyFont="1" applyBorder="1" applyAlignment="1">
      <alignment horizontal="center"/>
    </xf>
    <xf numFmtId="0" fontId="63" fillId="0" borderId="27" xfId="0" applyFont="1" applyBorder="1" applyAlignment="1">
      <alignment horizontal="center"/>
    </xf>
    <xf numFmtId="0" fontId="14" fillId="0" borderId="2" xfId="0" applyFont="1" applyBorder="1"/>
    <xf numFmtId="0" fontId="14" fillId="0" borderId="0" xfId="0" applyFont="1"/>
    <xf numFmtId="0" fontId="14" fillId="0" borderId="28" xfId="0" applyFont="1" applyBorder="1"/>
    <xf numFmtId="49" fontId="5" fillId="0" borderId="25" xfId="0" applyNumberFormat="1" applyFont="1" applyBorder="1" applyAlignment="1">
      <alignment horizontal="center"/>
    </xf>
    <xf numFmtId="0" fontId="5" fillId="0" borderId="25" xfId="0" applyFont="1" applyBorder="1" applyAlignment="1">
      <alignment horizontal="center"/>
    </xf>
    <xf numFmtId="0" fontId="63" fillId="0" borderId="25" xfId="0" applyFont="1" applyBorder="1" applyAlignment="1">
      <alignment horizontal="center"/>
    </xf>
    <xf numFmtId="0" fontId="5" fillId="0" borderId="0" xfId="0" applyFont="1" applyAlignment="1">
      <alignment horizontal="center"/>
    </xf>
    <xf numFmtId="0" fontId="14" fillId="0" borderId="10" xfId="0" applyFont="1" applyBorder="1"/>
    <xf numFmtId="0" fontId="14" fillId="0" borderId="23" xfId="0" applyFont="1" applyBorder="1"/>
    <xf numFmtId="0" fontId="5" fillId="0" borderId="29" xfId="0" applyFont="1" applyBorder="1"/>
    <xf numFmtId="0" fontId="5" fillId="0" borderId="4" xfId="0" applyFont="1" applyBorder="1" applyAlignment="1">
      <alignment horizontal="center"/>
    </xf>
    <xf numFmtId="0" fontId="5" fillId="0" borderId="3" xfId="0" applyFont="1" applyBorder="1" applyAlignment="1">
      <alignment horizontal="center"/>
    </xf>
    <xf numFmtId="0" fontId="63" fillId="0" borderId="52" xfId="0" applyFont="1" applyBorder="1" applyAlignment="1">
      <alignment horizontal="center"/>
    </xf>
    <xf numFmtId="0" fontId="5" fillId="0" borderId="14" xfId="0" applyFont="1" applyBorder="1" applyAlignment="1">
      <alignment horizontal="center"/>
    </xf>
    <xf numFmtId="0" fontId="5" fillId="0" borderId="52" xfId="0" applyFont="1" applyBorder="1" applyAlignment="1">
      <alignment horizontal="center"/>
    </xf>
    <xf numFmtId="0" fontId="5" fillId="0" borderId="7" xfId="0" applyFont="1" applyBorder="1"/>
    <xf numFmtId="49" fontId="5" fillId="0" borderId="0" xfId="0" applyNumberFormat="1" applyFont="1" applyAlignment="1">
      <alignment horizontal="right"/>
    </xf>
    <xf numFmtId="37" fontId="5" fillId="0" borderId="9" xfId="0" applyNumberFormat="1" applyFont="1" applyBorder="1" applyAlignment="1">
      <alignment horizontal="right"/>
    </xf>
    <xf numFmtId="37" fontId="5" fillId="0" borderId="33" xfId="0" applyNumberFormat="1" applyFont="1" applyBorder="1" applyAlignment="1">
      <alignment horizontal="right"/>
    </xf>
    <xf numFmtId="37" fontId="63" fillId="0" borderId="13" xfId="0" applyNumberFormat="1" applyFont="1" applyBorder="1" applyAlignment="1">
      <alignment horizontal="right"/>
    </xf>
    <xf numFmtId="37" fontId="63" fillId="0" borderId="30" xfId="0" applyNumberFormat="1" applyFont="1" applyBorder="1" applyAlignment="1">
      <alignment horizontal="right"/>
    </xf>
    <xf numFmtId="165" fontId="63" fillId="0" borderId="73" xfId="0" applyNumberFormat="1" applyFont="1" applyBorder="1" applyAlignment="1">
      <alignment horizontal="right"/>
    </xf>
    <xf numFmtId="49" fontId="63" fillId="0" borderId="0" xfId="0" applyNumberFormat="1" applyFont="1" applyAlignment="1">
      <alignment horizontal="left"/>
    </xf>
    <xf numFmtId="49" fontId="63" fillId="0" borderId="2"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13" xfId="0" applyNumberFormat="1" applyFont="1" applyBorder="1" applyAlignment="1">
      <alignment horizontal="right"/>
    </xf>
    <xf numFmtId="37" fontId="86" fillId="10" borderId="13" xfId="0" applyNumberFormat="1" applyFont="1" applyFill="1" applyBorder="1" applyAlignment="1">
      <alignment horizontal="right"/>
    </xf>
    <xf numFmtId="0" fontId="63" fillId="0" borderId="7" xfId="0" applyFont="1" applyBorder="1"/>
    <xf numFmtId="0" fontId="86" fillId="0" borderId="0" xfId="0" applyFont="1"/>
    <xf numFmtId="49" fontId="28" fillId="4" borderId="9" xfId="8" applyNumberFormat="1" applyFont="1" applyFill="1" applyBorder="1" applyAlignment="1" applyProtection="1">
      <alignment horizontal="right" vertical="top"/>
    </xf>
    <xf numFmtId="37" fontId="86" fillId="9" borderId="67" xfId="0" applyNumberFormat="1" applyFont="1" applyFill="1" applyBorder="1" applyAlignment="1">
      <alignment horizontal="right"/>
    </xf>
    <xf numFmtId="37" fontId="63" fillId="0" borderId="12" xfId="0" applyNumberFormat="1" applyFont="1" applyBorder="1" applyAlignment="1">
      <alignment horizontal="right"/>
    </xf>
    <xf numFmtId="165" fontId="63" fillId="3" borderId="73" xfId="0" applyNumberFormat="1" applyFont="1" applyFill="1" applyBorder="1" applyAlignment="1">
      <alignment horizontal="right"/>
    </xf>
    <xf numFmtId="49" fontId="77" fillId="0" borderId="0" xfId="0" applyNumberFormat="1" applyFont="1" applyAlignment="1">
      <alignment horizontal="left"/>
    </xf>
    <xf numFmtId="37" fontId="86" fillId="9" borderId="30" xfId="0" applyNumberFormat="1" applyFont="1" applyFill="1" applyBorder="1" applyAlignment="1">
      <alignment horizontal="right"/>
    </xf>
    <xf numFmtId="37" fontId="86" fillId="9" borderId="83" xfId="0" applyNumberFormat="1" applyFont="1" applyFill="1" applyBorder="1" applyAlignment="1">
      <alignment horizontal="right"/>
    </xf>
    <xf numFmtId="37" fontId="86" fillId="9" borderId="27" xfId="0" applyNumberFormat="1" applyFont="1" applyFill="1" applyBorder="1" applyAlignment="1">
      <alignment horizontal="right"/>
    </xf>
    <xf numFmtId="165" fontId="63" fillId="3" borderId="74" xfId="0" applyNumberFormat="1" applyFont="1" applyFill="1" applyBorder="1" applyAlignment="1">
      <alignment horizontal="right"/>
    </xf>
    <xf numFmtId="0" fontId="63" fillId="0" borderId="2" xfId="0" applyFont="1" applyBorder="1"/>
    <xf numFmtId="37" fontId="63" fillId="0" borderId="33" xfId="0" applyNumberFormat="1" applyFont="1" applyBorder="1" applyAlignment="1">
      <alignment horizontal="right"/>
    </xf>
    <xf numFmtId="165" fontId="63" fillId="0" borderId="33" xfId="0" applyNumberFormat="1" applyFont="1" applyBorder="1" applyAlignment="1">
      <alignment horizontal="right"/>
    </xf>
    <xf numFmtId="0" fontId="5" fillId="10" borderId="33" xfId="0" applyFont="1" applyFill="1" applyBorder="1"/>
    <xf numFmtId="0" fontId="63" fillId="3" borderId="10" xfId="0" applyFont="1" applyFill="1" applyBorder="1"/>
    <xf numFmtId="0" fontId="5" fillId="0" borderId="23" xfId="0" applyFont="1" applyBorder="1"/>
    <xf numFmtId="49" fontId="92" fillId="4" borderId="11" xfId="8" applyNumberFormat="1" applyFont="1" applyFill="1" applyBorder="1" applyAlignment="1" applyProtection="1">
      <alignment horizontal="right"/>
    </xf>
    <xf numFmtId="37" fontId="63" fillId="0" borderId="34" xfId="0" applyNumberFormat="1" applyFont="1" applyBorder="1" applyAlignment="1">
      <alignment horizontal="right"/>
    </xf>
    <xf numFmtId="37" fontId="63" fillId="0" borderId="17" xfId="0" applyNumberFormat="1" applyFont="1" applyBorder="1" applyAlignment="1">
      <alignment horizontal="right"/>
    </xf>
    <xf numFmtId="37" fontId="5" fillId="0" borderId="34"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18" xfId="0" applyNumberFormat="1" applyFont="1" applyBorder="1" applyAlignment="1">
      <alignment horizontal="right" wrapText="1"/>
    </xf>
    <xf numFmtId="37" fontId="5" fillId="0" borderId="45"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4"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11" xfId="0" applyNumberFormat="1" applyFont="1" applyBorder="1" applyAlignment="1">
      <alignment horizontal="right"/>
    </xf>
    <xf numFmtId="0" fontId="87" fillId="0" borderId="0" xfId="0" applyFont="1"/>
    <xf numFmtId="0" fontId="88" fillId="0" borderId="0" xfId="0" applyFont="1"/>
    <xf numFmtId="0" fontId="88" fillId="0" borderId="0" xfId="0" applyFont="1" applyAlignment="1">
      <alignment horizontal="right"/>
    </xf>
    <xf numFmtId="37" fontId="88" fillId="0" borderId="0" xfId="0" applyNumberFormat="1" applyFont="1" applyAlignment="1">
      <alignment horizontal="right"/>
    </xf>
    <xf numFmtId="0" fontId="88" fillId="2" borderId="0" xfId="13" applyFont="1"/>
    <xf numFmtId="0" fontId="28" fillId="0" borderId="2" xfId="0" applyFont="1" applyBorder="1"/>
    <xf numFmtId="0" fontId="5" fillId="0" borderId="0" xfId="0" applyFont="1" applyBorder="1"/>
    <xf numFmtId="185" fontId="37" fillId="0" borderId="28" xfId="4" applyNumberFormat="1" applyFont="1" applyBorder="1" applyAlignment="1" applyProtection="1">
      <alignment horizontal="right"/>
    </xf>
    <xf numFmtId="49" fontId="5" fillId="0" borderId="23"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23" xfId="0" applyFont="1" applyBorder="1" applyAlignment="1">
      <alignment horizontal="center"/>
    </xf>
    <xf numFmtId="0" fontId="80" fillId="0" borderId="0" xfId="0" applyFont="1"/>
    <xf numFmtId="0" fontId="6" fillId="0" borderId="0" xfId="0" applyFont="1"/>
    <xf numFmtId="0" fontId="7" fillId="0" borderId="12" xfId="0" applyFont="1" applyBorder="1" applyAlignment="1">
      <alignment horizontal="center"/>
    </xf>
    <xf numFmtId="0" fontId="7" fillId="0" borderId="21" xfId="0" applyFont="1" applyBorder="1" applyAlignment="1">
      <alignment horizontal="center" wrapText="1"/>
    </xf>
    <xf numFmtId="0" fontId="7" fillId="0" borderId="93" xfId="0" applyFont="1" applyBorder="1" applyAlignment="1">
      <alignment horizontal="center"/>
    </xf>
    <xf numFmtId="0" fontId="7" fillId="0" borderId="8" xfId="0" applyFont="1" applyBorder="1" applyAlignment="1">
      <alignment horizontal="centerContinuous"/>
    </xf>
    <xf numFmtId="0" fontId="11" fillId="2" borderId="8" xfId="0" applyFont="1" applyFill="1" applyBorder="1" applyAlignment="1">
      <alignment horizontal="centerContinuous"/>
    </xf>
    <xf numFmtId="0" fontId="3" fillId="0" borderId="12" xfId="0" applyFont="1" applyBorder="1" applyAlignment="1">
      <alignment horizontal="center"/>
    </xf>
    <xf numFmtId="0" fontId="7" fillId="0" borderId="74" xfId="0" applyFont="1" applyBorder="1" applyAlignment="1">
      <alignment horizontal="center"/>
    </xf>
    <xf numFmtId="0" fontId="7" fillId="0" borderId="25" xfId="0" applyFont="1" applyBorder="1" applyAlignment="1">
      <alignment horizontal="center"/>
    </xf>
    <xf numFmtId="0" fontId="7" fillId="5" borderId="0" xfId="0" applyFont="1" applyFill="1" applyAlignment="1">
      <alignment horizontal="center"/>
    </xf>
    <xf numFmtId="0" fontId="7" fillId="0" borderId="17" xfId="0" applyFont="1" applyBorder="1" applyAlignment="1">
      <alignment horizontal="center" wrapText="1"/>
    </xf>
    <xf numFmtId="0" fontId="7" fillId="0" borderId="40" xfId="0" applyFont="1" applyBorder="1" applyAlignment="1">
      <alignment horizontal="center"/>
    </xf>
    <xf numFmtId="0" fontId="8" fillId="0" borderId="15" xfId="0" applyFont="1" applyBorder="1" applyAlignment="1">
      <alignment vertical="center"/>
    </xf>
    <xf numFmtId="0" fontId="8" fillId="0" borderId="8" xfId="0" applyFont="1" applyBorder="1"/>
    <xf numFmtId="49" fontId="7" fillId="0" borderId="14" xfId="0" quotePrefix="1" applyNumberFormat="1" applyFont="1" applyBorder="1" applyAlignment="1">
      <alignment horizontal="right"/>
    </xf>
    <xf numFmtId="37" fontId="7" fillId="0" borderId="13" xfId="0" applyNumberFormat="1" applyFont="1" applyBorder="1" applyAlignment="1">
      <alignment horizontal="right"/>
    </xf>
    <xf numFmtId="37" fontId="7" fillId="0" borderId="12" xfId="0" applyNumberFormat="1" applyFont="1" applyBorder="1" applyAlignment="1">
      <alignment horizontal="right"/>
    </xf>
    <xf numFmtId="165" fontId="7" fillId="0" borderId="13" xfId="0" applyNumberFormat="1" applyFont="1" applyBorder="1" applyAlignment="1">
      <alignment horizontal="right"/>
    </xf>
    <xf numFmtId="49" fontId="7" fillId="0" borderId="7" xfId="0" quotePrefix="1" applyNumberFormat="1" applyFont="1" applyBorder="1" applyAlignment="1">
      <alignment horizontal="left"/>
    </xf>
    <xf numFmtId="0" fontId="8" fillId="0" borderId="7" xfId="0" applyFont="1" applyBorder="1" applyAlignment="1">
      <alignment vertical="center"/>
    </xf>
    <xf numFmtId="49" fontId="7" fillId="0" borderId="0" xfId="0" applyNumberFormat="1" applyFont="1"/>
    <xf numFmtId="37" fontId="7" fillId="0" borderId="12" xfId="0" applyNumberFormat="1" applyFont="1" applyBorder="1"/>
    <xf numFmtId="37" fontId="7" fillId="2" borderId="21" xfId="0" applyNumberFormat="1" applyFont="1" applyFill="1" applyBorder="1"/>
    <xf numFmtId="49" fontId="7" fillId="0" borderId="7" xfId="0" applyNumberFormat="1" applyFont="1" applyBorder="1" applyAlignment="1">
      <alignment horizontal="left"/>
    </xf>
    <xf numFmtId="49" fontId="7" fillId="0" borderId="0" xfId="0" quotePrefix="1" applyNumberFormat="1" applyFont="1" applyAlignment="1">
      <alignment horizontal="right"/>
    </xf>
    <xf numFmtId="37" fontId="7" fillId="0" borderId="6" xfId="0" applyNumberFormat="1" applyFont="1" applyBorder="1"/>
    <xf numFmtId="37" fontId="7" fillId="0" borderId="21" xfId="0" applyNumberFormat="1" applyFont="1" applyBorder="1"/>
    <xf numFmtId="0" fontId="0" fillId="0" borderId="7" xfId="0" applyBorder="1" applyAlignment="1">
      <alignment horizontal="left"/>
    </xf>
    <xf numFmtId="37" fontId="7" fillId="0" borderId="17" xfId="0" applyNumberFormat="1" applyFont="1" applyBorder="1"/>
    <xf numFmtId="37" fontId="7" fillId="9" borderId="13" xfId="0" applyNumberFormat="1" applyFont="1" applyFill="1" applyBorder="1" applyAlignment="1">
      <alignment horizontal="right"/>
    </xf>
    <xf numFmtId="37" fontId="7" fillId="2" borderId="13" xfId="0" applyNumberFormat="1" applyFont="1" applyFill="1" applyBorder="1" applyAlignment="1">
      <alignment horizontal="right"/>
    </xf>
    <xf numFmtId="0" fontId="7" fillId="0" borderId="23" xfId="0" applyFont="1" applyBorder="1"/>
    <xf numFmtId="49" fontId="35" fillId="4" borderId="11" xfId="8" quotePrefix="1" applyNumberFormat="1" applyFont="1" applyFill="1" applyBorder="1" applyAlignment="1" applyProtection="1">
      <alignment horizontal="right"/>
    </xf>
    <xf numFmtId="37" fontId="7" fillId="0" borderId="39" xfId="0" applyNumberFormat="1" applyFont="1" applyBorder="1" applyAlignment="1">
      <alignment horizontal="right"/>
    </xf>
    <xf numFmtId="165" fontId="7" fillId="2" borderId="31"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22" xfId="2" applyNumberFormat="1" applyFont="1" applyBorder="1" applyProtection="1"/>
    <xf numFmtId="0" fontId="77"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6" xfId="11" applyNumberFormat="1" applyFont="1" applyBorder="1"/>
    <xf numFmtId="37" fontId="5" fillId="0" borderId="16" xfId="11" applyNumberFormat="1" applyFont="1" applyBorder="1"/>
    <xf numFmtId="37" fontId="5" fillId="0" borderId="1" xfId="11" applyNumberFormat="1" applyFont="1" applyBorder="1"/>
    <xf numFmtId="49" fontId="7" fillId="0" borderId="0" xfId="0" applyNumberFormat="1" applyFont="1" applyAlignment="1">
      <alignment horizontal="center"/>
    </xf>
    <xf numFmtId="37" fontId="14" fillId="0" borderId="7" xfId="11" applyNumberFormat="1" applyFont="1" applyBorder="1" applyAlignment="1">
      <alignment horizontal="left"/>
    </xf>
    <xf numFmtId="37" fontId="14" fillId="0" borderId="0" xfId="11" applyNumberFormat="1" applyFont="1" applyAlignment="1">
      <alignment horizontal="left"/>
    </xf>
    <xf numFmtId="37" fontId="14" fillId="0" borderId="9" xfId="11" applyNumberFormat="1" applyFont="1" applyBorder="1" applyAlignment="1">
      <alignment horizontal="left"/>
    </xf>
    <xf numFmtId="37" fontId="5" fillId="0" borderId="3" xfId="11" applyNumberFormat="1" applyFont="1" applyBorder="1"/>
    <xf numFmtId="37" fontId="5" fillId="0" borderId="14" xfId="11" applyNumberFormat="1" applyFont="1" applyBorder="1"/>
    <xf numFmtId="37" fontId="5" fillId="0" borderId="4" xfId="11" applyNumberFormat="1" applyFont="1" applyBorder="1"/>
    <xf numFmtId="0" fontId="5" fillId="0" borderId="17" xfId="11" applyFont="1" applyBorder="1" applyAlignment="1">
      <alignment horizontal="center"/>
    </xf>
    <xf numFmtId="0" fontId="5" fillId="0" borderId="49" xfId="0" applyFont="1" applyBorder="1" applyAlignment="1">
      <alignment horizontal="center"/>
    </xf>
    <xf numFmtId="0" fontId="5" fillId="0" borderId="33" xfId="0" applyFont="1" applyBorder="1" applyAlignment="1">
      <alignment horizontal="center"/>
    </xf>
    <xf numFmtId="37" fontId="14" fillId="0" borderId="15" xfId="11" applyNumberFormat="1" applyFont="1" applyBorder="1"/>
    <xf numFmtId="37" fontId="5" fillId="0" borderId="8" xfId="11" applyNumberFormat="1" applyFont="1" applyBorder="1"/>
    <xf numFmtId="37" fontId="5" fillId="0" borderId="1" xfId="11" applyNumberFormat="1" applyFont="1" applyBorder="1" applyAlignment="1">
      <alignment horizontal="right"/>
    </xf>
    <xf numFmtId="37" fontId="5" fillId="0" borderId="4" xfId="11" applyNumberFormat="1" applyFont="1" applyBorder="1" applyAlignment="1">
      <alignment horizontal="right"/>
    </xf>
    <xf numFmtId="37" fontId="5" fillId="0" borderId="17" xfId="11" applyNumberFormat="1" applyFont="1" applyBorder="1" applyAlignment="1">
      <alignment horizontal="right"/>
    </xf>
    <xf numFmtId="37" fontId="5" fillId="0" borderId="49" xfId="11" applyNumberFormat="1" applyFont="1" applyBorder="1"/>
    <xf numFmtId="177" fontId="5" fillId="2" borderId="0" xfId="11" applyNumberFormat="1" applyFont="1" applyFill="1"/>
    <xf numFmtId="37" fontId="43" fillId="4" borderId="6" xfId="8" applyNumberFormat="1" applyFont="1" applyFill="1" applyBorder="1" applyProtection="1"/>
    <xf numFmtId="37" fontId="5" fillId="0" borderId="5" xfId="11" applyNumberFormat="1" applyFont="1" applyBorder="1" applyAlignment="1">
      <alignment horizontal="right"/>
    </xf>
    <xf numFmtId="37" fontId="5" fillId="2" borderId="5" xfId="11" applyNumberFormat="1" applyFont="1" applyFill="1" applyBorder="1" applyAlignment="1">
      <alignment horizontal="right"/>
    </xf>
    <xf numFmtId="177" fontId="5" fillId="0" borderId="54" xfId="11" applyNumberFormat="1" applyFont="1" applyBorder="1"/>
    <xf numFmtId="0" fontId="5" fillId="0" borderId="50" xfId="0" applyFont="1" applyBorder="1"/>
    <xf numFmtId="37" fontId="5" fillId="0" borderId="7" xfId="11" applyNumberFormat="1" applyFont="1" applyBorder="1"/>
    <xf numFmtId="37" fontId="5" fillId="0" borderId="9" xfId="11" quotePrefix="1" applyNumberFormat="1" applyFont="1" applyBorder="1" applyAlignment="1">
      <alignment horizontal="right"/>
    </xf>
    <xf numFmtId="37" fontId="5" fillId="0" borderId="39" xfId="11" applyNumberFormat="1" applyFont="1" applyBorder="1" applyAlignment="1">
      <alignment horizontal="right"/>
    </xf>
    <xf numFmtId="0" fontId="5" fillId="0" borderId="7" xfId="11" quotePrefix="1" applyFont="1" applyBorder="1"/>
    <xf numFmtId="37" fontId="63" fillId="0" borderId="7" xfId="11" applyNumberFormat="1" applyFont="1" applyBorder="1"/>
    <xf numFmtId="37" fontId="5" fillId="0" borderId="0" xfId="11" applyNumberFormat="1" applyFont="1"/>
    <xf numFmtId="37" fontId="5" fillId="0" borderId="12" xfId="11" applyNumberFormat="1" applyFont="1" applyBorder="1" applyAlignment="1">
      <alignment horizontal="right"/>
    </xf>
    <xf numFmtId="37" fontId="5" fillId="0" borderId="0" xfId="11" quotePrefix="1" applyNumberFormat="1" applyFont="1" applyAlignment="1">
      <alignment horizontal="right"/>
    </xf>
    <xf numFmtId="37" fontId="5" fillId="0" borderId="14" xfId="11" applyNumberFormat="1" applyFont="1" applyBorder="1" applyAlignment="1">
      <alignment horizontal="right"/>
    </xf>
    <xf numFmtId="37" fontId="5" fillId="0" borderId="0" xfId="11" applyNumberFormat="1" applyFont="1" applyAlignment="1">
      <alignment horizontal="right"/>
    </xf>
    <xf numFmtId="37" fontId="5" fillId="0" borderId="51" xfId="11" applyNumberFormat="1" applyFont="1" applyBorder="1" applyAlignment="1">
      <alignment horizontal="right"/>
    </xf>
    <xf numFmtId="0" fontId="5" fillId="0" borderId="45" xfId="0" applyFont="1" applyBorder="1"/>
    <xf numFmtId="37" fontId="5" fillId="10" borderId="13" xfId="11" applyNumberFormat="1" applyFont="1" applyFill="1" applyBorder="1" applyAlignment="1">
      <alignment horizontal="right"/>
    </xf>
    <xf numFmtId="37" fontId="5" fillId="0" borderId="4" xfId="11" quotePrefix="1" applyNumberFormat="1" applyFont="1" applyBorder="1" applyAlignment="1">
      <alignment horizontal="right"/>
    </xf>
    <xf numFmtId="3" fontId="7" fillId="3" borderId="0" xfId="11" applyNumberFormat="1" applyFont="1" applyFill="1" applyAlignment="1">
      <alignment horizontal="right"/>
    </xf>
    <xf numFmtId="3" fontId="107" fillId="3" borderId="0" xfId="11" applyNumberFormat="1" applyFont="1" applyFill="1" applyAlignment="1">
      <alignment horizontal="right"/>
    </xf>
    <xf numFmtId="3" fontId="7" fillId="0" borderId="0" xfId="11" applyNumberFormat="1" applyFont="1" applyAlignment="1">
      <alignment horizontal="right"/>
    </xf>
    <xf numFmtId="3" fontId="107"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164"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6" xfId="0" applyFont="1" applyBorder="1"/>
    <xf numFmtId="0" fontId="11" fillId="0" borderId="6" xfId="0" applyFont="1" applyBorder="1" applyAlignment="1">
      <alignment horizontal="centerContinuous"/>
    </xf>
    <xf numFmtId="0" fontId="11" fillId="0" borderId="1"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7" xfId="0" applyFont="1" applyBorder="1"/>
    <xf numFmtId="0" fontId="11" fillId="0" borderId="0" xfId="0" applyFont="1" applyAlignment="1">
      <alignment horizontal="center"/>
    </xf>
    <xf numFmtId="0" fontId="11" fillId="0" borderId="9" xfId="0" applyFont="1" applyBorder="1" applyAlignment="1">
      <alignment horizontal="center"/>
    </xf>
    <xf numFmtId="0" fontId="11" fillId="0" borderId="7" xfId="0" applyFont="1" applyBorder="1" applyAlignment="1">
      <alignment horizontal="centerContinuous"/>
    </xf>
    <xf numFmtId="0" fontId="11" fillId="0" borderId="9" xfId="0" applyFont="1" applyBorder="1" applyAlignment="1">
      <alignment horizontal="centerContinuous"/>
    </xf>
    <xf numFmtId="0" fontId="11" fillId="0" borderId="0" xfId="0" applyFont="1"/>
    <xf numFmtId="0" fontId="21" fillId="0" borderId="3" xfId="0" applyFont="1" applyBorder="1" applyAlignment="1">
      <alignment horizontal="centerContinuous"/>
    </xf>
    <xf numFmtId="0" fontId="11" fillId="0" borderId="4" xfId="0" applyFont="1" applyBorder="1" applyAlignment="1">
      <alignment horizontal="centerContinuous"/>
    </xf>
    <xf numFmtId="0" fontId="11" fillId="0" borderId="0" xfId="0" applyFont="1" applyAlignment="1">
      <alignment horizontal="right"/>
    </xf>
    <xf numFmtId="37" fontId="7" fillId="0" borderId="15" xfId="0" applyNumberFormat="1" applyFont="1" applyBorder="1" applyAlignment="1">
      <alignment horizontal="right"/>
    </xf>
    <xf numFmtId="37" fontId="7" fillId="0" borderId="13" xfId="0" applyNumberFormat="1" applyFont="1" applyBorder="1"/>
    <xf numFmtId="0" fontId="11" fillId="0" borderId="0" xfId="0" applyFont="1" applyAlignment="1">
      <alignment horizontal="left"/>
    </xf>
    <xf numFmtId="164" fontId="21" fillId="0" borderId="0" xfId="0" applyNumberFormat="1" applyFont="1"/>
    <xf numFmtId="0" fontId="21" fillId="0" borderId="0" xfId="0" applyFont="1"/>
    <xf numFmtId="4" fontId="11" fillId="0" borderId="15" xfId="0" applyNumberFormat="1" applyFont="1" applyBorder="1" applyAlignment="1">
      <alignment horizontal="center"/>
    </xf>
    <xf numFmtId="0" fontId="11" fillId="0" borderId="4" xfId="0" applyFont="1" applyBorder="1" applyAlignment="1">
      <alignment horizontal="center"/>
    </xf>
    <xf numFmtId="0" fontId="11" fillId="0" borderId="17" xfId="0" applyFont="1" applyBorder="1" applyAlignment="1">
      <alignment horizontal="center"/>
    </xf>
    <xf numFmtId="0" fontId="35" fillId="4" borderId="0" xfId="8" applyFont="1" applyFill="1" applyAlignment="1" applyProtection="1">
      <alignment horizontal="right"/>
    </xf>
    <xf numFmtId="4" fontId="11" fillId="0" borderId="15" xfId="0" applyNumberFormat="1" applyFont="1" applyBorder="1" applyAlignment="1">
      <alignment horizontal="right"/>
    </xf>
    <xf numFmtId="37" fontId="11" fillId="0" borderId="39" xfId="0" applyNumberFormat="1" applyFont="1" applyBorder="1"/>
    <xf numFmtId="0" fontId="35" fillId="4" borderId="0" xfId="8" quotePrefix="1" applyFont="1" applyFill="1" applyAlignment="1" applyProtection="1">
      <alignment horizontal="right"/>
    </xf>
    <xf numFmtId="0" fontId="7" fillId="0" borderId="0" xfId="0" applyFont="1" applyAlignment="1">
      <alignment vertical="center"/>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4" fontId="11" fillId="0" borderId="35" xfId="0" applyNumberFormat="1" applyFont="1" applyBorder="1" applyAlignment="1">
      <alignment horizontal="right"/>
    </xf>
    <xf numFmtId="37" fontId="11" fillId="0" borderId="81" xfId="0" applyNumberFormat="1" applyFont="1" applyBorder="1" applyAlignment="1">
      <alignment horizontal="right"/>
    </xf>
    <xf numFmtId="4" fontId="11" fillId="0" borderId="41" xfId="0" applyNumberFormat="1" applyFont="1" applyBorder="1"/>
    <xf numFmtId="4" fontId="11" fillId="0" borderId="42" xfId="0" applyNumberFormat="1" applyFont="1" applyBorder="1"/>
    <xf numFmtId="37" fontId="11" fillId="0" borderId="43" xfId="0" applyNumberFormat="1" applyFont="1" applyBorder="1"/>
    <xf numFmtId="4" fontId="11" fillId="0" borderId="3" xfId="0" applyNumberFormat="1" applyFont="1" applyBorder="1" applyAlignment="1">
      <alignment horizontal="right"/>
    </xf>
    <xf numFmtId="37" fontId="11" fillId="0" borderId="4" xfId="0" applyNumberFormat="1" applyFont="1" applyBorder="1"/>
    <xf numFmtId="0" fontId="65" fillId="0" borderId="0" xfId="0" applyFont="1" applyAlignment="1">
      <alignment horizontal="left"/>
    </xf>
    <xf numFmtId="49" fontId="65" fillId="0" borderId="0" xfId="0" applyNumberFormat="1" applyFont="1" applyAlignment="1">
      <alignment horizontal="right"/>
    </xf>
    <xf numFmtId="49" fontId="65" fillId="0" borderId="0" xfId="0" applyNumberFormat="1" applyFont="1" applyAlignment="1">
      <alignment horizontal="left"/>
    </xf>
    <xf numFmtId="0" fontId="11" fillId="3" borderId="0" xfId="0" applyFont="1" applyFill="1" applyAlignment="1">
      <alignment horizontal="left"/>
    </xf>
    <xf numFmtId="0" fontId="11" fillId="3" borderId="0" xfId="0" applyFont="1" applyFill="1"/>
    <xf numFmtId="49" fontId="65" fillId="0" borderId="0" xfId="0" quotePrefix="1" applyNumberFormat="1" applyFont="1" applyAlignment="1">
      <alignment horizontal="left"/>
    </xf>
    <xf numFmtId="49" fontId="35" fillId="4" borderId="0" xfId="8" quotePrefix="1" applyNumberFormat="1" applyFont="1" applyFill="1" applyAlignment="1" applyProtection="1">
      <alignment horizontal="right"/>
    </xf>
    <xf numFmtId="4" fontId="11" fillId="0" borderId="36" xfId="0" applyNumberFormat="1" applyFont="1" applyBorder="1" applyAlignment="1">
      <alignment horizontal="right"/>
    </xf>
    <xf numFmtId="37" fontId="11" fillId="0" borderId="37" xfId="0" applyNumberFormat="1" applyFont="1" applyBorder="1"/>
    <xf numFmtId="49" fontId="65" fillId="0" borderId="0" xfId="0" quotePrefix="1" applyNumberFormat="1" applyFont="1" applyAlignment="1">
      <alignment horizontal="right"/>
    </xf>
    <xf numFmtId="4" fontId="11" fillId="0" borderId="81" xfId="0" applyNumberFormat="1" applyFont="1" applyBorder="1" applyAlignment="1">
      <alignment horizontal="right"/>
    </xf>
    <xf numFmtId="37" fontId="11" fillId="0" borderId="24" xfId="0" applyNumberFormat="1" applyFont="1" applyBorder="1" applyAlignment="1">
      <alignment horizontal="right"/>
    </xf>
    <xf numFmtId="0" fontId="65"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42" fontId="7" fillId="0" borderId="14" xfId="0" applyNumberFormat="1" applyFont="1" applyBorder="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14" xfId="13" applyNumberFormat="1" applyFont="1" applyBorder="1" applyAlignment="1">
      <alignment horizontal="center"/>
    </xf>
    <xf numFmtId="0" fontId="11" fillId="2" borderId="0" xfId="13" applyFont="1"/>
    <xf numFmtId="37" fontId="21" fillId="0" borderId="0" xfId="13" applyNumberFormat="1" applyFont="1" applyFill="1" applyAlignment="1">
      <alignment horizontal="right"/>
    </xf>
    <xf numFmtId="37" fontId="11" fillId="0" borderId="38"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14" xfId="13" applyNumberFormat="1" applyFont="1" applyBorder="1" applyAlignment="1">
      <alignment horizontal="center"/>
    </xf>
    <xf numFmtId="0" fontId="12" fillId="2" borderId="14" xfId="13" applyFont="1" applyBorder="1" applyAlignment="1">
      <alignment horizontal="center"/>
    </xf>
    <xf numFmtId="37" fontId="7" fillId="0" borderId="0" xfId="13" applyNumberFormat="1" applyFont="1" applyFill="1" applyAlignment="1">
      <alignment horizontal="left"/>
    </xf>
    <xf numFmtId="0" fontId="17" fillId="0" borderId="0" xfId="13" applyFill="1"/>
    <xf numFmtId="37" fontId="65"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14" xfId="13" applyNumberFormat="1" applyFont="1" applyBorder="1"/>
    <xf numFmtId="37" fontId="7" fillId="2" borderId="0" xfId="13" applyNumberFormat="1" applyFont="1"/>
    <xf numFmtId="37" fontId="7" fillId="2" borderId="1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6"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4" borderId="0" xfId="8" applyNumberFormat="1" applyFont="1" applyFill="1" applyAlignment="1" applyProtection="1">
      <alignment horizontal="right" vertical="top"/>
    </xf>
    <xf numFmtId="37" fontId="35" fillId="4"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5" fillId="0" borderId="0" xfId="13" applyFont="1" applyFill="1" applyAlignment="1">
      <alignment horizontal="left" vertical="top" wrapText="1"/>
    </xf>
    <xf numFmtId="0" fontId="35" fillId="0" borderId="0" xfId="0" applyFont="1"/>
    <xf numFmtId="37" fontId="11" fillId="0" borderId="16" xfId="13" applyNumberFormat="1" applyFont="1" applyFill="1" applyBorder="1"/>
    <xf numFmtId="37" fontId="35" fillId="4" borderId="0" xfId="8" applyNumberFormat="1" applyFont="1" applyFill="1" applyAlignment="1" applyProtection="1">
      <alignment horizontal="left"/>
    </xf>
    <xf numFmtId="37" fontId="11" fillId="0" borderId="14" xfId="13" applyNumberFormat="1" applyFont="1" applyFill="1" applyBorder="1"/>
    <xf numFmtId="37" fontId="11" fillId="2" borderId="23" xfId="13" applyNumberFormat="1" applyFont="1" applyBorder="1" applyAlignment="1">
      <alignment horizontal="right"/>
    </xf>
    <xf numFmtId="1" fontId="35" fillId="4" borderId="0" xfId="8" applyNumberFormat="1" applyFont="1" applyFill="1" applyAlignment="1" applyProtection="1">
      <alignment horizontal="right" vertical="top"/>
    </xf>
    <xf numFmtId="37" fontId="35" fillId="4" borderId="0" xfId="8" applyNumberFormat="1" applyFont="1" applyFill="1" applyProtection="1"/>
    <xf numFmtId="37" fontId="7" fillId="2" borderId="16" xfId="13" applyNumberFormat="1" applyFont="1" applyBorder="1"/>
    <xf numFmtId="1" fontId="35" fillId="4" borderId="0" xfId="8" applyNumberFormat="1" applyFont="1" applyFill="1" applyAlignment="1" applyProtection="1">
      <alignment horizontal="right"/>
    </xf>
    <xf numFmtId="37" fontId="11" fillId="2" borderId="0" xfId="13" applyNumberFormat="1" applyFont="1" applyAlignment="1">
      <alignment horizontal="left" vertical="top"/>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5"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18" xfId="13" applyNumberFormat="1" applyFont="1" applyBorder="1"/>
    <xf numFmtId="37" fontId="7" fillId="0" borderId="0" xfId="13" applyNumberFormat="1" applyFont="1" applyFill="1" applyAlignment="1">
      <alignment horizontal="left" vertical="top"/>
    </xf>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5"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4" borderId="0" xfId="8" quotePrefix="1" applyNumberFormat="1" applyFont="1" applyFill="1" applyAlignment="1" applyProtection="1">
      <alignment horizontal="right" vertical="top"/>
    </xf>
    <xf numFmtId="37" fontId="11" fillId="0" borderId="18"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23" xfId="0" applyNumberFormat="1" applyFont="1" applyBorder="1"/>
    <xf numFmtId="0" fontId="7" fillId="0" borderId="0" xfId="21" quotePrefix="1" applyFont="1" applyFill="1" applyAlignment="1">
      <alignment horizontal="left" vertical="top" wrapText="1"/>
    </xf>
    <xf numFmtId="37" fontId="7" fillId="0" borderId="18" xfId="0" applyNumberFormat="1" applyFont="1" applyBorder="1"/>
    <xf numFmtId="0" fontId="65" fillId="0" borderId="0" xfId="0" applyFont="1" applyAlignment="1">
      <alignment vertical="top"/>
    </xf>
    <xf numFmtId="0" fontId="7" fillId="5" borderId="0" xfId="21" applyFont="1" applyFill="1" applyAlignment="1">
      <alignment horizontal="left" vertical="top"/>
    </xf>
    <xf numFmtId="49" fontId="11" fillId="0" borderId="0" xfId="13" quotePrefix="1" applyNumberFormat="1" applyFont="1" applyFill="1" applyAlignment="1">
      <alignment horizontal="right"/>
    </xf>
    <xf numFmtId="37" fontId="7" fillId="2" borderId="0" xfId="13" applyNumberFormat="1" applyFont="1" applyAlignment="1">
      <alignment horizontal="left"/>
    </xf>
    <xf numFmtId="0" fontId="9" fillId="0" borderId="0" xfId="13" applyFont="1" applyFill="1" applyAlignment="1">
      <alignment wrapText="1"/>
    </xf>
    <xf numFmtId="37" fontId="7" fillId="0" borderId="0" xfId="13" applyNumberFormat="1" applyFont="1" applyFill="1" applyAlignment="1">
      <alignment horizontal="right"/>
    </xf>
    <xf numFmtId="1" fontId="11" fillId="0" borderId="0" xfId="13" quotePrefix="1" applyNumberFormat="1" applyFont="1" applyFill="1" applyAlignment="1">
      <alignment horizontal="right"/>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3"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9" fillId="2" borderId="0" xfId="13" applyNumberFormat="1" applyFont="1" applyAlignment="1">
      <alignment horizontal="left"/>
    </xf>
    <xf numFmtId="37" fontId="23" fillId="2" borderId="0" xfId="13" applyNumberFormat="1" applyFont="1"/>
    <xf numFmtId="37" fontId="23" fillId="2" borderId="14" xfId="13" applyNumberFormat="1" applyFont="1" applyBorder="1" applyAlignment="1">
      <alignment horizontal="left"/>
    </xf>
    <xf numFmtId="37" fontId="29" fillId="2" borderId="0" xfId="13" applyNumberFormat="1" applyFont="1" applyAlignment="1">
      <alignment horizontal="center"/>
    </xf>
    <xf numFmtId="37" fontId="29" fillId="2" borderId="0" xfId="13" applyNumberFormat="1" applyFont="1" applyAlignment="1">
      <alignment horizontal="right"/>
    </xf>
    <xf numFmtId="37" fontId="23" fillId="2" borderId="1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38"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center"/>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90"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4" borderId="0" xfId="8" applyNumberFormat="1" applyFont="1" applyFill="1" applyAlignment="1" applyProtection="1">
      <alignment horizontal="right"/>
    </xf>
    <xf numFmtId="0" fontId="3" fillId="2" borderId="0" xfId="13" applyFont="1"/>
    <xf numFmtId="37" fontId="3" fillId="0" borderId="18" xfId="0" applyNumberFormat="1" applyFont="1" applyBorder="1"/>
    <xf numFmtId="37" fontId="3" fillId="0" borderId="23" xfId="0" applyNumberFormat="1" applyFont="1" applyBorder="1"/>
    <xf numFmtId="37" fontId="3" fillId="0" borderId="22" xfId="0" applyNumberFormat="1" applyFont="1" applyBorder="1"/>
    <xf numFmtId="37" fontId="3" fillId="0" borderId="22" xfId="0" applyNumberFormat="1" applyFont="1" applyBorder="1" applyAlignment="1">
      <alignment horizontal="right"/>
    </xf>
    <xf numFmtId="49" fontId="10" fillId="4"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23"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6" fillId="0" borderId="0" xfId="21" quotePrefix="1" applyFont="1" applyFill="1" applyAlignment="1">
      <alignment horizontal="right"/>
    </xf>
    <xf numFmtId="49" fontId="66"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49" fontId="3" fillId="0" borderId="0" xfId="13" quotePrefix="1" applyNumberFormat="1" applyFont="1" applyFill="1" applyAlignment="1">
      <alignment horizontal="left"/>
    </xf>
    <xf numFmtId="0" fontId="35" fillId="0" borderId="0" xfId="0" quotePrefix="1" applyFont="1"/>
    <xf numFmtId="37" fontId="3" fillId="0" borderId="46" xfId="0" applyNumberFormat="1" applyFont="1" applyBorder="1"/>
    <xf numFmtId="0" fontId="66" fillId="0" borderId="0" xfId="0" quotePrefix="1" applyFont="1" applyAlignment="1">
      <alignment vertical="top"/>
    </xf>
    <xf numFmtId="0" fontId="66" fillId="0" borderId="0" xfId="0" applyFont="1" applyAlignment="1">
      <alignment vertical="top"/>
    </xf>
    <xf numFmtId="49" fontId="89" fillId="0" borderId="0" xfId="13" applyNumberFormat="1" applyFont="1" applyFill="1" applyAlignment="1">
      <alignment horizontal="right"/>
    </xf>
    <xf numFmtId="0" fontId="89" fillId="0" borderId="0" xfId="0" quotePrefix="1" applyFont="1" applyAlignment="1">
      <alignment vertical="top"/>
    </xf>
    <xf numFmtId="0" fontId="89"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6" xfId="0" applyFont="1" applyBorder="1"/>
    <xf numFmtId="0" fontId="2" fillId="0" borderId="16" xfId="0" applyFont="1" applyBorder="1"/>
    <xf numFmtId="0" fontId="7" fillId="0" borderId="6" xfId="0" applyFont="1" applyBorder="1" applyAlignment="1">
      <alignment horizontal="centerContinuous"/>
    </xf>
    <xf numFmtId="0" fontId="0" fillId="0" borderId="1" xfId="0" applyBorder="1" applyAlignment="1">
      <alignment horizontal="centerContinuous"/>
    </xf>
    <xf numFmtId="0" fontId="7" fillId="0" borderId="6" xfId="0" applyFont="1" applyBorder="1" applyAlignment="1">
      <alignment horizontal="center"/>
    </xf>
    <xf numFmtId="0" fontId="0" fillId="0" borderId="4" xfId="0" applyBorder="1" applyAlignment="1">
      <alignment horizontal="centerContinuous"/>
    </xf>
    <xf numFmtId="0" fontId="2" fillId="0" borderId="7" xfId="0" applyFont="1" applyBorder="1"/>
    <xf numFmtId="0" fontId="9" fillId="0" borderId="7" xfId="0" applyFont="1" applyBorder="1"/>
    <xf numFmtId="49" fontId="2" fillId="0" borderId="0" xfId="0" applyNumberFormat="1" applyFont="1"/>
    <xf numFmtId="49" fontId="2" fillId="0" borderId="0" xfId="0" applyNumberFormat="1" applyFont="1" applyAlignment="1">
      <alignment horizontal="left"/>
    </xf>
    <xf numFmtId="3" fontId="7" fillId="9" borderId="13" xfId="0" applyNumberFormat="1" applyFont="1" applyFill="1" applyBorder="1"/>
    <xf numFmtId="0" fontId="9" fillId="0" borderId="15" xfId="0" applyFont="1" applyBorder="1"/>
    <xf numFmtId="0" fontId="7" fillId="0" borderId="8" xfId="0" applyFont="1" applyBorder="1"/>
    <xf numFmtId="49" fontId="7" fillId="0" borderId="8" xfId="0" applyNumberFormat="1" applyFont="1" applyBorder="1" applyAlignment="1">
      <alignment horizontal="right"/>
    </xf>
    <xf numFmtId="3" fontId="7" fillId="9" borderId="13" xfId="0" applyNumberFormat="1" applyFont="1" applyFill="1" applyBorder="1" applyAlignment="1">
      <alignment horizontal="right"/>
    </xf>
    <xf numFmtId="49" fontId="2" fillId="0" borderId="1" xfId="0" applyNumberFormat="1" applyFont="1" applyBorder="1"/>
    <xf numFmtId="3" fontId="7" fillId="2" borderId="13" xfId="0" applyNumberFormat="1" applyFont="1" applyFill="1" applyBorder="1" applyAlignment="1">
      <alignment horizontal="right"/>
    </xf>
    <xf numFmtId="37" fontId="12" fillId="2" borderId="0" xfId="14" applyNumberFormat="1" applyFont="1" applyAlignment="1">
      <alignment horizontal="centerContinuous"/>
    </xf>
    <xf numFmtId="49" fontId="5" fillId="0" borderId="68" xfId="0" applyNumberFormat="1" applyFont="1" applyBorder="1" applyAlignment="1">
      <alignment horizontal="center"/>
    </xf>
    <xf numFmtId="37" fontId="20" fillId="2" borderId="0" xfId="14" applyNumberFormat="1" applyFont="1" applyAlignment="1">
      <alignment horizontal="centerContinuous"/>
    </xf>
    <xf numFmtId="0" fontId="75" fillId="0" borderId="0" xfId="0" applyFont="1"/>
    <xf numFmtId="0" fontId="19" fillId="2" borderId="0" xfId="14"/>
    <xf numFmtId="0" fontId="14" fillId="0" borderId="0" xfId="0" applyFont="1" applyAlignment="1">
      <alignment horizontal="right" wrapText="1"/>
    </xf>
    <xf numFmtId="0" fontId="5" fillId="0" borderId="38"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5" fillId="2" borderId="0" xfId="13" applyFont="1"/>
    <xf numFmtId="0" fontId="95" fillId="2" borderId="0" xfId="13" applyFont="1"/>
    <xf numFmtId="0" fontId="5" fillId="2" borderId="0" xfId="14" applyFont="1"/>
    <xf numFmtId="37" fontId="13" fillId="2" borderId="0" xfId="14" applyNumberFormat="1" applyFont="1"/>
    <xf numFmtId="0" fontId="84" fillId="2" borderId="0" xfId="13" applyFont="1" applyAlignment="1">
      <alignment wrapText="1"/>
    </xf>
    <xf numFmtId="37" fontId="12" fillId="2" borderId="0" xfId="14" applyNumberFormat="1" applyFont="1"/>
    <xf numFmtId="0" fontId="43" fillId="4" borderId="26" xfId="8" applyFont="1" applyFill="1" applyBorder="1" applyProtection="1"/>
    <xf numFmtId="0" fontId="19" fillId="0" borderId="18" xfId="14" applyFill="1" applyBorder="1"/>
    <xf numFmtId="37" fontId="12" fillId="0" borderId="18" xfId="14" applyNumberFormat="1" applyFont="1" applyFill="1" applyBorder="1" applyAlignment="1">
      <alignment horizontal="center" vertical="center"/>
    </xf>
    <xf numFmtId="37" fontId="12" fillId="0" borderId="50" xfId="14" applyNumberFormat="1" applyFont="1" applyFill="1" applyBorder="1" applyAlignment="1">
      <alignment horizontal="center" vertical="center"/>
    </xf>
    <xf numFmtId="37" fontId="12" fillId="0" borderId="26" xfId="14" applyNumberFormat="1" applyFont="1" applyFill="1" applyBorder="1" applyAlignment="1">
      <alignment horizontal="left"/>
    </xf>
    <xf numFmtId="0" fontId="7" fillId="0" borderId="18" xfId="0" applyFont="1" applyBorder="1" applyAlignment="1">
      <alignment horizontal="left"/>
    </xf>
    <xf numFmtId="0" fontId="7" fillId="0" borderId="18" xfId="0" applyFont="1" applyBorder="1"/>
    <xf numFmtId="0" fontId="7" fillId="0" borderId="50" xfId="0" applyFont="1" applyBorder="1"/>
    <xf numFmtId="37" fontId="12" fillId="2" borderId="2" xfId="14" applyNumberFormat="1" applyFont="1" applyBorder="1"/>
    <xf numFmtId="0" fontId="14" fillId="0" borderId="0" xfId="14" applyFont="1" applyFill="1" applyAlignment="1">
      <alignment horizontal="center" vertical="top"/>
    </xf>
    <xf numFmtId="0" fontId="14" fillId="0" borderId="28" xfId="14" applyFont="1" applyFill="1" applyBorder="1" applyAlignment="1">
      <alignment horizontal="center" vertical="top"/>
    </xf>
    <xf numFmtId="37" fontId="5" fillId="0" borderId="2" xfId="14" applyNumberFormat="1" applyFont="1" applyFill="1" applyBorder="1" applyAlignment="1">
      <alignment horizontal="left"/>
    </xf>
    <xf numFmtId="0" fontId="19" fillId="0" borderId="0" xfId="14" applyFill="1"/>
    <xf numFmtId="0" fontId="5" fillId="0" borderId="0" xfId="0" applyFont="1" applyAlignment="1">
      <alignment horizontal="right"/>
    </xf>
    <xf numFmtId="38" fontId="5" fillId="0" borderId="29" xfId="0" applyNumberFormat="1" applyFont="1" applyBorder="1"/>
    <xf numFmtId="172" fontId="13" fillId="0" borderId="30" xfId="14" applyNumberFormat="1" applyFont="1" applyFill="1" applyBorder="1"/>
    <xf numFmtId="0" fontId="5" fillId="2" borderId="21" xfId="14" applyFont="1" applyBorder="1"/>
    <xf numFmtId="176" fontId="7" fillId="0" borderId="0" xfId="0" applyNumberFormat="1" applyFont="1" applyBorder="1"/>
    <xf numFmtId="171" fontId="5" fillId="0" borderId="66" xfId="0" applyNumberFormat="1" applyFont="1" applyBorder="1"/>
    <xf numFmtId="171" fontId="5" fillId="0" borderId="73" xfId="0" applyNumberFormat="1" applyFont="1" applyBorder="1"/>
    <xf numFmtId="37" fontId="13" fillId="0" borderId="2" xfId="14" applyNumberFormat="1" applyFont="1" applyFill="1" applyBorder="1" applyAlignment="1">
      <alignment horizontal="left"/>
    </xf>
    <xf numFmtId="37" fontId="5" fillId="0" borderId="29" xfId="0" applyNumberFormat="1" applyFont="1" applyBorder="1"/>
    <xf numFmtId="37" fontId="12" fillId="2" borderId="26" xfId="14" applyNumberFormat="1" applyFont="1" applyBorder="1"/>
    <xf numFmtId="0" fontId="19" fillId="2" borderId="18" xfId="14" applyBorder="1"/>
    <xf numFmtId="37" fontId="12" fillId="0" borderId="18" xfId="14" applyNumberFormat="1" applyFont="1" applyFill="1" applyBorder="1" applyAlignment="1">
      <alignment horizontal="center"/>
    </xf>
    <xf numFmtId="37" fontId="12" fillId="0" borderId="50" xfId="14" applyNumberFormat="1" applyFont="1" applyFill="1" applyBorder="1" applyAlignment="1">
      <alignment horizontal="center"/>
    </xf>
    <xf numFmtId="9" fontId="5" fillId="0" borderId="29" xfId="1" applyFont="1" applyFill="1" applyBorder="1" applyProtection="1"/>
    <xf numFmtId="0" fontId="5" fillId="0" borderId="2" xfId="0" quotePrefix="1" applyFont="1" applyBorder="1" applyAlignment="1">
      <alignment horizontal="left"/>
    </xf>
    <xf numFmtId="0" fontId="19" fillId="2" borderId="28" xfId="14" applyBorder="1"/>
    <xf numFmtId="0" fontId="5" fillId="2" borderId="0" xfId="14" applyFont="1" applyAlignment="1">
      <alignment horizontal="left"/>
    </xf>
    <xf numFmtId="0" fontId="5" fillId="2" borderId="18" xfId="14" applyFont="1" applyBorder="1"/>
    <xf numFmtId="0" fontId="19" fillId="2" borderId="50" xfId="14" applyBorder="1"/>
    <xf numFmtId="0" fontId="14" fillId="2" borderId="2" xfId="14" applyFont="1" applyBorder="1"/>
    <xf numFmtId="0" fontId="14" fillId="2" borderId="29" xfId="13" applyFont="1" applyBorder="1" applyAlignment="1">
      <alignment horizontal="center"/>
    </xf>
    <xf numFmtId="37" fontId="13" fillId="2" borderId="12" xfId="14" applyNumberFormat="1" applyFont="1" applyBorder="1"/>
    <xf numFmtId="37" fontId="13" fillId="2" borderId="56" xfId="14" applyNumberFormat="1" applyFont="1" applyBorder="1"/>
    <xf numFmtId="37" fontId="63" fillId="2" borderId="33" xfId="15" applyNumberFormat="1" applyFont="1" applyBorder="1"/>
    <xf numFmtId="37" fontId="63" fillId="2" borderId="21" xfId="14" applyNumberFormat="1" applyFont="1" applyBorder="1"/>
    <xf numFmtId="37" fontId="12" fillId="2" borderId="10" xfId="14" applyNumberFormat="1" applyFont="1" applyBorder="1" applyAlignment="1">
      <alignment horizontal="left"/>
    </xf>
    <xf numFmtId="37" fontId="13" fillId="2" borderId="33" xfId="14" applyNumberFormat="1" applyFont="1" applyBorder="1"/>
    <xf numFmtId="37" fontId="27" fillId="2" borderId="0" xfId="14" applyNumberFormat="1" applyFont="1" applyAlignment="1">
      <alignment horizontal="left" vertical="center"/>
    </xf>
    <xf numFmtId="0" fontId="0" fillId="0" borderId="23" xfId="0" applyBorder="1" applyAlignment="1">
      <alignment horizontal="left" vertical="center" wrapText="1"/>
    </xf>
    <xf numFmtId="37" fontId="27" fillId="2" borderId="23" xfId="14" applyNumberFormat="1" applyFont="1" applyBorder="1" applyAlignment="1">
      <alignment horizontal="left" vertical="center"/>
    </xf>
    <xf numFmtId="0" fontId="0" fillId="0" borderId="23" xfId="0" applyBorder="1"/>
    <xf numFmtId="37" fontId="12" fillId="2" borderId="9" xfId="14" applyNumberFormat="1" applyFont="1" applyBorder="1"/>
    <xf numFmtId="37" fontId="12" fillId="2" borderId="6" xfId="14" applyNumberFormat="1" applyFont="1" applyBorder="1"/>
    <xf numFmtId="37" fontId="12" fillId="2" borderId="16" xfId="14" applyNumberFormat="1" applyFont="1" applyBorder="1"/>
    <xf numFmtId="0" fontId="5" fillId="2" borderId="26" xfId="13" applyFont="1" applyBorder="1"/>
    <xf numFmtId="37" fontId="12" fillId="2" borderId="50" xfId="14" applyNumberFormat="1" applyFont="1" applyBorder="1" applyAlignment="1">
      <alignment horizontal="centerContinuous"/>
    </xf>
    <xf numFmtId="37" fontId="12" fillId="2" borderId="16"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12" xfId="14" applyNumberFormat="1" applyFont="1" applyBorder="1" applyAlignment="1">
      <alignment horizontal="center"/>
    </xf>
    <xf numFmtId="37" fontId="12" fillId="2" borderId="3" xfId="14" applyNumberFormat="1" applyFont="1" applyBorder="1" applyAlignment="1">
      <alignment horizontal="centerContinuous"/>
    </xf>
    <xf numFmtId="37" fontId="12" fillId="2" borderId="14" xfId="14" applyNumberFormat="1" applyFont="1" applyBorder="1" applyAlignment="1">
      <alignment horizontal="centerContinuous"/>
    </xf>
    <xf numFmtId="37" fontId="12" fillId="2" borderId="10" xfId="14" applyNumberFormat="1" applyFont="1" applyBorder="1" applyAlignment="1">
      <alignment horizontal="centerContinuous"/>
    </xf>
    <xf numFmtId="37" fontId="12" fillId="2" borderId="11"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5" xfId="14" applyNumberFormat="1" applyFont="1" applyBorder="1" applyAlignment="1">
      <alignment horizontal="center"/>
    </xf>
    <xf numFmtId="37" fontId="12" fillId="2" borderId="17" xfId="14" applyNumberFormat="1" applyFont="1" applyBorder="1"/>
    <xf numFmtId="37" fontId="13" fillId="0" borderId="12" xfId="14" applyNumberFormat="1" applyFont="1" applyFill="1" applyBorder="1"/>
    <xf numFmtId="37" fontId="12" fillId="2" borderId="0" xfId="14" applyNumberFormat="1" applyFont="1" applyAlignment="1">
      <alignment horizontal="left"/>
    </xf>
    <xf numFmtId="0" fontId="14" fillId="0" borderId="2" xfId="13" applyFont="1" applyFill="1" applyBorder="1"/>
    <xf numFmtId="37" fontId="13" fillId="2" borderId="13" xfId="14" applyNumberFormat="1" applyFont="1" applyBorder="1"/>
    <xf numFmtId="37" fontId="13" fillId="2" borderId="17" xfId="14" applyNumberFormat="1" applyFont="1" applyBorder="1"/>
    <xf numFmtId="165" fontId="13" fillId="2" borderId="1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17" xfId="14" applyNumberFormat="1" applyFont="1" applyFill="1" applyBorder="1"/>
    <xf numFmtId="37" fontId="13" fillId="0" borderId="13" xfId="14" applyNumberFormat="1" applyFont="1" applyFill="1" applyBorder="1"/>
    <xf numFmtId="0" fontId="14" fillId="2" borderId="2" xfId="13" applyFont="1" applyBorder="1" applyAlignment="1">
      <alignment horizontal="left"/>
    </xf>
    <xf numFmtId="37" fontId="5" fillId="2" borderId="13" xfId="14" applyNumberFormat="1" applyFont="1" applyBorder="1"/>
    <xf numFmtId="0" fontId="14" fillId="2" borderId="0" xfId="14" applyFont="1"/>
    <xf numFmtId="0" fontId="14" fillId="0" borderId="0" xfId="14" applyFont="1" applyFill="1"/>
    <xf numFmtId="37" fontId="5" fillId="0" borderId="13" xfId="14" applyNumberFormat="1" applyFont="1" applyFill="1" applyBorder="1"/>
    <xf numFmtId="165" fontId="13" fillId="0" borderId="13" xfId="14" applyNumberFormat="1" applyFont="1" applyFill="1" applyBorder="1" applyAlignment="1">
      <alignment horizontal="right"/>
    </xf>
    <xf numFmtId="37" fontId="5" fillId="0" borderId="17" xfId="14" applyNumberFormat="1" applyFont="1" applyFill="1" applyBorder="1"/>
    <xf numFmtId="165" fontId="13" fillId="0" borderId="17" xfId="14" applyNumberFormat="1" applyFont="1" applyFill="1" applyBorder="1" applyAlignment="1">
      <alignment horizontal="right"/>
    </xf>
    <xf numFmtId="0" fontId="5" fillId="2" borderId="19"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37" fontId="12" fillId="2" borderId="0" xfId="15" applyNumberFormat="1" applyFont="1" applyAlignment="1">
      <alignment horizontal="right"/>
    </xf>
    <xf numFmtId="0" fontId="19" fillId="2" borderId="0" xfId="15"/>
    <xf numFmtId="37" fontId="12" fillId="0" borderId="0" xfId="15" applyNumberFormat="1" applyFont="1" applyFill="1" applyAlignment="1">
      <alignment horizontal="right"/>
    </xf>
    <xf numFmtId="0" fontId="5" fillId="2" borderId="1" xfId="15" applyFont="1" applyBorder="1"/>
    <xf numFmtId="37" fontId="12" fillId="2" borderId="6" xfId="15" applyNumberFormat="1" applyFont="1" applyBorder="1" applyAlignment="1">
      <alignment horizontal="center"/>
    </xf>
    <xf numFmtId="37" fontId="12" fillId="2" borderId="64" xfId="15" applyNumberFormat="1" applyFont="1" applyBorder="1" applyAlignment="1">
      <alignment horizontal="center"/>
    </xf>
    <xf numFmtId="49" fontId="5" fillId="2" borderId="0" xfId="15" applyNumberFormat="1" applyFont="1" applyAlignment="1">
      <alignment horizontal="center"/>
    </xf>
    <xf numFmtId="37" fontId="12" fillId="2" borderId="7" xfId="15" applyNumberFormat="1" applyFont="1" applyBorder="1" applyAlignment="1">
      <alignment horizontal="center"/>
    </xf>
    <xf numFmtId="37" fontId="12" fillId="2" borderId="65" xfId="15" applyNumberFormat="1" applyFont="1" applyBorder="1" applyAlignment="1">
      <alignment horizontal="center"/>
    </xf>
    <xf numFmtId="0" fontId="14" fillId="0" borderId="27" xfId="0" applyFont="1" applyBorder="1"/>
    <xf numFmtId="0" fontId="14" fillId="0" borderId="45" xfId="0" applyFont="1" applyBorder="1" applyAlignment="1">
      <alignment horizontal="center"/>
    </xf>
    <xf numFmtId="0" fontId="14" fillId="0" borderId="33" xfId="0" applyFont="1" applyBorder="1" applyAlignment="1">
      <alignment horizontal="center"/>
    </xf>
    <xf numFmtId="37" fontId="12" fillId="2" borderId="3" xfId="15" applyNumberFormat="1" applyFont="1" applyBorder="1"/>
    <xf numFmtId="0" fontId="5" fillId="2" borderId="4" xfId="15" applyFont="1" applyBorder="1"/>
    <xf numFmtId="37" fontId="12" fillId="2" borderId="3" xfId="15" applyNumberFormat="1" applyFont="1" applyBorder="1" applyAlignment="1">
      <alignment horizontal="center"/>
    </xf>
    <xf numFmtId="37" fontId="12" fillId="2" borderId="17" xfId="15" applyNumberFormat="1" applyFont="1" applyBorder="1" applyAlignment="1">
      <alignment horizontal="center"/>
    </xf>
    <xf numFmtId="37" fontId="12" fillId="2" borderId="66" xfId="15" applyNumberFormat="1" applyFont="1" applyBorder="1" applyAlignment="1">
      <alignment horizontal="center"/>
    </xf>
    <xf numFmtId="0" fontId="5" fillId="0" borderId="25" xfId="0" applyFont="1" applyBorder="1"/>
    <xf numFmtId="3" fontId="5" fillId="2" borderId="45" xfId="15" applyNumberFormat="1" applyFont="1" applyBorder="1"/>
    <xf numFmtId="3" fontId="5" fillId="2" borderId="33" xfId="15" applyNumberFormat="1" applyFont="1" applyBorder="1"/>
    <xf numFmtId="0" fontId="5" fillId="0" borderId="0" xfId="15" applyFont="1" applyFill="1"/>
    <xf numFmtId="37" fontId="13" fillId="0" borderId="6" xfId="15" applyNumberFormat="1" applyFont="1" applyFill="1" applyBorder="1"/>
    <xf numFmtId="165" fontId="13" fillId="0" borderId="32" xfId="15" applyNumberFormat="1" applyFont="1" applyFill="1" applyBorder="1"/>
    <xf numFmtId="37" fontId="13" fillId="0" borderId="2" xfId="15" applyNumberFormat="1" applyFont="1" applyFill="1" applyBorder="1"/>
    <xf numFmtId="37" fontId="13" fillId="0" borderId="33" xfId="15" applyNumberFormat="1" applyFont="1" applyFill="1" applyBorder="1"/>
    <xf numFmtId="37" fontId="13" fillId="3" borderId="2" xfId="15" applyNumberFormat="1" applyFont="1" applyFill="1" applyBorder="1"/>
    <xf numFmtId="0" fontId="5" fillId="3" borderId="0" xfId="15" applyFont="1" applyFill="1"/>
    <xf numFmtId="37" fontId="13" fillId="2" borderId="84" xfId="15" applyNumberFormat="1" applyFont="1" applyBorder="1"/>
    <xf numFmtId="165" fontId="13" fillId="2" borderId="32" xfId="15" applyNumberFormat="1" applyFont="1" applyBorder="1"/>
    <xf numFmtId="0" fontId="67" fillId="0" borderId="28" xfId="15" applyFont="1" applyFill="1" applyBorder="1" applyAlignment="1">
      <alignment horizontal="center" vertical="center" wrapText="1"/>
    </xf>
    <xf numFmtId="0" fontId="5" fillId="0" borderId="2" xfId="0" applyFont="1" applyBorder="1"/>
    <xf numFmtId="0" fontId="5" fillId="0" borderId="28" xfId="0" applyFont="1" applyBorder="1"/>
    <xf numFmtId="0" fontId="63" fillId="0" borderId="25" xfId="0" applyFont="1" applyBorder="1"/>
    <xf numFmtId="37" fontId="13" fillId="2" borderId="5" xfId="15" applyNumberFormat="1" applyFont="1" applyBorder="1"/>
    <xf numFmtId="0" fontId="5" fillId="2" borderId="0" xfId="15" applyFont="1"/>
    <xf numFmtId="165" fontId="13" fillId="2" borderId="67" xfId="15" applyNumberFormat="1" applyFont="1" applyBorder="1"/>
    <xf numFmtId="0" fontId="5" fillId="0" borderId="25" xfId="0" applyFont="1" applyBorder="1" applyAlignment="1">
      <alignment horizontal="left"/>
    </xf>
    <xf numFmtId="38" fontId="13" fillId="2" borderId="5" xfId="15" applyNumberFormat="1" applyFont="1" applyBorder="1"/>
    <xf numFmtId="0" fontId="5" fillId="0" borderId="9" xfId="0" applyFont="1" applyBorder="1"/>
    <xf numFmtId="0" fontId="5" fillId="0" borderId="17" xfId="15" applyFont="1" applyFill="1" applyBorder="1"/>
    <xf numFmtId="165" fontId="13" fillId="0" borderId="67" xfId="15" applyNumberFormat="1" applyFont="1" applyFill="1" applyBorder="1"/>
    <xf numFmtId="37" fontId="12" fillId="2" borderId="0" xfId="15" applyNumberFormat="1" applyFont="1"/>
    <xf numFmtId="37" fontId="13" fillId="0" borderId="7" xfId="15" applyNumberFormat="1" applyFont="1" applyFill="1" applyBorder="1" applyAlignment="1">
      <alignment horizontal="left"/>
    </xf>
    <xf numFmtId="37" fontId="13" fillId="0" borderId="0" xfId="15" applyNumberFormat="1" applyFont="1" applyFill="1"/>
    <xf numFmtId="37" fontId="13" fillId="0" borderId="85" xfId="15" applyNumberFormat="1" applyFont="1" applyFill="1" applyBorder="1"/>
    <xf numFmtId="37" fontId="13" fillId="2" borderId="7" xfId="15" applyNumberFormat="1" applyFont="1" applyBorder="1"/>
    <xf numFmtId="37" fontId="13" fillId="2" borderId="0" xfId="15" applyNumberFormat="1" applyFont="1" applyAlignment="1">
      <alignment horizontal="left"/>
    </xf>
    <xf numFmtId="37" fontId="13" fillId="0" borderId="7" xfId="15" applyNumberFormat="1" applyFont="1" applyFill="1" applyBorder="1"/>
    <xf numFmtId="3" fontId="5" fillId="0" borderId="45" xfId="0" applyNumberFormat="1" applyFont="1" applyBorder="1"/>
    <xf numFmtId="3" fontId="5" fillId="0" borderId="33" xfId="0" applyNumberFormat="1" applyFont="1" applyBorder="1"/>
    <xf numFmtId="0" fontId="7" fillId="0" borderId="2" xfId="0" applyFont="1" applyBorder="1" applyAlignment="1">
      <alignment vertical="top" wrapText="1"/>
    </xf>
    <xf numFmtId="0" fontId="63" fillId="0" borderId="25" xfId="0" applyFont="1" applyBorder="1" applyAlignment="1">
      <alignment horizontal="left"/>
    </xf>
    <xf numFmtId="37" fontId="5" fillId="0" borderId="7" xfId="15" applyNumberFormat="1" applyFont="1" applyFill="1" applyBorder="1"/>
    <xf numFmtId="37" fontId="13" fillId="0" borderId="20" xfId="15" applyNumberFormat="1" applyFont="1" applyFill="1" applyBorder="1"/>
    <xf numFmtId="37" fontId="13" fillId="2" borderId="3" xfId="15" applyNumberFormat="1" applyFont="1" applyBorder="1" applyAlignment="1">
      <alignment horizontal="left"/>
    </xf>
    <xf numFmtId="37" fontId="13" fillId="2" borderId="14" xfId="15" applyNumberFormat="1" applyFont="1" applyBorder="1"/>
    <xf numFmtId="37" fontId="13" fillId="0" borderId="81" xfId="15" applyNumberFormat="1" applyFont="1" applyFill="1" applyBorder="1"/>
    <xf numFmtId="49" fontId="5" fillId="0" borderId="25" xfId="0" applyNumberFormat="1" applyFont="1" applyBorder="1" applyAlignment="1">
      <alignment horizontal="left"/>
    </xf>
    <xf numFmtId="37" fontId="12" fillId="0" borderId="17" xfId="15" applyNumberFormat="1" applyFont="1" applyFill="1" applyBorder="1" applyAlignment="1">
      <alignment horizontal="center" vertical="top" wrapText="1"/>
    </xf>
    <xf numFmtId="37" fontId="12" fillId="0" borderId="3" xfId="15" applyNumberFormat="1" applyFont="1" applyFill="1" applyBorder="1" applyAlignment="1">
      <alignment horizontal="center" wrapText="1"/>
    </xf>
    <xf numFmtId="37" fontId="12" fillId="0" borderId="3" xfId="15" applyNumberFormat="1" applyFont="1" applyFill="1" applyBorder="1" applyAlignment="1">
      <alignment horizontal="center"/>
    </xf>
    <xf numFmtId="37" fontId="13" fillId="2" borderId="6" xfId="15" applyNumberFormat="1" applyFont="1" applyBorder="1"/>
    <xf numFmtId="37" fontId="13" fillId="2" borderId="4" xfId="15" applyNumberFormat="1" applyFont="1" applyBorder="1"/>
    <xf numFmtId="0" fontId="5" fillId="0" borderId="52" xfId="0" applyFont="1" applyBorder="1" applyAlignment="1">
      <alignment horizontal="left"/>
    </xf>
    <xf numFmtId="3" fontId="5" fillId="2" borderId="22" xfId="15" applyNumberFormat="1" applyFont="1" applyBorder="1"/>
    <xf numFmtId="37" fontId="13" fillId="2" borderId="13" xfId="15" applyNumberFormat="1" applyFont="1" applyBorder="1" applyAlignment="1">
      <alignment horizontal="right"/>
    </xf>
    <xf numFmtId="37" fontId="13" fillId="2" borderId="15" xfId="15" applyNumberFormat="1" applyFont="1" applyBorder="1" applyAlignment="1">
      <alignment horizontal="center"/>
    </xf>
    <xf numFmtId="167" fontId="13" fillId="0" borderId="4" xfId="15" applyNumberFormat="1" applyFont="1" applyFill="1" applyBorder="1" applyAlignment="1">
      <alignment horizontal="right"/>
    </xf>
    <xf numFmtId="37" fontId="13" fillId="0" borderId="17" xfId="15" applyNumberFormat="1" applyFont="1" applyFill="1" applyBorder="1" applyAlignment="1">
      <alignment horizontal="right"/>
    </xf>
    <xf numFmtId="37" fontId="13" fillId="2" borderId="14" xfId="15" applyNumberFormat="1" applyFont="1" applyBorder="1" applyAlignment="1">
      <alignment horizontal="center"/>
    </xf>
    <xf numFmtId="37" fontId="13" fillId="2" borderId="7"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8" xfId="15" applyNumberFormat="1" applyFont="1" applyBorder="1" applyAlignment="1">
      <alignment horizontal="center"/>
    </xf>
    <xf numFmtId="37" fontId="13" fillId="2" borderId="2" xfId="15" applyNumberFormat="1" applyFont="1" applyBorder="1"/>
    <xf numFmtId="0" fontId="5" fillId="2" borderId="0" xfId="15" applyFont="1" applyAlignment="1">
      <alignment horizontal="center"/>
    </xf>
    <xf numFmtId="37" fontId="13" fillId="2" borderId="2" xfId="15" applyNumberFormat="1" applyFont="1" applyBorder="1" applyAlignment="1">
      <alignment horizontal="center"/>
    </xf>
    <xf numFmtId="0" fontId="5" fillId="2" borderId="2" xfId="15" applyFont="1" applyBorder="1"/>
    <xf numFmtId="37" fontId="13" fillId="2" borderId="9"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2" xfId="15" applyNumberFormat="1" applyFont="1" applyBorder="1" applyAlignment="1">
      <alignment horizontal="left"/>
    </xf>
    <xf numFmtId="0" fontId="5" fillId="2" borderId="0" xfId="15" applyFont="1" applyAlignment="1">
      <alignment horizontal="right"/>
    </xf>
    <xf numFmtId="0" fontId="5" fillId="2" borderId="9" xfId="15" applyFont="1" applyBorder="1" applyAlignment="1">
      <alignment horizontal="right"/>
    </xf>
    <xf numFmtId="0" fontId="5" fillId="2" borderId="4" xfId="15" applyFont="1" applyBorder="1" applyAlignment="1">
      <alignment horizontal="right"/>
    </xf>
    <xf numFmtId="0" fontId="5" fillId="2" borderId="58" xfId="15" applyFont="1" applyBorder="1" applyAlignment="1">
      <alignment horizontal="center"/>
    </xf>
    <xf numFmtId="167" fontId="13" fillId="2" borderId="39" xfId="15" applyNumberFormat="1" applyFont="1" applyBorder="1" applyAlignment="1">
      <alignment horizontal="right"/>
    </xf>
    <xf numFmtId="37" fontId="13" fillId="2" borderId="10" xfId="15" applyNumberFormat="1" applyFont="1" applyBorder="1" applyAlignment="1">
      <alignment horizontal="left"/>
    </xf>
    <xf numFmtId="0" fontId="5" fillId="2" borderId="23" xfId="15" applyFont="1" applyBorder="1"/>
    <xf numFmtId="0" fontId="5" fillId="2" borderId="11" xfId="15" applyFont="1" applyBorder="1"/>
    <xf numFmtId="167" fontId="13" fillId="2" borderId="19" xfId="15" applyNumberFormat="1" applyFont="1" applyBorder="1" applyAlignment="1">
      <alignment horizontal="right"/>
    </xf>
    <xf numFmtId="0" fontId="3" fillId="0" borderId="38" xfId="0" applyFont="1" applyBorder="1" applyAlignment="1">
      <alignment horizontal="centerContinuous"/>
    </xf>
    <xf numFmtId="0" fontId="9" fillId="0" borderId="0" xfId="0" applyFont="1" applyAlignment="1">
      <alignment horizontal="centerContinuous"/>
    </xf>
    <xf numFmtId="37" fontId="7" fillId="0" borderId="46"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23" xfId="0" applyNumberFormat="1" applyFont="1" applyBorder="1"/>
    <xf numFmtId="0" fontId="9" fillId="0" borderId="0" xfId="0" applyFont="1" applyAlignment="1">
      <alignment vertical="center"/>
    </xf>
    <xf numFmtId="0" fontId="35" fillId="4" borderId="0" xfId="8" applyFont="1" applyFill="1" applyAlignment="1" applyProtection="1">
      <alignment vertical="top"/>
    </xf>
    <xf numFmtId="0" fontId="7" fillId="0" borderId="0" xfId="0" applyFont="1" applyAlignment="1">
      <alignment horizontal="right" wrapText="1"/>
    </xf>
    <xf numFmtId="37" fontId="7" fillId="0" borderId="23" xfId="4" applyNumberFormat="1" applyFont="1" applyBorder="1" applyProtection="1"/>
    <xf numFmtId="37" fontId="7" fillId="0" borderId="48" xfId="4" applyNumberFormat="1" applyFont="1" applyBorder="1" applyProtection="1"/>
    <xf numFmtId="175" fontId="7" fillId="0" borderId="0" xfId="0" applyNumberFormat="1" applyFont="1"/>
    <xf numFmtId="49" fontId="7" fillId="0" borderId="0" xfId="0" quotePrefix="1" applyNumberFormat="1" applyFont="1"/>
    <xf numFmtId="174" fontId="7" fillId="0" borderId="22" xfId="0" applyNumberFormat="1" applyFont="1" applyBorder="1"/>
    <xf numFmtId="0" fontId="7" fillId="0" borderId="0" xfId="0" quotePrefix="1" applyFont="1" applyAlignment="1">
      <alignment horizontal="right" vertical="top"/>
    </xf>
    <xf numFmtId="0" fontId="9" fillId="0" borderId="23" xfId="0" applyFont="1" applyBorder="1" applyAlignment="1">
      <alignment horizontal="center"/>
    </xf>
    <xf numFmtId="0" fontId="6" fillId="5" borderId="76" xfId="0" applyFont="1" applyFill="1" applyBorder="1"/>
    <xf numFmtId="0" fontId="7" fillId="5" borderId="86" xfId="0" applyFont="1" applyFill="1" applyBorder="1"/>
    <xf numFmtId="0" fontId="7" fillId="5" borderId="59" xfId="0" applyFont="1" applyFill="1" applyBorder="1"/>
    <xf numFmtId="0" fontId="7" fillId="5" borderId="87" xfId="0" applyFont="1" applyFill="1" applyBorder="1"/>
    <xf numFmtId="0" fontId="7" fillId="5" borderId="0" xfId="0" applyFont="1" applyFill="1" applyAlignment="1">
      <alignment vertical="center"/>
    </xf>
    <xf numFmtId="0" fontId="7" fillId="5" borderId="0" xfId="0" applyFont="1" applyFill="1"/>
    <xf numFmtId="39" fontId="7" fillId="5" borderId="0" xfId="0" applyNumberFormat="1" applyFont="1" applyFill="1" applyAlignment="1">
      <alignment horizontal="right"/>
    </xf>
    <xf numFmtId="43" fontId="7" fillId="5" borderId="57" xfId="4" applyFont="1" applyFill="1" applyBorder="1" applyProtection="1"/>
    <xf numFmtId="0" fontId="7" fillId="5" borderId="88" xfId="0" applyFont="1" applyFill="1" applyBorder="1"/>
    <xf numFmtId="39" fontId="7" fillId="5" borderId="0" xfId="0" applyNumberFormat="1" applyFont="1" applyFill="1"/>
    <xf numFmtId="0" fontId="65" fillId="5" borderId="0" xfId="0" applyFont="1" applyFill="1"/>
    <xf numFmtId="0" fontId="7" fillId="5" borderId="60" xfId="0" applyFont="1" applyFill="1" applyBorder="1"/>
    <xf numFmtId="39" fontId="7" fillId="5" borderId="57" xfId="0" applyNumberFormat="1" applyFont="1" applyFill="1" applyBorder="1"/>
    <xf numFmtId="174" fontId="7" fillId="5" borderId="57" xfId="0" applyNumberFormat="1" applyFont="1" applyFill="1" applyBorder="1"/>
    <xf numFmtId="0" fontId="7" fillId="5" borderId="62" xfId="0" applyFont="1" applyFill="1" applyBorder="1"/>
    <xf numFmtId="0" fontId="7" fillId="5" borderId="75" xfId="0" applyFont="1" applyFill="1" applyBorder="1"/>
    <xf numFmtId="0" fontId="7" fillId="5" borderId="61" xfId="0" applyFont="1" applyFill="1" applyBorder="1"/>
    <xf numFmtId="49" fontId="7" fillId="0" borderId="33" xfId="0" applyNumberFormat="1" applyFont="1" applyBorder="1" applyAlignment="1">
      <alignment horizontal="center"/>
    </xf>
    <xf numFmtId="49" fontId="7" fillId="0" borderId="58" xfId="0" applyNumberFormat="1" applyFont="1" applyBorder="1" applyAlignment="1">
      <alignment horizontal="center"/>
    </xf>
    <xf numFmtId="0" fontId="7" fillId="0" borderId="33" xfId="0" applyFont="1" applyBorder="1" applyAlignment="1">
      <alignment horizontal="center"/>
    </xf>
    <xf numFmtId="0" fontId="104" fillId="0" borderId="2" xfId="0" applyFont="1" applyBorder="1"/>
    <xf numFmtId="0" fontId="74" fillId="4" borderId="0" xfId="8" quotePrefix="1" applyFont="1" applyFill="1" applyProtection="1"/>
    <xf numFmtId="174" fontId="7" fillId="7" borderId="33" xfId="0" applyNumberFormat="1" applyFont="1" applyFill="1" applyBorder="1" applyAlignment="1">
      <alignment horizontal="center"/>
    </xf>
    <xf numFmtId="174" fontId="7" fillId="7" borderId="58" xfId="0" applyNumberFormat="1" applyFont="1" applyFill="1" applyBorder="1" applyAlignment="1">
      <alignment horizontal="center"/>
    </xf>
    <xf numFmtId="174" fontId="7" fillId="0" borderId="33" xfId="0" applyNumberFormat="1" applyFont="1" applyBorder="1" applyAlignment="1">
      <alignment horizontal="right"/>
    </xf>
    <xf numFmtId="174" fontId="7" fillId="0" borderId="33" xfId="0" applyNumberFormat="1" applyFont="1" applyBorder="1"/>
    <xf numFmtId="174" fontId="7" fillId="0" borderId="58" xfId="0" applyNumberFormat="1" applyFont="1" applyBorder="1"/>
    <xf numFmtId="0" fontId="72" fillId="2" borderId="0" xfId="17" applyFont="1"/>
    <xf numFmtId="0" fontId="73" fillId="0" borderId="0" xfId="0" quotePrefix="1" applyFont="1"/>
    <xf numFmtId="0" fontId="74" fillId="0" borderId="0" xfId="0" applyFont="1"/>
    <xf numFmtId="174" fontId="7" fillId="7" borderId="33" xfId="0" applyNumberFormat="1" applyFont="1" applyFill="1" applyBorder="1"/>
    <xf numFmtId="0" fontId="7" fillId="0" borderId="23" xfId="0" applyFont="1" applyBorder="1" applyAlignment="1">
      <alignment vertical="top" wrapText="1"/>
    </xf>
    <xf numFmtId="0" fontId="7" fillId="0" borderId="11" xfId="0" applyFont="1" applyBorder="1" applyAlignment="1">
      <alignment vertical="top" wrapText="1"/>
    </xf>
    <xf numFmtId="0" fontId="9" fillId="0" borderId="33" xfId="0" applyFont="1" applyBorder="1" applyAlignment="1">
      <alignment horizontal="center" wrapText="1"/>
    </xf>
    <xf numFmtId="0" fontId="7" fillId="0" borderId="58" xfId="0" applyFont="1" applyBorder="1" applyAlignment="1">
      <alignment vertical="top"/>
    </xf>
    <xf numFmtId="0" fontId="7" fillId="0" borderId="22" xfId="0" applyFont="1" applyBorder="1"/>
    <xf numFmtId="166" fontId="7" fillId="0" borderId="0" xfId="0" applyNumberFormat="1" applyFont="1" applyAlignment="1">
      <alignment horizontal="right" wrapText="1"/>
    </xf>
    <xf numFmtId="0" fontId="35" fillId="4" borderId="0" xfId="8" quotePrefix="1" applyFont="1" applyFill="1" applyProtection="1"/>
    <xf numFmtId="0" fontId="7" fillId="6" borderId="58" xfId="0" applyFont="1" applyFill="1" applyBorder="1" applyAlignment="1">
      <alignment vertical="top"/>
    </xf>
    <xf numFmtId="0" fontId="7" fillId="6" borderId="22" xfId="0" applyFont="1" applyFill="1" applyBorder="1"/>
    <xf numFmtId="166" fontId="7" fillId="0" borderId="0" xfId="0" applyNumberFormat="1" applyFont="1" applyAlignment="1">
      <alignment horizontal="right"/>
    </xf>
    <xf numFmtId="166" fontId="7" fillId="0" borderId="0" xfId="0" applyNumberFormat="1" applyFont="1"/>
    <xf numFmtId="0" fontId="61" fillId="0" borderId="0" xfId="0" applyFont="1"/>
    <xf numFmtId="0" fontId="7" fillId="14" borderId="22" xfId="0" applyFont="1" applyFill="1" applyBorder="1"/>
    <xf numFmtId="0" fontId="65" fillId="0" borderId="10" xfId="0" applyFont="1" applyBorder="1" applyAlignment="1">
      <alignment vertical="top"/>
    </xf>
    <xf numFmtId="0" fontId="65" fillId="0" borderId="23" xfId="0" applyFont="1" applyBorder="1"/>
    <xf numFmtId="0" fontId="65" fillId="14" borderId="10" xfId="0" applyFont="1" applyFill="1" applyBorder="1" applyAlignment="1">
      <alignment vertical="top"/>
    </xf>
    <xf numFmtId="0" fontId="65" fillId="14" borderId="23" xfId="0" applyFont="1" applyFill="1" applyBorder="1"/>
    <xf numFmtId="0" fontId="7" fillId="0" borderId="2" xfId="0" applyFont="1" applyBorder="1"/>
    <xf numFmtId="0" fontId="65" fillId="0" borderId="0" xfId="0" quotePrefix="1" applyFont="1"/>
    <xf numFmtId="0" fontId="65" fillId="0" borderId="10" xfId="0" applyFont="1" applyBorder="1"/>
    <xf numFmtId="174" fontId="65" fillId="0" borderId="33"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6" borderId="58" xfId="0" applyFont="1" applyFill="1" applyBorder="1"/>
    <xf numFmtId="0" fontId="7" fillId="6" borderId="22" xfId="0" applyFont="1" applyFill="1" applyBorder="1" applyAlignment="1">
      <alignment horizontal="right"/>
    </xf>
    <xf numFmtId="0" fontId="7" fillId="0" borderId="58" xfId="0" applyFont="1" applyBorder="1"/>
    <xf numFmtId="0" fontId="7" fillId="0" borderId="22" xfId="0" applyFont="1" applyBorder="1" applyAlignment="1">
      <alignment horizontal="right"/>
    </xf>
    <xf numFmtId="7" fontId="7" fillId="0" borderId="33" xfId="0" applyNumberFormat="1" applyFont="1" applyBorder="1"/>
    <xf numFmtId="0" fontId="7" fillId="0" borderId="0" xfId="8" quotePrefix="1" applyFont="1" applyFill="1" applyAlignment="1" applyProtection="1">
      <alignment horizontal="left"/>
    </xf>
    <xf numFmtId="0" fontId="7" fillId="0" borderId="45" xfId="0" applyFont="1" applyBorder="1" applyAlignment="1">
      <alignment horizontal="right"/>
    </xf>
    <xf numFmtId="0" fontId="80" fillId="0" borderId="0" xfId="0" applyFont="1" applyAlignment="1">
      <alignment vertical="top"/>
    </xf>
    <xf numFmtId="0" fontId="7" fillId="0" borderId="22" xfId="0" applyFont="1" applyBorder="1" applyAlignment="1">
      <alignment vertical="top"/>
    </xf>
    <xf numFmtId="39" fontId="7" fillId="0" borderId="33" xfId="0" applyNumberFormat="1" applyFont="1" applyBorder="1"/>
    <xf numFmtId="0" fontId="7" fillId="6" borderId="22" xfId="0" applyFont="1" applyFill="1" applyBorder="1" applyAlignment="1">
      <alignment vertical="top"/>
    </xf>
    <xf numFmtId="0" fontId="6" fillId="0" borderId="0" xfId="0" applyFont="1" applyAlignment="1">
      <alignment vertical="top"/>
    </xf>
    <xf numFmtId="0" fontId="30" fillId="0" borderId="0" xfId="8" quotePrefix="1" applyFont="1" applyProtection="1"/>
    <xf numFmtId="0" fontId="30" fillId="4" borderId="0" xfId="8" applyFont="1" applyFill="1" applyProtection="1"/>
    <xf numFmtId="0" fontId="7" fillId="0" borderId="58" xfId="0" applyFont="1" applyBorder="1" applyAlignment="1">
      <alignment horizontal="left"/>
    </xf>
    <xf numFmtId="39" fontId="7" fillId="0" borderId="22" xfId="0" applyNumberFormat="1" applyFont="1" applyBorder="1"/>
    <xf numFmtId="39" fontId="7" fillId="0" borderId="0" xfId="0" applyNumberFormat="1" applyFont="1"/>
    <xf numFmtId="0" fontId="7" fillId="6" borderId="58" xfId="0" applyFont="1" applyFill="1" applyBorder="1" applyAlignment="1">
      <alignment horizontal="left"/>
    </xf>
    <xf numFmtId="39" fontId="7" fillId="6" borderId="22" xfId="0" applyNumberFormat="1" applyFont="1" applyFill="1" applyBorder="1"/>
    <xf numFmtId="0" fontId="7" fillId="6" borderId="45" xfId="0" applyFont="1" applyFill="1" applyBorder="1" applyAlignment="1">
      <alignment horizontal="right"/>
    </xf>
    <xf numFmtId="49" fontId="7" fillId="0" borderId="58" xfId="0" applyNumberFormat="1" applyFont="1" applyBorder="1" applyAlignment="1">
      <alignment horizontal="left"/>
    </xf>
    <xf numFmtId="0" fontId="7" fillId="0" borderId="22" xfId="0" applyFont="1" applyBorder="1" applyAlignment="1">
      <alignment horizontal="left"/>
    </xf>
    <xf numFmtId="0" fontId="30" fillId="0" borderId="0" xfId="8" quotePrefix="1" applyFont="1" applyFill="1" applyProtection="1"/>
    <xf numFmtId="0" fontId="9" fillId="0" borderId="0" xfId="0" applyFont="1" applyAlignment="1">
      <alignment vertical="top"/>
    </xf>
    <xf numFmtId="0" fontId="7" fillId="0" borderId="0" xfId="0" quotePrefix="1" applyFont="1" applyAlignment="1">
      <alignment vertical="top"/>
    </xf>
    <xf numFmtId="0" fontId="53" fillId="0" borderId="0" xfId="0" applyFont="1" applyBorder="1" applyAlignment="1">
      <alignment horizontal="left" vertical="center"/>
    </xf>
    <xf numFmtId="0" fontId="7" fillId="6" borderId="0" xfId="0" applyFont="1" applyFill="1" applyBorder="1"/>
    <xf numFmtId="0" fontId="7" fillId="6" borderId="0" xfId="0" applyFont="1" applyFill="1"/>
    <xf numFmtId="0" fontId="7" fillId="6" borderId="0" xfId="0" applyFont="1" applyFill="1" applyAlignment="1">
      <alignment horizontal="right"/>
    </xf>
    <xf numFmtId="0" fontId="30" fillId="4" borderId="0" xfId="8" applyFont="1" applyFill="1" applyAlignment="1" applyProtection="1">
      <alignment horizontal="right"/>
    </xf>
    <xf numFmtId="0" fontId="7" fillId="6" borderId="26" xfId="0" applyFont="1" applyFill="1" applyBorder="1"/>
    <xf numFmtId="0" fontId="7" fillId="6" borderId="18" xfId="0" applyFont="1" applyFill="1" applyBorder="1"/>
    <xf numFmtId="0" fontId="7" fillId="6" borderId="18" xfId="0" applyFont="1" applyFill="1" applyBorder="1" applyAlignment="1">
      <alignment horizontal="right"/>
    </xf>
    <xf numFmtId="0" fontId="9" fillId="0" borderId="0" xfId="0" quotePrefix="1" applyFont="1" applyAlignment="1">
      <alignment vertical="top"/>
    </xf>
    <xf numFmtId="0" fontId="7" fillId="0" borderId="22" xfId="0" applyFont="1" applyBorder="1" applyAlignment="1">
      <alignment horizontal="left" wrapText="1"/>
    </xf>
    <xf numFmtId="0" fontId="7" fillId="6" borderId="22" xfId="0" applyFont="1" applyFill="1" applyBorder="1" applyAlignment="1">
      <alignment horizontal="left" wrapText="1"/>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0" fontId="7" fillId="6" borderId="22" xfId="0" applyFont="1" applyFill="1" applyBorder="1" applyAlignment="1">
      <alignment horizontal="left"/>
    </xf>
    <xf numFmtId="166" fontId="7" fillId="0" borderId="33" xfId="0" applyNumberFormat="1" applyFont="1" applyBorder="1"/>
    <xf numFmtId="0" fontId="7" fillId="0" borderId="0" xfId="0" quotePrefix="1" applyFont="1" applyAlignment="1">
      <alignment horizontal="left" vertical="top"/>
    </xf>
    <xf numFmtId="0" fontId="7" fillId="6" borderId="0" xfId="0" applyFont="1" applyFill="1" applyAlignment="1">
      <alignment horizontal="left" wrapText="1"/>
    </xf>
    <xf numFmtId="39" fontId="7" fillId="6" borderId="0" xfId="0" applyNumberFormat="1" applyFont="1" applyFill="1"/>
    <xf numFmtId="0" fontId="74" fillId="0" borderId="0" xfId="0" quotePrefix="1" applyFont="1"/>
    <xf numFmtId="49" fontId="9" fillId="0" borderId="23"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23" xfId="0" applyNumberFormat="1" applyFont="1" applyBorder="1" applyAlignment="1">
      <alignment wrapText="1"/>
    </xf>
    <xf numFmtId="0" fontId="6" fillId="0" borderId="28" xfId="0" applyFont="1" applyBorder="1"/>
    <xf numFmtId="49" fontId="9" fillId="0" borderId="2" xfId="0" applyNumberFormat="1" applyFont="1" applyBorder="1" applyAlignment="1">
      <alignment wrapText="1"/>
    </xf>
    <xf numFmtId="0" fontId="7" fillId="0" borderId="11" xfId="0" applyFont="1" applyBorder="1"/>
    <xf numFmtId="49" fontId="9" fillId="0" borderId="10" xfId="0" applyNumberFormat="1" applyFont="1" applyBorder="1" applyAlignment="1">
      <alignment horizontal="center"/>
    </xf>
    <xf numFmtId="49" fontId="9" fillId="0" borderId="11" xfId="0" applyNumberFormat="1" applyFont="1" applyBorder="1" applyAlignment="1">
      <alignment horizontal="center"/>
    </xf>
    <xf numFmtId="49" fontId="9" fillId="0" borderId="2" xfId="0" applyNumberFormat="1" applyFont="1" applyBorder="1"/>
    <xf numFmtId="49" fontId="7" fillId="0" borderId="26" xfId="0" applyNumberFormat="1" applyFont="1" applyBorder="1"/>
    <xf numFmtId="49" fontId="7" fillId="0" borderId="50" xfId="0" applyNumberFormat="1" applyFont="1" applyBorder="1"/>
    <xf numFmtId="0" fontId="7" fillId="0" borderId="27" xfId="0" applyFont="1" applyBorder="1"/>
    <xf numFmtId="49" fontId="7" fillId="0" borderId="69" xfId="0" applyNumberFormat="1" applyFont="1" applyBorder="1"/>
    <xf numFmtId="49" fontId="7" fillId="0" borderId="75" xfId="0" applyNumberFormat="1" applyFont="1" applyBorder="1"/>
    <xf numFmtId="49" fontId="7" fillId="0" borderId="70" xfId="0" applyNumberFormat="1" applyFont="1" applyBorder="1"/>
    <xf numFmtId="178" fontId="7" fillId="0" borderId="89" xfId="0" applyNumberFormat="1" applyFont="1" applyBorder="1"/>
    <xf numFmtId="0" fontId="7" fillId="0" borderId="2" xfId="0" applyFont="1" applyBorder="1" applyAlignment="1">
      <alignment horizontal="right"/>
    </xf>
    <xf numFmtId="0" fontId="7" fillId="0" borderId="25" xfId="0" applyFont="1" applyBorder="1" applyAlignment="1">
      <alignment horizontal="right"/>
    </xf>
    <xf numFmtId="0" fontId="7" fillId="0" borderId="28" xfId="0" applyFont="1" applyBorder="1" applyAlignment="1">
      <alignment horizontal="right"/>
    </xf>
    <xf numFmtId="0" fontId="7" fillId="0" borderId="25" xfId="0" applyFont="1" applyBorder="1"/>
    <xf numFmtId="190" fontId="7" fillId="0" borderId="10" xfId="0" applyNumberFormat="1" applyFont="1" applyBorder="1" applyAlignment="1">
      <alignment horizontal="right"/>
    </xf>
    <xf numFmtId="190" fontId="7" fillId="0" borderId="52" xfId="0" applyNumberFormat="1" applyFont="1" applyBorder="1" applyAlignment="1">
      <alignment horizontal="right"/>
    </xf>
    <xf numFmtId="190" fontId="7" fillId="0" borderId="52" xfId="0" applyNumberFormat="1" applyFont="1" applyBorder="1"/>
    <xf numFmtId="169" fontId="7" fillId="0" borderId="0" xfId="0" applyNumberFormat="1" applyFont="1"/>
    <xf numFmtId="190" fontId="7" fillId="0" borderId="33" xfId="0" applyNumberFormat="1" applyFont="1" applyBorder="1" applyAlignment="1">
      <alignment horizontal="right"/>
    </xf>
    <xf numFmtId="190" fontId="7" fillId="0" borderId="33" xfId="0" applyNumberFormat="1" applyFont="1" applyBorder="1"/>
    <xf numFmtId="166" fontId="7" fillId="0" borderId="33" xfId="0" applyNumberFormat="1" applyFont="1" applyBorder="1" applyAlignment="1">
      <alignment horizontal="right"/>
    </xf>
    <xf numFmtId="166" fontId="7" fillId="0" borderId="52" xfId="0" applyNumberFormat="1" applyFont="1" applyBorder="1"/>
    <xf numFmtId="174" fontId="7" fillId="0" borderId="90" xfId="0" applyNumberFormat="1" applyFont="1" applyBorder="1" applyAlignment="1">
      <alignment horizontal="right"/>
    </xf>
    <xf numFmtId="174" fontId="7" fillId="0" borderId="89" xfId="0" applyNumberFormat="1" applyFont="1" applyBorder="1"/>
    <xf numFmtId="174" fontId="7" fillId="0" borderId="10" xfId="0" applyNumberFormat="1" applyFont="1" applyBorder="1" applyAlignment="1">
      <alignment horizontal="right"/>
    </xf>
    <xf numFmtId="174" fontId="7" fillId="0" borderId="52" xfId="0" applyNumberFormat="1" applyFont="1" applyBorder="1" applyAlignment="1">
      <alignment horizontal="right"/>
    </xf>
    <xf numFmtId="174" fontId="7" fillId="0" borderId="52" xfId="0" applyNumberFormat="1" applyFont="1" applyBorder="1"/>
    <xf numFmtId="0" fontId="7" fillId="7" borderId="63" xfId="0" applyFont="1" applyFill="1" applyBorder="1"/>
    <xf numFmtId="0" fontId="7" fillId="7" borderId="0" xfId="0" applyFont="1" applyFill="1"/>
    <xf numFmtId="0" fontId="7" fillId="0" borderId="69" xfId="0" applyFont="1" applyBorder="1"/>
    <xf numFmtId="0" fontId="7" fillId="0" borderId="75" xfId="0" applyFont="1" applyBorder="1"/>
    <xf numFmtId="0" fontId="7" fillId="7" borderId="69" xfId="0" applyFont="1" applyFill="1" applyBorder="1"/>
    <xf numFmtId="0" fontId="7" fillId="7" borderId="75" xfId="0" applyFont="1" applyFill="1" applyBorder="1"/>
    <xf numFmtId="169" fontId="7" fillId="0" borderId="89" xfId="0" applyNumberFormat="1" applyFont="1" applyBorder="1"/>
    <xf numFmtId="0" fontId="7" fillId="7" borderId="2" xfId="0" applyFont="1" applyFill="1" applyBorder="1"/>
    <xf numFmtId="178" fontId="7" fillId="0" borderId="0" xfId="0" applyNumberFormat="1" applyFont="1"/>
    <xf numFmtId="169" fontId="7" fillId="0" borderId="0" xfId="0" applyNumberFormat="1" applyFont="1" applyAlignment="1">
      <alignment horizontal="right"/>
    </xf>
    <xf numFmtId="0" fontId="7" fillId="0" borderId="58" xfId="0" applyFont="1" applyBorder="1" applyAlignment="1">
      <alignment horizontal="right"/>
    </xf>
    <xf numFmtId="39" fontId="7" fillId="0" borderId="45"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91" xfId="0" applyFont="1" applyBorder="1" applyAlignment="1">
      <alignment horizontal="right"/>
    </xf>
    <xf numFmtId="39" fontId="7" fillId="0" borderId="92" xfId="0" applyNumberFormat="1" applyFont="1" applyBorder="1"/>
    <xf numFmtId="174" fontId="7" fillId="0" borderId="45" xfId="0" applyNumberFormat="1" applyFont="1" applyBorder="1"/>
    <xf numFmtId="0" fontId="7" fillId="0" borderId="10" xfId="0" applyFont="1" applyBorder="1"/>
    <xf numFmtId="174" fontId="7" fillId="0" borderId="11" xfId="0" applyNumberFormat="1" applyFont="1" applyBorder="1"/>
    <xf numFmtId="39" fontId="7" fillId="0" borderId="11"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52" fillId="0" borderId="0" xfId="0" applyFont="1" applyAlignment="1">
      <alignment vertical="top"/>
    </xf>
    <xf numFmtId="0" fontId="7" fillId="2" borderId="0" xfId="20" applyFont="1" applyAlignment="1">
      <alignment horizontal="left"/>
    </xf>
    <xf numFmtId="0" fontId="30" fillId="11" borderId="0" xfId="8" quotePrefix="1" applyFont="1" applyFill="1" applyAlignment="1" applyProtection="1">
      <alignment vertical="top"/>
    </xf>
    <xf numFmtId="0" fontId="65" fillId="0" borderId="0" xfId="8" applyFont="1" applyProtection="1"/>
    <xf numFmtId="0" fontId="35" fillId="0" borderId="0" xfId="8" applyFont="1" applyProtection="1"/>
    <xf numFmtId="189" fontId="7" fillId="0" borderId="33" xfId="0" applyNumberFormat="1" applyFont="1" applyBorder="1"/>
    <xf numFmtId="44" fontId="7" fillId="0" borderId="33"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5" xfId="0" applyFont="1" applyBorder="1"/>
    <xf numFmtId="0" fontId="5" fillId="0" borderId="75" xfId="0" applyFont="1" applyBorder="1" applyAlignment="1">
      <alignment horizontal="right"/>
    </xf>
    <xf numFmtId="0" fontId="5" fillId="0" borderId="75" xfId="0" applyFont="1" applyBorder="1"/>
    <xf numFmtId="0" fontId="14" fillId="0" borderId="75"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2" fillId="0" borderId="0" xfId="0" applyFont="1" applyBorder="1"/>
    <xf numFmtId="173" fontId="72" fillId="0" borderId="0" xfId="0" applyNumberFormat="1" applyFont="1"/>
    <xf numFmtId="0" fontId="9" fillId="0" borderId="75" xfId="0" applyFont="1" applyBorder="1"/>
    <xf numFmtId="175" fontId="7" fillId="0" borderId="75" xfId="0" applyNumberFormat="1" applyFont="1" applyBorder="1" applyAlignment="1">
      <alignment horizontal="right"/>
    </xf>
    <xf numFmtId="175" fontId="9" fillId="0" borderId="75" xfId="0" applyNumberFormat="1" applyFont="1" applyBorder="1" applyAlignment="1">
      <alignment horizontal="right"/>
    </xf>
    <xf numFmtId="0" fontId="72" fillId="0" borderId="75" xfId="0" applyFont="1" applyBorder="1"/>
    <xf numFmtId="0" fontId="72" fillId="0" borderId="0" xfId="0" applyFont="1"/>
    <xf numFmtId="173" fontId="72" fillId="0" borderId="0" xfId="0" applyNumberFormat="1" applyFont="1" applyBorder="1"/>
    <xf numFmtId="0" fontId="14" fillId="0" borderId="0" xfId="0" applyFont="1" applyBorder="1" applyAlignment="1">
      <alignment horizontal="center" vertical="center"/>
    </xf>
    <xf numFmtId="0" fontId="63" fillId="0" borderId="0" xfId="0" applyFont="1" applyAlignment="1">
      <alignment horizontal="center"/>
    </xf>
    <xf numFmtId="174" fontId="63" fillId="0" borderId="0" xfId="0" applyNumberFormat="1" applyFont="1" applyAlignment="1">
      <alignment horizontal="center"/>
    </xf>
    <xf numFmtId="174" fontId="5" fillId="5" borderId="0" xfId="0" applyNumberFormat="1" applyFont="1" applyFill="1" applyAlignment="1">
      <alignment horizontal="center"/>
    </xf>
    <xf numFmtId="0" fontId="14" fillId="0" borderId="0" xfId="0" applyFont="1" applyBorder="1" applyAlignment="1">
      <alignment vertical="top" wrapText="1"/>
    </xf>
    <xf numFmtId="175" fontId="79"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9"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5" xfId="0" applyFont="1" applyBorder="1" applyAlignment="1">
      <alignment vertical="top" wrapText="1"/>
    </xf>
    <xf numFmtId="0" fontId="5" fillId="0" borderId="75" xfId="0" applyFont="1" applyBorder="1" applyAlignment="1">
      <alignment horizontal="center" vertical="top" wrapText="1"/>
    </xf>
    <xf numFmtId="174" fontId="5" fillId="0" borderId="75" xfId="0" applyNumberFormat="1" applyFont="1" applyBorder="1" applyAlignment="1">
      <alignment horizontal="right" wrapText="1"/>
    </xf>
    <xf numFmtId="174" fontId="5" fillId="0" borderId="75" xfId="0" applyNumberFormat="1" applyFont="1" applyBorder="1" applyAlignment="1">
      <alignment horizontal="right" vertical="top" wrapText="1"/>
    </xf>
    <xf numFmtId="0" fontId="7" fillId="0" borderId="75" xfId="0" applyFont="1" applyBorder="1" applyAlignment="1">
      <alignment vertical="top" wrapText="1"/>
    </xf>
    <xf numFmtId="0" fontId="62" fillId="0" borderId="75" xfId="0" applyFont="1" applyBorder="1"/>
    <xf numFmtId="0" fontId="62" fillId="0" borderId="0" xfId="0" applyFont="1" applyBorder="1"/>
    <xf numFmtId="0" fontId="79" fillId="0" borderId="0" xfId="0" applyFont="1" applyBorder="1"/>
    <xf numFmtId="0" fontId="63" fillId="0" borderId="0" xfId="0" applyFont="1"/>
    <xf numFmtId="187" fontId="14" fillId="0" borderId="0" xfId="4" applyNumberFormat="1" applyFont="1" applyFill="1" applyBorder="1" applyAlignment="1" applyProtection="1">
      <alignment horizontal="right"/>
    </xf>
    <xf numFmtId="0" fontId="79" fillId="0" borderId="0" xfId="0" applyFont="1"/>
    <xf numFmtId="44" fontId="5" fillId="0" borderId="0" xfId="2" applyFont="1" applyFill="1" applyAlignment="1" applyProtection="1">
      <alignment horizontal="right"/>
    </xf>
    <xf numFmtId="182" fontId="14" fillId="0" borderId="75"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5"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0" fontId="59" fillId="4" borderId="0" xfId="8" applyFont="1" applyFill="1" applyProtection="1"/>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0" fontId="59" fillId="0" borderId="0" xfId="8" applyFont="1" applyFill="1" applyProtection="1"/>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59" xfId="0" applyFont="1" applyBorder="1"/>
    <xf numFmtId="0" fontId="5" fillId="0" borderId="76" xfId="0" applyFont="1" applyBorder="1"/>
    <xf numFmtId="0" fontId="94"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60" xfId="0" applyFont="1" applyBorder="1"/>
    <xf numFmtId="0" fontId="58" fillId="0" borderId="87" xfId="0" applyFont="1" applyBorder="1" applyAlignment="1">
      <alignment horizontal="left"/>
    </xf>
    <xf numFmtId="0" fontId="5" fillId="0" borderId="87"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60" xfId="0" applyFont="1" applyBorder="1" applyAlignment="1">
      <alignment horizontal="right"/>
    </xf>
    <xf numFmtId="182" fontId="5" fillId="0" borderId="0" xfId="2" applyNumberFormat="1" applyFont="1" applyAlignment="1" applyProtection="1">
      <alignment horizontal="right" wrapText="1"/>
    </xf>
    <xf numFmtId="39" fontId="5" fillId="0" borderId="60" xfId="0" applyNumberFormat="1" applyFont="1" applyBorder="1" applyAlignment="1">
      <alignment horizontal="right" wrapText="1"/>
    </xf>
    <xf numFmtId="182" fontId="5" fillId="0" borderId="75" xfId="2" applyNumberFormat="1" applyFont="1" applyBorder="1" applyAlignment="1" applyProtection="1">
      <alignment horizontal="right" wrapText="1"/>
    </xf>
    <xf numFmtId="174" fontId="5" fillId="0" borderId="60" xfId="0" applyNumberFormat="1" applyFont="1" applyBorder="1" applyAlignment="1">
      <alignment horizontal="right" wrapText="1"/>
    </xf>
    <xf numFmtId="0" fontId="14" fillId="0" borderId="87" xfId="0" applyFont="1" applyBorder="1" applyAlignment="1">
      <alignment horizontal="left"/>
    </xf>
    <xf numFmtId="7" fontId="14" fillId="0" borderId="0" xfId="0" applyNumberFormat="1" applyFont="1" applyBorder="1" applyAlignment="1">
      <alignment horizontal="right" wrapText="1"/>
    </xf>
    <xf numFmtId="0" fontId="94" fillId="0" borderId="0" xfId="0" applyFont="1" applyBorder="1"/>
    <xf numFmtId="2" fontId="5" fillId="0" borderId="0" xfId="0" applyNumberFormat="1" applyFont="1"/>
    <xf numFmtId="39" fontId="63" fillId="0" borderId="60" xfId="0" applyNumberFormat="1" applyFont="1" applyBorder="1" applyAlignment="1">
      <alignment horizontal="right" wrapText="1"/>
    </xf>
    <xf numFmtId="0" fontId="5" fillId="0" borderId="62" xfId="0" applyFont="1" applyBorder="1" applyAlignment="1">
      <alignment horizontal="left"/>
    </xf>
    <xf numFmtId="0" fontId="94" fillId="0" borderId="75" xfId="0" applyFont="1" applyBorder="1"/>
    <xf numFmtId="182" fontId="5" fillId="0" borderId="60" xfId="2" applyNumberFormat="1" applyFont="1" applyBorder="1" applyAlignment="1" applyProtection="1">
      <alignment horizontal="right" wrapText="1"/>
    </xf>
    <xf numFmtId="0" fontId="5" fillId="0" borderId="61" xfId="0" applyFont="1" applyBorder="1" applyAlignment="1">
      <alignment horizontal="right" wrapText="1"/>
    </xf>
    <xf numFmtId="0" fontId="59" fillId="4" borderId="0" xfId="8" applyFont="1" applyFill="1" applyAlignment="1" applyProtection="1">
      <alignment horizontal="left" vertical="center"/>
    </xf>
    <xf numFmtId="39" fontId="5" fillId="0" borderId="61" xfId="0" applyNumberFormat="1" applyFont="1" applyBorder="1" applyAlignment="1">
      <alignment horizontal="right" wrapText="1"/>
    </xf>
    <xf numFmtId="0" fontId="5" fillId="0" borderId="0" xfId="0" applyFont="1" applyAlignment="1">
      <alignment horizontal="left" vertical="center"/>
    </xf>
    <xf numFmtId="0" fontId="14" fillId="8" borderId="77" xfId="0" applyFont="1" applyFill="1" applyBorder="1" applyAlignment="1">
      <alignment horizontal="left"/>
    </xf>
    <xf numFmtId="0" fontId="14" fillId="8" borderId="79" xfId="0" applyFont="1" applyFill="1" applyBorder="1" applyAlignment="1">
      <alignment horizontal="left"/>
    </xf>
    <xf numFmtId="0" fontId="14" fillId="8" borderId="78" xfId="0" applyFont="1" applyFill="1" applyBorder="1" applyAlignment="1">
      <alignment horizontal="left"/>
    </xf>
    <xf numFmtId="182" fontId="14" fillId="8" borderId="78" xfId="2" applyNumberFormat="1" applyFont="1" applyFill="1" applyBorder="1" applyAlignment="1" applyProtection="1">
      <alignment horizontal="right"/>
    </xf>
    <xf numFmtId="0" fontId="5" fillId="0" borderId="60" xfId="0" applyFont="1" applyBorder="1" applyAlignment="1">
      <alignment horizontal="right" wrapText="1"/>
    </xf>
    <xf numFmtId="7" fontId="5" fillId="0" borderId="0" xfId="0" applyNumberFormat="1" applyFont="1" applyAlignment="1">
      <alignment horizontal="right"/>
    </xf>
    <xf numFmtId="7" fontId="5" fillId="0" borderId="60" xfId="0" applyNumberFormat="1" applyFont="1" applyBorder="1" applyAlignment="1">
      <alignment horizontal="right" wrapText="1"/>
    </xf>
    <xf numFmtId="0" fontId="5" fillId="0" borderId="87" xfId="0" applyFont="1" applyBorder="1"/>
    <xf numFmtId="0" fontId="79" fillId="0" borderId="75" xfId="0" applyFont="1" applyBorder="1"/>
    <xf numFmtId="37" fontId="5" fillId="0" borderId="61" xfId="0" applyNumberFormat="1" applyFont="1" applyBorder="1" applyAlignment="1">
      <alignment horizontal="right"/>
    </xf>
    <xf numFmtId="0" fontId="5" fillId="0" borderId="59" xfId="0" applyFont="1" applyBorder="1" applyAlignment="1">
      <alignment horizontal="right"/>
    </xf>
    <xf numFmtId="182" fontId="5" fillId="0" borderId="60" xfId="0" applyNumberFormat="1" applyFont="1" applyBorder="1" applyAlignment="1">
      <alignment horizontal="right"/>
    </xf>
    <xf numFmtId="0" fontId="28" fillId="0" borderId="0" xfId="0" applyFont="1"/>
    <xf numFmtId="0" fontId="5" fillId="0" borderId="0" xfId="0" applyFont="1" applyAlignment="1">
      <alignment horizontal="left"/>
    </xf>
    <xf numFmtId="182" fontId="5" fillId="0" borderId="0" xfId="0" applyNumberFormat="1" applyFont="1" applyAlignment="1">
      <alignment horizontal="right"/>
    </xf>
    <xf numFmtId="182" fontId="5" fillId="0" borderId="75" xfId="0" applyNumberFormat="1" applyFont="1" applyBorder="1" applyAlignment="1">
      <alignment horizontal="right"/>
    </xf>
    <xf numFmtId="182" fontId="5" fillId="0" borderId="79"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4" fillId="0" borderId="0" xfId="0" applyFont="1" applyAlignment="1">
      <alignment horizontal="right"/>
    </xf>
    <xf numFmtId="182" fontId="5" fillId="0" borderId="75" xfId="2" applyNumberFormat="1" applyFont="1" applyFill="1" applyBorder="1" applyAlignment="1" applyProtection="1">
      <alignment horizontal="right"/>
    </xf>
    <xf numFmtId="182" fontId="5" fillId="0" borderId="75"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4" fillId="0" borderId="75"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5" xfId="0" applyNumberFormat="1" applyFont="1" applyBorder="1" applyAlignment="1">
      <alignment horizontal="right"/>
    </xf>
    <xf numFmtId="189" fontId="5" fillId="0" borderId="75" xfId="0" applyNumberFormat="1" applyFont="1" applyBorder="1" applyAlignment="1">
      <alignment horizontal="right"/>
    </xf>
    <xf numFmtId="0" fontId="5" fillId="0" borderId="0" xfId="0" applyFont="1" applyAlignment="1">
      <alignment vertical="center" wrapText="1"/>
    </xf>
    <xf numFmtId="0" fontId="14" fillId="0" borderId="75" xfId="0" applyFont="1" applyBorder="1" applyAlignment="1">
      <alignment vertical="center"/>
    </xf>
    <xf numFmtId="182" fontId="5" fillId="0" borderId="0" xfId="2" applyNumberFormat="1" applyFont="1" applyFill="1" applyBorder="1" applyAlignment="1" applyProtection="1">
      <alignment horizontal="right"/>
    </xf>
    <xf numFmtId="182" fontId="94" fillId="0" borderId="0" xfId="0" applyNumberFormat="1" applyFont="1" applyAlignment="1">
      <alignment horizontal="right"/>
    </xf>
    <xf numFmtId="0" fontId="14" fillId="0" borderId="75" xfId="0" applyFont="1" applyBorder="1" applyAlignment="1">
      <alignment horizontal="center"/>
    </xf>
    <xf numFmtId="182" fontId="5" fillId="0" borderId="0" xfId="0" applyNumberFormat="1" applyFont="1"/>
    <xf numFmtId="182" fontId="75" fillId="0" borderId="0" xfId="0" applyNumberFormat="1" applyFont="1" applyAlignment="1">
      <alignment horizontal="right"/>
    </xf>
    <xf numFmtId="182" fontId="14" fillId="0" borderId="75" xfId="2" applyNumberFormat="1" applyFont="1" applyBorder="1" applyAlignment="1" applyProtection="1">
      <alignment horizontal="right"/>
    </xf>
    <xf numFmtId="0" fontId="62" fillId="3" borderId="0" xfId="0" applyFont="1" applyFill="1"/>
    <xf numFmtId="0" fontId="58" fillId="0" borderId="0" xfId="0" applyFont="1"/>
    <xf numFmtId="0" fontId="14" fillId="0" borderId="75"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5" xfId="0" applyNumberFormat="1" applyFont="1" applyBorder="1" applyAlignment="1">
      <alignment horizontal="right"/>
    </xf>
    <xf numFmtId="182" fontId="14" fillId="0" borderId="75" xfId="0" applyNumberFormat="1" applyFont="1" applyBorder="1"/>
    <xf numFmtId="0" fontId="39" fillId="0" borderId="33" xfId="0" applyFont="1" applyBorder="1" applyAlignment="1">
      <alignment horizontal="center" wrapText="1"/>
    </xf>
    <xf numFmtId="0" fontId="39" fillId="0" borderId="33"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33"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52" xfId="0" applyFont="1" applyBorder="1" applyAlignment="1">
      <alignment vertical="top" wrapText="1"/>
    </xf>
    <xf numFmtId="0" fontId="38" fillId="0" borderId="52" xfId="0" applyFont="1" applyBorder="1" applyAlignment="1">
      <alignment horizontal="center" vertical="top" wrapText="1"/>
    </xf>
    <xf numFmtId="0" fontId="40" fillId="0" borderId="33" xfId="8" applyFont="1" applyFill="1" applyBorder="1" applyAlignment="1" applyProtection="1">
      <alignment horizontal="justify" vertical="top" wrapText="1"/>
    </xf>
    <xf numFmtId="0" fontId="38" fillId="0" borderId="52" xfId="0" applyFont="1" applyBorder="1" applyAlignment="1">
      <alignment horizontal="center" vertical="center" wrapText="1"/>
    </xf>
    <xf numFmtId="0" fontId="38" fillId="0" borderId="33" xfId="0" applyFont="1" applyBorder="1" applyAlignment="1">
      <alignment vertical="top" wrapText="1"/>
    </xf>
    <xf numFmtId="0" fontId="38" fillId="0" borderId="33" xfId="0" applyFont="1" applyBorder="1" applyAlignment="1">
      <alignment horizontal="center" vertical="top" wrapText="1"/>
    </xf>
    <xf numFmtId="0" fontId="38" fillId="0" borderId="33" xfId="0" applyFont="1" applyBorder="1" applyAlignment="1">
      <alignment horizontal="center" vertical="center" wrapText="1"/>
    </xf>
    <xf numFmtId="0" fontId="38" fillId="8" borderId="33" xfId="0" applyFont="1" applyFill="1" applyBorder="1" applyAlignment="1">
      <alignment horizontal="center" vertical="center" wrapText="1"/>
    </xf>
    <xf numFmtId="0" fontId="38" fillId="0" borderId="25" xfId="0" applyFont="1" applyBorder="1" applyAlignment="1">
      <alignment horizontal="justify" vertical="top" wrapText="1"/>
    </xf>
    <xf numFmtId="0" fontId="40" fillId="0" borderId="33"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33" xfId="0" applyFont="1" applyBorder="1" applyAlignment="1">
      <alignment vertical="top" wrapText="1"/>
    </xf>
    <xf numFmtId="0" fontId="38" fillId="0" borderId="33" xfId="0" applyFont="1" applyBorder="1" applyAlignment="1">
      <alignment horizontal="justify" vertical="top"/>
    </xf>
    <xf numFmtId="49" fontId="38" fillId="3" borderId="33" xfId="0" applyNumberFormat="1" applyFont="1" applyFill="1" applyBorder="1" applyAlignment="1">
      <alignment horizontal="justify" vertical="top" wrapText="1"/>
    </xf>
    <xf numFmtId="0" fontId="38" fillId="5" borderId="33" xfId="0" applyFont="1" applyFill="1" applyBorder="1" applyAlignment="1">
      <alignment horizontal="left" vertical="top" wrapText="1"/>
    </xf>
    <xf numFmtId="0" fontId="38" fillId="5" borderId="33" xfId="0" applyFont="1" applyFill="1" applyBorder="1" applyAlignment="1">
      <alignment horizontal="center" vertical="top" wrapText="1"/>
    </xf>
    <xf numFmtId="0" fontId="38" fillId="5" borderId="33" xfId="0" applyFont="1" applyFill="1" applyBorder="1" applyAlignment="1">
      <alignment horizontal="justify" vertical="top" wrapText="1"/>
    </xf>
    <xf numFmtId="0" fontId="2" fillId="0" borderId="0" xfId="0" applyFont="1" applyAlignment="1">
      <alignment vertical="top"/>
    </xf>
    <xf numFmtId="0" fontId="38" fillId="0" borderId="33" xfId="0" quotePrefix="1" applyFont="1" applyBorder="1" applyAlignment="1">
      <alignment horizontal="justify" vertical="top" wrapText="1"/>
    </xf>
    <xf numFmtId="0" fontId="40" fillId="0" borderId="33" xfId="8" applyFont="1" applyFill="1" applyBorder="1" applyAlignment="1" applyProtection="1">
      <alignment vertical="top" wrapText="1"/>
    </xf>
    <xf numFmtId="0" fontId="39" fillId="0" borderId="33" xfId="0" applyFont="1" applyBorder="1" applyAlignment="1">
      <alignment horizontal="justify" vertical="top" wrapText="1"/>
    </xf>
    <xf numFmtId="0" fontId="40" fillId="3" borderId="33"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2" borderId="33" xfId="0" applyFont="1" applyFill="1" applyBorder="1" applyAlignment="1">
      <alignment horizontal="center" vertical="center" wrapText="1"/>
    </xf>
    <xf numFmtId="0" fontId="38" fillId="5" borderId="33" xfId="0" applyFont="1" applyFill="1" applyBorder="1" applyAlignment="1">
      <alignment vertical="top" wrapText="1"/>
    </xf>
    <xf numFmtId="49" fontId="38" fillId="0" borderId="33" xfId="0" applyNumberFormat="1" applyFont="1" applyBorder="1" applyAlignment="1">
      <alignment horizontal="justify" vertical="top" wrapText="1"/>
    </xf>
    <xf numFmtId="0" fontId="38" fillId="0" borderId="27" xfId="0" applyFont="1" applyBorder="1" applyAlignment="1">
      <alignment vertical="center" wrapText="1"/>
    </xf>
    <xf numFmtId="0" fontId="38" fillId="0" borderId="22" xfId="0" applyFont="1" applyBorder="1" applyAlignment="1">
      <alignment vertical="top" wrapText="1"/>
    </xf>
    <xf numFmtId="0" fontId="38" fillId="0" borderId="22" xfId="0" applyFont="1" applyBorder="1" applyAlignment="1">
      <alignment horizontal="justify" vertical="top" wrapText="1"/>
    </xf>
    <xf numFmtId="0" fontId="2" fillId="0" borderId="33" xfId="0" applyFont="1" applyBorder="1" applyAlignment="1">
      <alignment vertical="top" wrapText="1"/>
    </xf>
    <xf numFmtId="0" fontId="38" fillId="8" borderId="33" xfId="0" applyFont="1" applyFill="1" applyBorder="1" applyAlignment="1">
      <alignment horizontal="center" vertical="center"/>
    </xf>
    <xf numFmtId="0" fontId="38" fillId="0" borderId="45" xfId="0" applyFont="1" applyBorder="1" applyAlignment="1">
      <alignment horizontal="left" vertical="top" wrapText="1"/>
    </xf>
    <xf numFmtId="0" fontId="38" fillId="13" borderId="33" xfId="0" applyFont="1" applyFill="1" applyBorder="1" applyAlignment="1">
      <alignment vertical="top" wrapText="1"/>
    </xf>
    <xf numFmtId="0" fontId="40" fillId="2" borderId="0" xfId="8" applyFont="1" applyFill="1" applyAlignment="1" applyProtection="1">
      <alignment vertical="center" wrapText="1"/>
    </xf>
    <xf numFmtId="0" fontId="38" fillId="2" borderId="33" xfId="8" applyFont="1" applyFill="1" applyBorder="1" applyAlignment="1" applyProtection="1">
      <alignment vertical="top" wrapText="1"/>
    </xf>
    <xf numFmtId="0" fontId="40" fillId="0" borderId="22" xfId="8" applyFont="1" applyFill="1" applyBorder="1" applyAlignment="1" applyProtection="1">
      <alignment horizontal="justify" vertical="top" wrapText="1"/>
    </xf>
    <xf numFmtId="0" fontId="40" fillId="0" borderId="33" xfId="8" applyFont="1" applyBorder="1" applyAlignment="1" applyProtection="1">
      <alignment vertical="center" wrapText="1"/>
    </xf>
    <xf numFmtId="0" fontId="40" fillId="0" borderId="0" xfId="8" applyFont="1" applyAlignment="1" applyProtection="1">
      <alignment vertical="center" wrapText="1"/>
    </xf>
    <xf numFmtId="0" fontId="38" fillId="0" borderId="33" xfId="18" applyFont="1" applyFill="1" applyBorder="1" applyAlignment="1">
      <alignment horizontal="left" vertical="top" wrapText="1"/>
    </xf>
    <xf numFmtId="0" fontId="40" fillId="0" borderId="22"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23" xfId="0" applyNumberFormat="1" applyFont="1" applyBorder="1" applyAlignment="1" applyProtection="1">
      <alignment horizontal="right" wrapText="1"/>
      <protection locked="0"/>
    </xf>
    <xf numFmtId="0" fontId="65" fillId="14" borderId="58" xfId="0" applyFont="1" applyFill="1" applyBorder="1" applyAlignment="1">
      <alignment horizontal="left"/>
    </xf>
    <xf numFmtId="0" fontId="7" fillId="14" borderId="22" xfId="0" applyFont="1" applyFill="1" applyBorder="1" applyAlignment="1">
      <alignment horizontal="left"/>
    </xf>
    <xf numFmtId="0" fontId="7" fillId="14" borderId="45" xfId="0" applyFont="1" applyFill="1" applyBorder="1" applyAlignment="1">
      <alignment horizontal="right"/>
    </xf>
    <xf numFmtId="0" fontId="4" fillId="0" borderId="108" xfId="0" applyFont="1" applyBorder="1" applyProtection="1">
      <protection locked="0"/>
    </xf>
    <xf numFmtId="0" fontId="26" fillId="0" borderId="108" xfId="8" applyBorder="1" applyProtection="1">
      <protection locked="0"/>
    </xf>
    <xf numFmtId="183" fontId="4" fillId="0" borderId="108" xfId="0" applyNumberFormat="1" applyFont="1" applyBorder="1" applyProtection="1">
      <protection locked="0"/>
    </xf>
    <xf numFmtId="0" fontId="26" fillId="0" borderId="47" xfId="8" applyBorder="1" applyProtection="1">
      <protection locked="0"/>
    </xf>
    <xf numFmtId="174" fontId="65" fillId="3" borderId="108" xfId="0" applyNumberFormat="1" applyFont="1" applyFill="1" applyBorder="1" applyAlignment="1" applyProtection="1">
      <alignment horizontal="right" vertical="top"/>
      <protection locked="0"/>
    </xf>
    <xf numFmtId="174" fontId="7" fillId="0" borderId="108" xfId="0" applyNumberFormat="1" applyFont="1" applyBorder="1" applyAlignment="1" applyProtection="1">
      <alignment horizontal="right" vertical="top"/>
      <protection locked="0"/>
    </xf>
    <xf numFmtId="3" fontId="65" fillId="0" borderId="0" xfId="0" applyNumberFormat="1" applyFont="1"/>
    <xf numFmtId="185" fontId="63" fillId="0" borderId="45" xfId="4" applyNumberFormat="1" applyFont="1" applyFill="1" applyBorder="1" applyAlignment="1" applyProtection="1">
      <alignment horizontal="right" wrapText="1"/>
      <protection locked="0"/>
    </xf>
    <xf numFmtId="37" fontId="7" fillId="0" borderId="13" xfId="0" applyNumberFormat="1" applyFont="1" applyBorder="1" applyAlignment="1" applyProtection="1">
      <alignment horizontal="right"/>
    </xf>
    <xf numFmtId="38" fontId="7" fillId="0" borderId="68" xfId="0" applyNumberFormat="1" applyFont="1" applyBorder="1" applyAlignment="1" applyProtection="1">
      <alignment horizontal="center"/>
      <protection locked="0"/>
    </xf>
    <xf numFmtId="176" fontId="7" fillId="0" borderId="8" xfId="0" applyNumberFormat="1" applyFont="1" applyBorder="1" applyAlignment="1" applyProtection="1">
      <alignment horizontal="center"/>
      <protection locked="0"/>
    </xf>
    <xf numFmtId="0" fontId="96" fillId="0" borderId="0" xfId="0" applyFont="1" applyAlignment="1">
      <alignment horizontal="center" vertical="center" wrapText="1"/>
    </xf>
    <xf numFmtId="0" fontId="7" fillId="0" borderId="68" xfId="0" applyFont="1" applyBorder="1" applyAlignment="1" applyProtection="1">
      <alignment horizontal="center"/>
      <protection locked="0"/>
    </xf>
    <xf numFmtId="0" fontId="7" fillId="0" borderId="0" xfId="0" applyFont="1" applyAlignment="1">
      <alignment horizontal="center"/>
    </xf>
    <xf numFmtId="0" fontId="7" fillId="0" borderId="9" xfId="0" applyFont="1" applyBorder="1" applyAlignment="1">
      <alignment horizontal="center"/>
    </xf>
    <xf numFmtId="180" fontId="7" fillId="0" borderId="1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9" xfId="0" applyBorder="1" applyAlignment="1">
      <alignment vertical="center"/>
    </xf>
    <xf numFmtId="49" fontId="3" fillId="0" borderId="14" xfId="0" applyNumberFormat="1" applyFont="1" applyBorder="1" applyAlignment="1" applyProtection="1">
      <alignment horizontal="left"/>
      <protection locked="0"/>
    </xf>
    <xf numFmtId="0" fontId="7" fillId="0" borderId="16" xfId="0" applyFont="1" applyBorder="1" applyAlignment="1">
      <alignment horizontal="center"/>
    </xf>
    <xf numFmtId="0" fontId="7" fillId="0" borderId="8" xfId="0" applyFont="1" applyBorder="1" applyProtection="1">
      <protection locked="0"/>
    </xf>
    <xf numFmtId="0" fontId="7" fillId="0" borderId="14" xfId="0" applyFont="1" applyBorder="1" applyProtection="1">
      <protection locked="0"/>
    </xf>
    <xf numFmtId="49" fontId="1" fillId="0" borderId="14" xfId="0" applyNumberFormat="1" applyFont="1" applyBorder="1" applyProtection="1">
      <protection locked="0"/>
    </xf>
    <xf numFmtId="181" fontId="7" fillId="0" borderId="14" xfId="0" applyNumberFormat="1" applyFont="1" applyBorder="1" applyAlignment="1" applyProtection="1">
      <alignment horizontal="center"/>
      <protection locked="0"/>
    </xf>
    <xf numFmtId="0" fontId="30" fillId="0" borderId="14" xfId="8" applyFont="1" applyBorder="1" applyAlignment="1">
      <alignment horizontal="center"/>
      <protection locked="0"/>
    </xf>
    <xf numFmtId="176" fontId="7" fillId="0" borderId="68" xfId="0" applyNumberFormat="1" applyFont="1" applyBorder="1" applyAlignment="1" applyProtection="1">
      <alignment horizontal="center"/>
      <protection locked="0"/>
    </xf>
    <xf numFmtId="0" fontId="7" fillId="0" borderId="94" xfId="0" applyFont="1" applyBorder="1" applyAlignment="1">
      <alignment horizontal="center" vertical="center"/>
    </xf>
    <xf numFmtId="0" fontId="7" fillId="0" borderId="16" xfId="0" applyFont="1" applyBorder="1" applyAlignment="1">
      <alignment horizontal="center" vertical="top"/>
    </xf>
    <xf numFmtId="0" fontId="7" fillId="0" borderId="14" xfId="0" applyFont="1" applyBorder="1" applyAlignment="1" applyProtection="1">
      <alignment horizontal="center"/>
      <protection locked="0"/>
    </xf>
    <xf numFmtId="0" fontId="7" fillId="0" borderId="0" xfId="0" applyFont="1" applyAlignment="1">
      <alignment horizontal="center" vertical="top" wrapText="1"/>
    </xf>
    <xf numFmtId="0" fontId="69" fillId="0" borderId="0" xfId="0" applyFont="1" applyAlignment="1">
      <alignment horizontal="center" vertical="center" wrapText="1"/>
    </xf>
    <xf numFmtId="0" fontId="69" fillId="0" borderId="23" xfId="0" applyFont="1" applyBorder="1" applyAlignment="1">
      <alignment horizontal="center" vertical="center" wrapText="1"/>
    </xf>
    <xf numFmtId="0" fontId="7" fillId="0" borderId="26" xfId="0" applyFont="1" applyBorder="1" applyAlignment="1" applyProtection="1">
      <alignment horizontal="left" vertical="top"/>
      <protection locked="0"/>
    </xf>
    <xf numFmtId="0" fontId="7" fillId="0" borderId="18" xfId="0" applyFont="1" applyBorder="1" applyAlignment="1" applyProtection="1">
      <alignment horizontal="left" vertical="top"/>
      <protection locked="0"/>
    </xf>
    <xf numFmtId="0" fontId="7" fillId="0" borderId="50" xfId="0" applyFont="1" applyBorder="1" applyAlignment="1" applyProtection="1">
      <alignment horizontal="left" vertical="top"/>
      <protection locked="0"/>
    </xf>
    <xf numFmtId="0" fontId="7" fillId="0" borderId="2"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28" xfId="0" applyFont="1" applyBorder="1" applyAlignment="1" applyProtection="1">
      <alignment horizontal="left" vertical="top"/>
      <protection locked="0"/>
    </xf>
    <xf numFmtId="0" fontId="7" fillId="0" borderId="10" xfId="0" applyFont="1" applyBorder="1" applyAlignment="1" applyProtection="1">
      <alignment horizontal="left" vertical="top"/>
      <protection locked="0"/>
    </xf>
    <xf numFmtId="0" fontId="7" fillId="0" borderId="23" xfId="0" applyFont="1" applyBorder="1" applyAlignment="1" applyProtection="1">
      <alignment horizontal="left" vertical="top"/>
      <protection locked="0"/>
    </xf>
    <xf numFmtId="0" fontId="7" fillId="0" borderId="11" xfId="0" applyFont="1" applyBorder="1" applyAlignment="1" applyProtection="1">
      <alignment horizontal="left" vertical="top"/>
      <protection locked="0"/>
    </xf>
    <xf numFmtId="0" fontId="7" fillId="0" borderId="0" xfId="0" applyFont="1" applyAlignment="1">
      <alignment horizontal="left"/>
    </xf>
    <xf numFmtId="0" fontId="6" fillId="0" borderId="0" xfId="0" applyFont="1" applyAlignment="1">
      <alignment horizontal="center"/>
    </xf>
    <xf numFmtId="0" fontId="4" fillId="0" borderId="10" xfId="0" applyFont="1" applyBorder="1" applyAlignment="1" applyProtection="1">
      <alignment vertical="center"/>
      <protection locked="0"/>
    </xf>
    <xf numFmtId="0" fontId="4" fillId="0" borderId="11" xfId="0" applyFont="1" applyBorder="1" applyAlignment="1" applyProtection="1">
      <alignment vertical="center"/>
      <protection locked="0"/>
    </xf>
    <xf numFmtId="0" fontId="4" fillId="0" borderId="23" xfId="0" applyFont="1" applyBorder="1" applyAlignment="1">
      <alignment horizontal="center"/>
    </xf>
    <xf numFmtId="0" fontId="4" fillId="0" borderId="109" xfId="0" applyFont="1" applyBorder="1" applyAlignment="1" applyProtection="1">
      <alignment horizontal="left" vertical="center"/>
      <protection locked="0"/>
    </xf>
    <xf numFmtId="0" fontId="4" fillId="0" borderId="110" xfId="0" applyFont="1" applyBorder="1" applyAlignment="1" applyProtection="1">
      <alignment horizontal="left" vertical="center"/>
      <protection locked="0"/>
    </xf>
    <xf numFmtId="0" fontId="4" fillId="0" borderId="58" xfId="0" applyFont="1" applyBorder="1" applyAlignment="1" applyProtection="1">
      <alignment horizontal="left"/>
      <protection locked="0"/>
    </xf>
    <xf numFmtId="0" fontId="4" fillId="0" borderId="45" xfId="0" applyFont="1" applyBorder="1" applyAlignment="1" applyProtection="1">
      <alignment horizontal="left"/>
      <protection locked="0"/>
    </xf>
    <xf numFmtId="0" fontId="76" fillId="0" borderId="2" xfId="0" applyFont="1" applyBorder="1" applyAlignment="1">
      <alignment wrapText="1"/>
    </xf>
    <xf numFmtId="0" fontId="76" fillId="0" borderId="0" xfId="0" applyFont="1" applyAlignment="1">
      <alignment wrapText="1"/>
    </xf>
    <xf numFmtId="0" fontId="4" fillId="0" borderId="58" xfId="0" applyFont="1" applyBorder="1" applyAlignment="1" applyProtection="1">
      <alignment horizontal="center"/>
      <protection locked="0"/>
    </xf>
    <xf numFmtId="0" fontId="4" fillId="0" borderId="45" xfId="0" applyFont="1" applyBorder="1" applyAlignment="1" applyProtection="1">
      <alignment horizontal="center"/>
      <protection locked="0"/>
    </xf>
    <xf numFmtId="0" fontId="4" fillId="0" borderId="58" xfId="0" applyFont="1" applyBorder="1" applyAlignment="1">
      <alignment horizontal="left"/>
    </xf>
    <xf numFmtId="0" fontId="4" fillId="0" borderId="45" xfId="0" applyFont="1" applyBorder="1" applyAlignment="1">
      <alignment horizontal="left"/>
    </xf>
    <xf numFmtId="0" fontId="97" fillId="0" borderId="109" xfId="0" applyFont="1" applyBorder="1" applyAlignment="1" applyProtection="1">
      <alignment horizontal="left"/>
      <protection locked="0"/>
    </xf>
    <xf numFmtId="0" fontId="97" fillId="0" borderId="110" xfId="0" applyFont="1" applyBorder="1" applyAlignment="1" applyProtection="1">
      <alignment horizontal="left"/>
      <protection locked="0"/>
    </xf>
    <xf numFmtId="0" fontId="4" fillId="0" borderId="109" xfId="0" applyFont="1" applyBorder="1" applyAlignment="1" applyProtection="1">
      <alignment horizontal="left"/>
      <protection locked="0"/>
    </xf>
    <xf numFmtId="0" fontId="4" fillId="0" borderId="110" xfId="0" applyFont="1" applyBorder="1" applyAlignment="1" applyProtection="1">
      <alignment horizontal="left"/>
      <protection locked="0"/>
    </xf>
    <xf numFmtId="0" fontId="4" fillId="0" borderId="111" xfId="0" applyFont="1" applyBorder="1" applyAlignment="1" applyProtection="1">
      <alignment horizontal="left"/>
      <protection locked="0"/>
    </xf>
    <xf numFmtId="0" fontId="4" fillId="0" borderId="112" xfId="0" applyFont="1" applyBorder="1" applyAlignment="1" applyProtection="1">
      <alignment horizontal="left"/>
      <protection locked="0"/>
    </xf>
    <xf numFmtId="0" fontId="4" fillId="0" borderId="95" xfId="0" applyFont="1" applyBorder="1" applyAlignment="1" applyProtection="1">
      <alignment horizontal="left"/>
      <protection locked="0"/>
    </xf>
    <xf numFmtId="0" fontId="4" fillId="0" borderId="96" xfId="0" applyFont="1" applyBorder="1" applyAlignment="1" applyProtection="1">
      <alignment horizontal="left"/>
      <protection locked="0"/>
    </xf>
    <xf numFmtId="165" fontId="7" fillId="2" borderId="12" xfId="0" applyNumberFormat="1" applyFont="1" applyFill="1" applyBorder="1"/>
    <xf numFmtId="165" fontId="0" fillId="2" borderId="17" xfId="0" applyNumberFormat="1" applyFill="1" applyBorder="1"/>
    <xf numFmtId="3" fontId="7" fillId="0" borderId="12" xfId="0" applyNumberFormat="1" applyFont="1" applyBorder="1" applyAlignment="1">
      <alignment horizontal="right"/>
    </xf>
    <xf numFmtId="3" fontId="0" fillId="0" borderId="17" xfId="0" applyNumberFormat="1" applyBorder="1"/>
    <xf numFmtId="0" fontId="3" fillId="0" borderId="14" xfId="0" applyFont="1" applyBorder="1" applyAlignment="1">
      <alignment horizontal="center"/>
    </xf>
    <xf numFmtId="0" fontId="1" fillId="0" borderId="14" xfId="0" applyFont="1" applyBorder="1" applyAlignment="1">
      <alignment horizontal="center"/>
    </xf>
    <xf numFmtId="3" fontId="7" fillId="0" borderId="12" xfId="0" applyNumberFormat="1" applyFont="1" applyBorder="1"/>
    <xf numFmtId="3" fontId="7" fillId="2" borderId="12" xfId="0" applyNumberFormat="1" applyFont="1" applyFill="1" applyBorder="1" applyAlignment="1">
      <alignment horizontal="right"/>
    </xf>
    <xf numFmtId="3" fontId="0" fillId="2" borderId="17" xfId="0" applyNumberFormat="1" applyFill="1" applyBorder="1" applyAlignment="1">
      <alignment horizontal="right"/>
    </xf>
    <xf numFmtId="3" fontId="7" fillId="2" borderId="12" xfId="0" applyNumberFormat="1" applyFont="1" applyFill="1" applyBorder="1"/>
    <xf numFmtId="3" fontId="0" fillId="2" borderId="17" xfId="0" applyNumberFormat="1" applyFill="1" applyBorder="1"/>
    <xf numFmtId="165" fontId="7" fillId="2" borderId="12" xfId="0" applyNumberFormat="1" applyFont="1" applyFill="1" applyBorder="1" applyAlignment="1">
      <alignment horizontal="right"/>
    </xf>
    <xf numFmtId="165" fontId="7" fillId="2" borderId="17" xfId="0" applyNumberFormat="1" applyFont="1" applyFill="1" applyBorder="1" applyAlignment="1">
      <alignment horizontal="right"/>
    </xf>
    <xf numFmtId="0" fontId="3" fillId="0" borderId="14" xfId="0" applyFont="1" applyBorder="1" applyAlignment="1">
      <alignment horizontal="left"/>
    </xf>
    <xf numFmtId="0" fontId="1" fillId="0" borderId="14" xfId="0" applyFont="1" applyBorder="1"/>
    <xf numFmtId="4" fontId="7" fillId="0" borderId="12" xfId="0" applyNumberFormat="1" applyFont="1" applyBorder="1"/>
    <xf numFmtId="0" fontId="0" fillId="0" borderId="17" xfId="0" applyBorder="1"/>
    <xf numFmtId="4" fontId="7" fillId="2" borderId="12" xfId="0" applyNumberFormat="1" applyFont="1" applyFill="1" applyBorder="1"/>
    <xf numFmtId="0" fontId="0" fillId="2" borderId="17" xfId="0" applyFill="1" applyBorder="1"/>
    <xf numFmtId="4" fontId="7" fillId="0" borderId="12" xfId="0" applyNumberFormat="1" applyFont="1" applyBorder="1" applyAlignment="1">
      <alignment horizontal="right"/>
    </xf>
    <xf numFmtId="0" fontId="0" fillId="0" borderId="17" xfId="0" applyBorder="1" applyAlignment="1">
      <alignment horizontal="right"/>
    </xf>
    <xf numFmtId="0" fontId="9" fillId="0" borderId="0" xfId="0" applyFont="1" applyAlignment="1">
      <alignment horizontal="right" vertical="top" wrapText="1"/>
    </xf>
    <xf numFmtId="3" fontId="0" fillId="0" borderId="17" xfId="0" applyNumberFormat="1" applyBorder="1" applyAlignment="1">
      <alignment horizontal="right"/>
    </xf>
    <xf numFmtId="38" fontId="3" fillId="0" borderId="53" xfId="0" applyNumberFormat="1" applyFont="1" applyBorder="1"/>
    <xf numFmtId="0" fontId="0" fillId="0" borderId="81" xfId="0" applyBorder="1"/>
    <xf numFmtId="0" fontId="36" fillId="4" borderId="0" xfId="8" applyFont="1" applyFill="1" applyAlignment="1" applyProtection="1">
      <alignment horizontal="left"/>
    </xf>
    <xf numFmtId="38" fontId="3" fillId="0" borderId="9" xfId="0" applyNumberFormat="1" applyFont="1" applyBorder="1"/>
    <xf numFmtId="0" fontId="0" fillId="0" borderId="9" xfId="0" applyBorder="1"/>
    <xf numFmtId="49" fontId="3" fillId="0" borderId="14" xfId="0" applyNumberFormat="1" applyFont="1" applyBorder="1" applyAlignment="1">
      <alignment horizontal="left"/>
    </xf>
    <xf numFmtId="0" fontId="0" fillId="0" borderId="14" xfId="0" applyBorder="1"/>
    <xf numFmtId="0" fontId="8" fillId="0" borderId="0" xfId="0" applyFont="1" applyAlignment="1">
      <alignment horizontal="right"/>
    </xf>
    <xf numFmtId="0" fontId="0" fillId="0" borderId="0" xfId="0" applyAlignment="1">
      <alignment horizontal="right"/>
    </xf>
    <xf numFmtId="0" fontId="8" fillId="3" borderId="0" xfId="0" applyFont="1" applyFill="1" applyAlignment="1">
      <alignment horizontal="center"/>
    </xf>
    <xf numFmtId="38" fontId="62" fillId="0" borderId="0" xfId="0" applyNumberFormat="1" applyFont="1" applyAlignment="1">
      <alignment horizontal="right"/>
    </xf>
    <xf numFmtId="0" fontId="62" fillId="0" borderId="0" xfId="0" applyFont="1" applyAlignment="1">
      <alignment horizontal="right"/>
    </xf>
    <xf numFmtId="38" fontId="3" fillId="0" borderId="81" xfId="0" applyNumberFormat="1" applyFont="1" applyBorder="1"/>
    <xf numFmtId="0" fontId="3" fillId="0" borderId="0" xfId="0" applyFont="1" applyAlignment="1">
      <alignment horizontal="justify" wrapText="1"/>
    </xf>
    <xf numFmtId="0" fontId="0" fillId="0" borderId="0" xfId="0" applyAlignment="1">
      <alignment horizontal="justify" wrapText="1"/>
    </xf>
    <xf numFmtId="0" fontId="0" fillId="0" borderId="0" xfId="0" applyAlignment="1">
      <alignment horizontal="justify"/>
    </xf>
    <xf numFmtId="0" fontId="36" fillId="3" borderId="0" xfId="8" applyFont="1" applyFill="1" applyAlignment="1" applyProtection="1">
      <alignment horizontal="left"/>
    </xf>
    <xf numFmtId="0" fontId="109" fillId="0" borderId="0" xfId="0" applyFont="1" applyAlignment="1">
      <alignment horizontal="left" vertical="top" wrapText="1"/>
    </xf>
    <xf numFmtId="0" fontId="0" fillId="0" borderId="14" xfId="0" applyBorder="1" applyAlignment="1">
      <alignment horizontal="left"/>
    </xf>
    <xf numFmtId="0" fontId="98" fillId="0" borderId="23" xfId="0" applyFont="1" applyBorder="1" applyAlignment="1">
      <alignment horizontal="center" vertical="center"/>
    </xf>
    <xf numFmtId="0" fontId="5" fillId="0" borderId="58" xfId="0" applyFont="1" applyBorder="1" applyAlignment="1">
      <alignment horizontal="center"/>
    </xf>
    <xf numFmtId="0" fontId="5" fillId="0" borderId="45"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26" xfId="0" applyFont="1" applyBorder="1" applyAlignment="1">
      <alignment horizontal="left" wrapText="1"/>
    </xf>
    <xf numFmtId="0" fontId="5" fillId="0" borderId="18" xfId="0" applyFont="1" applyBorder="1" applyAlignment="1">
      <alignment horizontal="left" wrapText="1"/>
    </xf>
    <xf numFmtId="0" fontId="5" fillId="0" borderId="2" xfId="0" applyFont="1" applyBorder="1" applyAlignment="1">
      <alignment wrapText="1"/>
    </xf>
    <xf numFmtId="0" fontId="5" fillId="0" borderId="0" xfId="0" applyFont="1" applyBorder="1" applyAlignment="1">
      <alignment wrapText="1"/>
    </xf>
    <xf numFmtId="0" fontId="5" fillId="0" borderId="10" xfId="0" applyFont="1" applyBorder="1" applyAlignment="1">
      <alignment horizontal="left" wrapText="1"/>
    </xf>
    <xf numFmtId="0" fontId="5" fillId="0" borderId="23" xfId="0" applyFont="1" applyBorder="1" applyAlignment="1">
      <alignment horizontal="left" wrapText="1"/>
    </xf>
    <xf numFmtId="37" fontId="7" fillId="0" borderId="0" xfId="0" applyNumberFormat="1" applyFont="1"/>
    <xf numFmtId="0" fontId="5" fillId="0" borderId="2" xfId="0" applyFont="1" applyBorder="1" applyAlignment="1">
      <alignment horizontal="left" wrapText="1"/>
    </xf>
    <xf numFmtId="0" fontId="5" fillId="0" borderId="0" xfId="0" applyFont="1" applyBorder="1" applyAlignment="1">
      <alignment horizontal="left" wrapText="1"/>
    </xf>
    <xf numFmtId="0" fontId="5" fillId="5" borderId="2" xfId="0" applyFont="1" applyFill="1" applyBorder="1" applyAlignment="1">
      <alignment wrapText="1"/>
    </xf>
    <xf numFmtId="0" fontId="5" fillId="5" borderId="0" xfId="0" applyFont="1" applyFill="1" applyBorder="1" applyAlignment="1">
      <alignment wrapText="1"/>
    </xf>
    <xf numFmtId="0" fontId="88" fillId="0" borderId="0" xfId="0" applyFont="1" applyAlignment="1">
      <alignment horizontal="left"/>
    </xf>
    <xf numFmtId="37" fontId="7" fillId="9" borderId="12" xfId="0" applyNumberFormat="1" applyFont="1" applyFill="1" applyBorder="1" applyAlignment="1">
      <alignment horizontal="right"/>
    </xf>
    <xf numFmtId="0" fontId="0" fillId="9" borderId="17" xfId="0" applyFill="1" applyBorder="1" applyAlignment="1">
      <alignment horizontal="right"/>
    </xf>
    <xf numFmtId="37" fontId="7" fillId="9" borderId="97" xfId="0" applyNumberFormat="1" applyFont="1" applyFill="1" applyBorder="1" applyAlignment="1">
      <alignment horizontal="right"/>
    </xf>
    <xf numFmtId="0" fontId="0" fillId="9" borderId="107" xfId="0" applyFill="1" applyBorder="1"/>
    <xf numFmtId="165" fontId="0" fillId="2" borderId="17" xfId="0" applyNumberFormat="1" applyFill="1" applyBorder="1" applyAlignment="1">
      <alignment horizontal="right"/>
    </xf>
    <xf numFmtId="37" fontId="7" fillId="0" borderId="12" xfId="0" applyNumberFormat="1" applyFont="1" applyBorder="1" applyAlignment="1">
      <alignment horizontal="right"/>
    </xf>
    <xf numFmtId="37" fontId="7" fillId="2" borderId="12" xfId="0" applyNumberFormat="1" applyFont="1" applyFill="1" applyBorder="1" applyAlignment="1">
      <alignment horizontal="right"/>
    </xf>
    <xf numFmtId="0" fontId="0" fillId="2" borderId="17" xfId="0" applyFill="1" applyBorder="1" applyAlignment="1">
      <alignment horizontal="right"/>
    </xf>
    <xf numFmtId="0" fontId="7" fillId="0" borderId="12" xfId="0" applyFont="1" applyBorder="1" applyAlignment="1">
      <alignment horizontal="center"/>
    </xf>
    <xf numFmtId="0" fontId="0" fillId="0" borderId="5" xfId="0" applyBorder="1"/>
    <xf numFmtId="0" fontId="7" fillId="0" borderId="93" xfId="0" applyFont="1" applyBorder="1" applyAlignment="1">
      <alignment horizontal="center" wrapText="1"/>
    </xf>
    <xf numFmtId="0" fontId="0" fillId="0" borderId="25" xfId="0" applyBorder="1" applyAlignment="1">
      <alignment horizontal="center" wrapText="1"/>
    </xf>
    <xf numFmtId="0" fontId="7" fillId="0" borderId="25" xfId="0" applyFont="1" applyBorder="1" applyAlignment="1">
      <alignment horizontal="center" wrapText="1"/>
    </xf>
    <xf numFmtId="0" fontId="6" fillId="0" borderId="14" xfId="0" applyFont="1" applyBorder="1" applyAlignment="1">
      <alignment horizontal="center"/>
    </xf>
    <xf numFmtId="0" fontId="7" fillId="5" borderId="93" xfId="0" applyFont="1" applyFill="1" applyBorder="1" applyAlignment="1">
      <alignment horizontal="center" wrapText="1"/>
    </xf>
    <xf numFmtId="0" fontId="7" fillId="5" borderId="25" xfId="0" applyFont="1" applyFill="1" applyBorder="1" applyAlignment="1">
      <alignment horizontal="center" wrapText="1"/>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23"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43" fillId="4" borderId="6" xfId="8" applyFont="1" applyFill="1" applyBorder="1" applyAlignment="1" applyProtection="1">
      <alignment horizontal="center"/>
    </xf>
    <xf numFmtId="0" fontId="43" fillId="4" borderId="1" xfId="8" applyFont="1" applyFill="1" applyBorder="1" applyAlignment="1" applyProtection="1">
      <alignment horizontal="center"/>
    </xf>
    <xf numFmtId="0" fontId="43" fillId="4" borderId="71" xfId="8" applyFont="1" applyFill="1" applyBorder="1" applyAlignment="1" applyProtection="1">
      <alignment horizontal="center"/>
    </xf>
    <xf numFmtId="0" fontId="43" fillId="4" borderId="19" xfId="8" applyFont="1" applyFill="1" applyBorder="1" applyAlignment="1" applyProtection="1">
      <alignment horizontal="center"/>
    </xf>
    <xf numFmtId="0" fontId="14" fillId="0" borderId="4" xfId="11" applyFont="1" applyBorder="1" applyAlignment="1">
      <alignment horizontal="center"/>
    </xf>
    <xf numFmtId="0" fontId="14" fillId="0" borderId="17" xfId="11" applyFont="1" applyBorder="1" applyAlignment="1">
      <alignment horizontal="center"/>
    </xf>
    <xf numFmtId="177" fontId="14" fillId="2" borderId="17" xfId="11" applyNumberFormat="1" applyFont="1" applyFill="1" applyBorder="1" applyAlignment="1">
      <alignment horizontal="center"/>
    </xf>
    <xf numFmtId="37" fontId="7" fillId="0" borderId="0" xfId="0" applyNumberFormat="1" applyFont="1" applyAlignment="1">
      <alignment horizontal="right"/>
    </xf>
    <xf numFmtId="3" fontId="7" fillId="0" borderId="0" xfId="11" applyNumberFormat="1" applyFont="1" applyAlignment="1">
      <alignment horizontal="right"/>
    </xf>
    <xf numFmtId="0" fontId="14" fillId="0" borderId="1" xfId="11" applyFont="1" applyBorder="1" applyAlignment="1">
      <alignment horizontal="center"/>
    </xf>
    <xf numFmtId="0" fontId="14" fillId="0" borderId="12" xfId="11" applyFont="1" applyBorder="1" applyAlignment="1">
      <alignment horizontal="center"/>
    </xf>
    <xf numFmtId="177" fontId="14" fillId="2" borderId="12" xfId="11" applyNumberFormat="1" applyFont="1" applyFill="1" applyBorder="1" applyAlignment="1">
      <alignment horizontal="center"/>
    </xf>
    <xf numFmtId="165" fontId="7" fillId="0" borderId="0" xfId="0" applyNumberFormat="1" applyFont="1" applyAlignment="1">
      <alignment horizontal="right"/>
    </xf>
    <xf numFmtId="3" fontId="7" fillId="0" borderId="0" xfId="0" applyNumberFormat="1" applyFont="1"/>
    <xf numFmtId="4" fontId="11" fillId="0" borderId="15" xfId="0" applyNumberFormat="1" applyFont="1" applyBorder="1" applyAlignment="1" applyProtection="1">
      <alignment horizontal="right"/>
      <protection locked="0"/>
    </xf>
    <xf numFmtId="4" fontId="11" fillId="0" borderId="39" xfId="0" applyNumberFormat="1" applyFont="1" applyBorder="1" applyAlignment="1" applyProtection="1">
      <alignment horizontal="right"/>
      <protection locked="0"/>
    </xf>
    <xf numFmtId="4" fontId="11" fillId="0" borderId="56" xfId="0" applyNumberFormat="1" applyFont="1" applyBorder="1" applyAlignment="1" applyProtection="1">
      <alignment horizontal="right"/>
      <protection locked="0"/>
    </xf>
    <xf numFmtId="4" fontId="11" fillId="0" borderId="98" xfId="0" applyNumberFormat="1" applyFont="1" applyBorder="1" applyAlignment="1" applyProtection="1">
      <alignment horizontal="right"/>
      <protection locked="0"/>
    </xf>
    <xf numFmtId="4" fontId="11" fillId="0" borderId="3" xfId="0" applyNumberFormat="1" applyFont="1" applyBorder="1" applyAlignment="1" applyProtection="1">
      <alignment horizontal="right"/>
      <protection locked="0"/>
    </xf>
    <xf numFmtId="4" fontId="11" fillId="0" borderId="4" xfId="0" applyNumberFormat="1" applyFont="1" applyBorder="1" applyAlignment="1" applyProtection="1">
      <alignment horizontal="right"/>
      <protection locked="0"/>
    </xf>
    <xf numFmtId="49" fontId="9" fillId="0" borderId="0" xfId="0" applyNumberFormat="1" applyFont="1" applyAlignment="1">
      <alignment horizontal="left"/>
    </xf>
    <xf numFmtId="0" fontId="31" fillId="0" borderId="0" xfId="0" applyFont="1" applyAlignment="1">
      <alignment horizontal="left"/>
    </xf>
    <xf numFmtId="37" fontId="11" fillId="0" borderId="15" xfId="0" applyNumberFormat="1" applyFont="1" applyBorder="1" applyAlignment="1" applyProtection="1">
      <alignment horizontal="right"/>
      <protection locked="0"/>
    </xf>
    <xf numFmtId="0" fontId="0" fillId="0" borderId="39" xfId="0" applyBorder="1" applyAlignment="1" applyProtection="1">
      <alignment horizontal="right"/>
      <protection locked="0"/>
    </xf>
    <xf numFmtId="37" fontId="9" fillId="0" borderId="14" xfId="0" applyNumberFormat="1" applyFont="1" applyBorder="1" applyAlignment="1">
      <alignment horizontal="center"/>
    </xf>
    <xf numFmtId="37" fontId="7" fillId="0" borderId="15" xfId="0" applyNumberFormat="1" applyFont="1" applyBorder="1" applyAlignment="1" applyProtection="1">
      <alignment horizontal="right"/>
      <protection locked="0"/>
    </xf>
    <xf numFmtId="37" fontId="7" fillId="0" borderId="39" xfId="0" applyNumberFormat="1" applyFont="1" applyBorder="1" applyAlignment="1" applyProtection="1">
      <alignment horizontal="right"/>
      <protection locked="0"/>
    </xf>
    <xf numFmtId="37" fontId="7" fillId="0" borderId="15" xfId="0" applyNumberFormat="1" applyFont="1" applyBorder="1" applyAlignment="1">
      <alignment horizontal="right"/>
    </xf>
    <xf numFmtId="37" fontId="7" fillId="0" borderId="39" xfId="0" applyNumberFormat="1" applyFont="1" applyBorder="1" applyAlignment="1">
      <alignment horizontal="right"/>
    </xf>
    <xf numFmtId="4" fontId="11" fillId="0" borderId="99" xfId="0" applyNumberFormat="1" applyFont="1" applyBorder="1" applyAlignment="1" applyProtection="1">
      <alignment horizontal="right"/>
      <protection locked="0"/>
    </xf>
    <xf numFmtId="4" fontId="11" fillId="0" borderId="100" xfId="0" applyNumberFormat="1" applyFont="1" applyBorder="1" applyAlignment="1" applyProtection="1">
      <alignment horizontal="right"/>
      <protection locked="0"/>
    </xf>
    <xf numFmtId="4" fontId="11" fillId="0" borderId="101" xfId="0" applyNumberFormat="1" applyFont="1" applyBorder="1" applyAlignment="1">
      <alignment horizontal="right"/>
    </xf>
    <xf numFmtId="4" fontId="11" fillId="0" borderId="102" xfId="0" applyNumberFormat="1" applyFont="1" applyBorder="1" applyAlignment="1">
      <alignment horizontal="right"/>
    </xf>
    <xf numFmtId="0" fontId="9" fillId="0" borderId="14" xfId="0" applyFont="1" applyBorder="1" applyAlignment="1">
      <alignment horizontal="center"/>
    </xf>
    <xf numFmtId="49" fontId="3" fillId="0" borderId="68" xfId="0" applyNumberFormat="1" applyFont="1" applyBorder="1" applyAlignment="1">
      <alignment horizontal="center"/>
    </xf>
    <xf numFmtId="4" fontId="11" fillId="0" borderId="7" xfId="0" applyNumberFormat="1" applyFont="1" applyBorder="1" applyAlignment="1">
      <alignment horizontal="right"/>
    </xf>
    <xf numFmtId="0" fontId="0" fillId="0" borderId="3" xfId="0" applyBorder="1" applyAlignment="1">
      <alignment horizontal="right"/>
    </xf>
    <xf numFmtId="37" fontId="11" fillId="0" borderId="42" xfId="0" applyNumberFormat="1" applyFont="1" applyBorder="1" applyAlignment="1">
      <alignment horizontal="right"/>
    </xf>
    <xf numFmtId="0" fontId="0" fillId="0" borderId="4" xfId="0" applyBorder="1" applyAlignment="1">
      <alignment horizontal="right"/>
    </xf>
    <xf numFmtId="0" fontId="11" fillId="0" borderId="16" xfId="0" applyFont="1" applyBorder="1" applyAlignment="1">
      <alignment horizontal="center"/>
    </xf>
    <xf numFmtId="0" fontId="11" fillId="0" borderId="1" xfId="0" applyFont="1" applyBorder="1" applyAlignment="1">
      <alignment horizontal="center"/>
    </xf>
    <xf numFmtId="0" fontId="21" fillId="0" borderId="7" xfId="0" applyFont="1" applyBorder="1" applyAlignment="1">
      <alignment horizontal="center"/>
    </xf>
    <xf numFmtId="0" fontId="21" fillId="0" borderId="0" xfId="0" applyFont="1" applyAlignment="1">
      <alignment horizontal="center"/>
    </xf>
    <xf numFmtId="0" fontId="21" fillId="0" borderId="9" xfId="0" applyFont="1" applyBorder="1" applyAlignment="1">
      <alignment horizontal="center"/>
    </xf>
    <xf numFmtId="0" fontId="11" fillId="0" borderId="56" xfId="0" applyFont="1" applyBorder="1" applyAlignment="1">
      <alignment horizontal="center"/>
    </xf>
    <xf numFmtId="0" fontId="11" fillId="0" borderId="98" xfId="0" applyFont="1" applyBorder="1" applyAlignment="1">
      <alignment horizontal="center"/>
    </xf>
    <xf numFmtId="4" fontId="11" fillId="0" borderId="103" xfId="0" applyNumberFormat="1" applyFont="1" applyBorder="1" applyAlignment="1">
      <alignment horizontal="right"/>
    </xf>
    <xf numFmtId="4" fontId="11" fillId="0" borderId="104" xfId="0" applyNumberFormat="1" applyFont="1" applyBorder="1" applyAlignment="1">
      <alignment horizontal="right"/>
    </xf>
    <xf numFmtId="0" fontId="0" fillId="0" borderId="0" xfId="0"/>
    <xf numFmtId="0" fontId="9" fillId="0" borderId="0" xfId="0" applyFont="1" applyAlignment="1">
      <alignment horizontal="center"/>
    </xf>
    <xf numFmtId="37" fontId="7" fillId="0" borderId="0" xfId="0" quotePrefix="1" applyNumberFormat="1" applyFont="1"/>
    <xf numFmtId="37" fontId="11" fillId="0" borderId="101" xfId="0" applyNumberFormat="1" applyFont="1" applyBorder="1" applyAlignment="1">
      <alignment horizontal="right"/>
    </xf>
    <xf numFmtId="0" fontId="0" fillId="0" borderId="102" xfId="0" applyBorder="1" applyAlignment="1">
      <alignment horizontal="right"/>
    </xf>
    <xf numFmtId="37" fontId="7" fillId="0" borderId="101" xfId="0" applyNumberFormat="1" applyFont="1" applyBorder="1" applyAlignment="1">
      <alignment horizontal="right"/>
    </xf>
    <xf numFmtId="37" fontId="7" fillId="0" borderId="102" xfId="0" applyNumberFormat="1" applyFont="1" applyBorder="1" applyAlignment="1">
      <alignment horizontal="right"/>
    </xf>
    <xf numFmtId="37" fontId="11" fillId="0" borderId="36" xfId="0" applyNumberFormat="1" applyFont="1" applyBorder="1" applyAlignment="1" applyProtection="1">
      <alignment horizontal="right"/>
      <protection locked="0"/>
    </xf>
    <xf numFmtId="0" fontId="0" fillId="0" borderId="37" xfId="0" applyBorder="1" applyAlignment="1" applyProtection="1">
      <alignment horizontal="right"/>
      <protection locked="0"/>
    </xf>
    <xf numFmtId="37" fontId="7" fillId="0" borderId="6" xfId="0" applyNumberFormat="1" applyFont="1" applyBorder="1" applyAlignment="1">
      <alignment horizontal="right"/>
    </xf>
    <xf numFmtId="37" fontId="7" fillId="0" borderId="1" xfId="0" applyNumberFormat="1" applyFont="1" applyBorder="1" applyAlignment="1">
      <alignment horizontal="right"/>
    </xf>
    <xf numFmtId="0" fontId="99" fillId="0" borderId="0" xfId="13" applyFont="1" applyFill="1" applyAlignment="1">
      <alignment horizontal="left" wrapText="1"/>
    </xf>
    <xf numFmtId="37" fontId="7" fillId="0" borderId="0" xfId="13" applyNumberFormat="1" applyFont="1" applyFill="1" applyAlignment="1">
      <alignment horizontal="left" wrapText="1"/>
    </xf>
    <xf numFmtId="0" fontId="7" fillId="0" borderId="23" xfId="21" applyFont="1" applyFill="1" applyBorder="1" applyAlignment="1" applyProtection="1">
      <alignment horizontal="left" vertical="top" wrapText="1"/>
      <protection locked="0"/>
    </xf>
    <xf numFmtId="0" fontId="99" fillId="0" borderId="0" xfId="13" applyFont="1" applyFill="1" applyAlignment="1">
      <alignment horizontal="center" wrapText="1"/>
    </xf>
    <xf numFmtId="0" fontId="99" fillId="2" borderId="0" xfId="13" applyFont="1" applyAlignment="1">
      <alignment horizontal="center" vertical="center" wrapText="1"/>
    </xf>
    <xf numFmtId="37" fontId="65" fillId="0" borderId="0" xfId="13" applyNumberFormat="1" applyFont="1" applyFill="1" applyAlignment="1">
      <alignment horizontal="left" vertical="top" wrapText="1"/>
    </xf>
    <xf numFmtId="37" fontId="7" fillId="2" borderId="0" xfId="13" applyNumberFormat="1" applyFont="1"/>
    <xf numFmtId="37" fontId="11" fillId="0" borderId="0" xfId="13" applyNumberFormat="1" applyFont="1" applyFill="1" applyAlignment="1">
      <alignment horizontal="left" vertical="top" wrapText="1"/>
    </xf>
    <xf numFmtId="37" fontId="7" fillId="0" borderId="14" xfId="0" applyNumberFormat="1" applyFont="1" applyBorder="1"/>
    <xf numFmtId="37" fontId="7" fillId="0" borderId="46" xfId="0" applyNumberFormat="1" applyFont="1" applyBorder="1"/>
    <xf numFmtId="37" fontId="11" fillId="0" borderId="16" xfId="13" quotePrefix="1" applyNumberFormat="1" applyFont="1" applyFill="1" applyBorder="1"/>
    <xf numFmtId="37" fontId="11" fillId="0" borderId="14" xfId="13" quotePrefix="1" applyNumberFormat="1" applyFont="1" applyFill="1" applyBorder="1"/>
    <xf numFmtId="37" fontId="11" fillId="0" borderId="0" xfId="13" applyNumberFormat="1" applyFont="1" applyFill="1" applyAlignment="1">
      <alignment horizontal="left" vertical="top"/>
    </xf>
    <xf numFmtId="0" fontId="24" fillId="0" borderId="0" xfId="0" applyFont="1"/>
    <xf numFmtId="0" fontId="7" fillId="0" borderId="23" xfId="21" applyFont="1" applyFill="1" applyBorder="1" applyAlignment="1" applyProtection="1">
      <alignment horizontal="left" vertical="top"/>
      <protection locked="0"/>
    </xf>
    <xf numFmtId="37" fontId="11" fillId="0" borderId="0" xfId="13" applyNumberFormat="1" applyFont="1" applyFill="1"/>
    <xf numFmtId="0" fontId="0" fillId="0" borderId="46" xfId="0" applyBorder="1"/>
    <xf numFmtId="0" fontId="7" fillId="0" borderId="0" xfId="13" applyFont="1" applyFill="1" applyAlignment="1">
      <alignment horizontal="left" vertical="top" wrapText="1"/>
    </xf>
    <xf numFmtId="0" fontId="11" fillId="0" borderId="0" xfId="13" applyFont="1" applyFill="1" applyAlignment="1">
      <alignment horizontal="left" vertical="top" wrapText="1"/>
    </xf>
    <xf numFmtId="37" fontId="11" fillId="2" borderId="1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5" fillId="0" borderId="0" xfId="13" applyNumberFormat="1" applyFont="1" applyFill="1" applyAlignment="1">
      <alignment horizontal="left" wrapText="1"/>
    </xf>
    <xf numFmtId="0" fontId="100" fillId="0" borderId="0" xfId="0" applyFont="1" applyAlignment="1">
      <alignment wrapText="1"/>
    </xf>
    <xf numFmtId="0" fontId="65"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8" fillId="0" borderId="0" xfId="13" applyFont="1" applyFill="1" applyAlignment="1">
      <alignment horizontal="center" wrapText="1"/>
    </xf>
    <xf numFmtId="0" fontId="1" fillId="0" borderId="0" xfId="0" applyFont="1" applyAlignment="1">
      <alignment horizontal="center" wrapText="1"/>
    </xf>
    <xf numFmtId="37" fontId="3" fillId="0" borderId="0" xfId="0" applyNumberFormat="1" applyFont="1" applyAlignment="1">
      <alignment horizontal="right"/>
    </xf>
    <xf numFmtId="37" fontId="3" fillId="0" borderId="23" xfId="0" applyNumberFormat="1" applyFont="1" applyBorder="1" applyAlignment="1">
      <alignment horizontal="right"/>
    </xf>
    <xf numFmtId="0" fontId="3" fillId="0" borderId="0" xfId="0" applyFont="1" applyAlignment="1">
      <alignment horizontal="left"/>
    </xf>
    <xf numFmtId="49" fontId="3" fillId="0" borderId="0" xfId="0" applyNumberFormat="1" applyFont="1" applyAlignment="1">
      <alignment horizontal="left"/>
    </xf>
    <xf numFmtId="49" fontId="3" fillId="0" borderId="0" xfId="8" applyNumberFormat="1" applyFont="1" applyAlignment="1" applyProtection="1">
      <alignment horizontal="left"/>
    </xf>
    <xf numFmtId="0" fontId="3" fillId="0" borderId="23" xfId="13" applyFont="1" applyFill="1" applyBorder="1" applyAlignment="1" applyProtection="1">
      <alignment horizontal="left"/>
      <protection locked="0"/>
    </xf>
    <xf numFmtId="0" fontId="3" fillId="2" borderId="0" xfId="13" applyFont="1" applyAlignment="1">
      <alignment horizontal="left" wrapText="1"/>
    </xf>
    <xf numFmtId="49" fontId="3" fillId="0" borderId="0" xfId="0" quotePrefix="1" applyNumberFormat="1" applyFont="1" applyAlignment="1">
      <alignment horizontal="left"/>
    </xf>
    <xf numFmtId="49" fontId="23" fillId="0" borderId="0" xfId="13" applyNumberFormat="1" applyFont="1" applyFill="1" applyAlignment="1">
      <alignment horizontal="left"/>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49" fontId="3" fillId="0" borderId="0" xfId="13" applyNumberFormat="1" applyFont="1" applyFill="1" applyAlignment="1">
      <alignment horizontal="left"/>
    </xf>
    <xf numFmtId="37" fontId="3" fillId="0" borderId="18" xfId="0" applyNumberFormat="1" applyFont="1" applyBorder="1" applyAlignment="1">
      <alignment horizontal="right"/>
    </xf>
    <xf numFmtId="0" fontId="1" fillId="0" borderId="23" xfId="0" applyFont="1" applyBorder="1" applyAlignment="1">
      <alignment horizontal="right"/>
    </xf>
    <xf numFmtId="165" fontId="7" fillId="0" borderId="12" xfId="0" applyNumberFormat="1" applyFont="1" applyBorder="1"/>
    <xf numFmtId="165" fontId="0" fillId="0" borderId="17" xfId="0" applyNumberFormat="1" applyBorder="1"/>
    <xf numFmtId="0" fontId="8" fillId="0" borderId="14" xfId="0" applyFont="1" applyBorder="1" applyAlignment="1">
      <alignment horizontal="center" vertical="center" wrapText="1"/>
    </xf>
    <xf numFmtId="0" fontId="8" fillId="0" borderId="14" xfId="0" applyFont="1" applyBorder="1" applyAlignment="1">
      <alignment horizontal="center" vertical="center"/>
    </xf>
    <xf numFmtId="0" fontId="7" fillId="0" borderId="17" xfId="0" applyFont="1" applyBorder="1"/>
    <xf numFmtId="0" fontId="8" fillId="0" borderId="7" xfId="0" applyFont="1" applyBorder="1"/>
    <xf numFmtId="0" fontId="8" fillId="0" borderId="0" xfId="0" applyFont="1"/>
    <xf numFmtId="0" fontId="9" fillId="0" borderId="6" xfId="0" applyFont="1" applyBorder="1"/>
    <xf numFmtId="0" fontId="9" fillId="0" borderId="16" xfId="0" applyFont="1" applyBorder="1"/>
    <xf numFmtId="3" fontId="7" fillId="10" borderId="12" xfId="0" applyNumberFormat="1" applyFont="1" applyFill="1" applyBorder="1" applyAlignment="1">
      <alignment horizontal="right"/>
    </xf>
    <xf numFmtId="3" fontId="0" fillId="9" borderId="17" xfId="0" applyNumberFormat="1" applyFill="1" applyBorder="1" applyAlignment="1">
      <alignment horizontal="right"/>
    </xf>
    <xf numFmtId="0" fontId="7" fillId="0" borderId="17" xfId="0" applyFont="1" applyBorder="1" applyAlignment="1">
      <alignment horizontal="right"/>
    </xf>
    <xf numFmtId="0" fontId="14" fillId="0" borderId="0" xfId="14" applyFont="1" applyFill="1" applyAlignment="1">
      <alignment horizontal="left"/>
    </xf>
    <xf numFmtId="0" fontId="14" fillId="0" borderId="23" xfId="14" applyFont="1" applyFill="1" applyBorder="1" applyAlignment="1" applyProtection="1">
      <alignment horizontal="center"/>
      <protection locked="0"/>
    </xf>
    <xf numFmtId="0" fontId="0" fillId="0" borderId="23" xfId="0" applyBorder="1" applyAlignment="1" applyProtection="1">
      <alignment horizontal="center"/>
      <protection locked="0"/>
    </xf>
    <xf numFmtId="0" fontId="14" fillId="0" borderId="0" xfId="0" applyFont="1"/>
    <xf numFmtId="0" fontId="5" fillId="2" borderId="23" xfId="14" applyFont="1" applyBorder="1" applyAlignment="1" applyProtection="1">
      <alignment horizontal="center"/>
      <protection locked="0"/>
    </xf>
    <xf numFmtId="0" fontId="84"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84" fillId="0" borderId="0" xfId="13" applyFont="1" applyFill="1" applyAlignment="1">
      <alignment horizontal="center" wrapText="1"/>
    </xf>
    <xf numFmtId="37" fontId="13" fillId="2" borderId="12" xfId="14" applyNumberFormat="1" applyFont="1" applyBorder="1"/>
    <xf numFmtId="37" fontId="12" fillId="2" borderId="26" xfId="14" applyNumberFormat="1" applyFont="1" applyBorder="1" applyAlignment="1">
      <alignment horizontal="center"/>
    </xf>
    <xf numFmtId="37" fontId="12" fillId="2" borderId="18" xfId="14" applyNumberFormat="1" applyFont="1" applyBorder="1" applyAlignment="1">
      <alignment horizontal="center"/>
    </xf>
    <xf numFmtId="37" fontId="12" fillId="2" borderId="50" xfId="14" applyNumberFormat="1" applyFont="1" applyBorder="1" applyAlignment="1">
      <alignment horizontal="center"/>
    </xf>
    <xf numFmtId="0" fontId="14" fillId="2" borderId="18" xfId="13" applyFont="1" applyBorder="1" applyAlignment="1">
      <alignment horizontal="center" wrapText="1"/>
    </xf>
    <xf numFmtId="0" fontId="14" fillId="2" borderId="14" xfId="13" applyFont="1" applyBorder="1" applyAlignment="1">
      <alignment horizontal="center" wrapText="1"/>
    </xf>
    <xf numFmtId="0" fontId="14" fillId="0" borderId="23" xfId="0" applyFont="1" applyBorder="1" applyAlignment="1" applyProtection="1">
      <alignment horizontal="center"/>
      <protection locked="0"/>
    </xf>
    <xf numFmtId="37" fontId="12" fillId="2" borderId="2" xfId="14" applyNumberFormat="1" applyFont="1" applyBorder="1" applyAlignment="1">
      <alignment horizontal="left" wrapText="1"/>
    </xf>
    <xf numFmtId="37" fontId="12" fillId="2" borderId="0" xfId="14" applyNumberFormat="1" applyFont="1" applyAlignment="1">
      <alignment horizontal="left" wrapText="1"/>
    </xf>
    <xf numFmtId="37" fontId="12" fillId="2" borderId="10" xfId="14" applyNumberFormat="1" applyFont="1" applyBorder="1" applyAlignment="1">
      <alignment horizontal="left" wrapText="1"/>
    </xf>
    <xf numFmtId="37" fontId="12" fillId="2" borderId="23" xfId="14" applyNumberFormat="1" applyFont="1" applyBorder="1" applyAlignment="1">
      <alignment horizontal="left" wrapText="1"/>
    </xf>
    <xf numFmtId="171" fontId="13" fillId="2" borderId="33" xfId="14" applyNumberFormat="1" applyFont="1" applyBorder="1" applyAlignment="1">
      <alignment horizontal="right"/>
    </xf>
    <xf numFmtId="37" fontId="12" fillId="2" borderId="2" xfId="14" applyNumberFormat="1" applyFont="1" applyBorder="1" applyAlignment="1">
      <alignment horizontal="left"/>
    </xf>
    <xf numFmtId="37" fontId="12" fillId="2" borderId="9" xfId="14" applyNumberFormat="1" applyFont="1" applyBorder="1" applyAlignment="1">
      <alignment horizontal="left"/>
    </xf>
    <xf numFmtId="37" fontId="12" fillId="2" borderId="28" xfId="14" applyNumberFormat="1" applyFont="1" applyBorder="1" applyAlignment="1">
      <alignment horizontal="left"/>
    </xf>
    <xf numFmtId="37" fontId="12" fillId="2" borderId="10" xfId="14" applyNumberFormat="1" applyFont="1" applyBorder="1" applyAlignment="1">
      <alignment horizontal="left"/>
    </xf>
    <xf numFmtId="37" fontId="12" fillId="2" borderId="11" xfId="14" applyNumberFormat="1" applyFont="1" applyBorder="1" applyAlignment="1">
      <alignment horizontal="left"/>
    </xf>
    <xf numFmtId="37" fontId="12" fillId="2" borderId="65" xfId="14" applyNumberFormat="1" applyFont="1" applyBorder="1" applyAlignment="1">
      <alignment horizontal="center" vertical="center"/>
    </xf>
    <xf numFmtId="37" fontId="12" fillId="2" borderId="34" xfId="14" applyNumberFormat="1" applyFont="1" applyBorder="1" applyAlignment="1">
      <alignment horizontal="center" vertical="center"/>
    </xf>
    <xf numFmtId="37" fontId="12" fillId="2" borderId="2" xfId="14" applyNumberFormat="1" applyFont="1" applyBorder="1" applyAlignment="1">
      <alignment horizontal="left" vertical="center" wrapText="1"/>
    </xf>
    <xf numFmtId="37" fontId="12" fillId="2" borderId="0" xfId="14" applyNumberFormat="1" applyFont="1" applyAlignment="1">
      <alignment horizontal="left" vertical="center" wrapText="1"/>
    </xf>
    <xf numFmtId="171" fontId="13" fillId="2" borderId="27" xfId="14" applyNumberFormat="1" applyFont="1" applyBorder="1" applyAlignment="1">
      <alignment horizontal="right"/>
    </xf>
    <xf numFmtId="171" fontId="13" fillId="2" borderId="25" xfId="14" applyNumberFormat="1" applyFont="1" applyBorder="1" applyAlignment="1">
      <alignment horizontal="right"/>
    </xf>
    <xf numFmtId="171" fontId="13" fillId="2" borderId="52" xfId="14" applyNumberFormat="1" applyFont="1" applyBorder="1" applyAlignment="1">
      <alignment horizontal="right"/>
    </xf>
    <xf numFmtId="165" fontId="13" fillId="2" borderId="12" xfId="14" applyNumberFormat="1" applyFont="1" applyBorder="1" applyAlignment="1">
      <alignment horizontal="right"/>
    </xf>
    <xf numFmtId="37" fontId="13" fillId="0" borderId="12" xfId="14" applyNumberFormat="1" applyFont="1" applyFill="1" applyBorder="1"/>
    <xf numFmtId="184" fontId="19" fillId="2" borderId="27" xfId="14" applyNumberFormat="1" applyBorder="1" applyAlignment="1">
      <alignment horizontal="right"/>
    </xf>
    <xf numFmtId="184" fontId="19" fillId="2" borderId="25" xfId="14" applyNumberFormat="1" applyBorder="1" applyAlignment="1">
      <alignment horizontal="right"/>
    </xf>
    <xf numFmtId="184" fontId="19" fillId="2" borderId="52" xfId="14" applyNumberFormat="1" applyBorder="1" applyAlignment="1">
      <alignment horizontal="right"/>
    </xf>
    <xf numFmtId="0" fontId="5" fillId="2" borderId="26" xfId="14" applyFont="1" applyBorder="1" applyAlignment="1">
      <alignment horizontal="left" vertical="top" wrapText="1"/>
    </xf>
    <xf numFmtId="0" fontId="5" fillId="2" borderId="18" xfId="14" applyFont="1" applyBorder="1" applyAlignment="1">
      <alignment horizontal="left" vertical="top" wrapText="1"/>
    </xf>
    <xf numFmtId="0" fontId="5" fillId="2" borderId="50" xfId="14" applyFont="1" applyBorder="1" applyAlignment="1">
      <alignment horizontal="left" vertical="top" wrapText="1"/>
    </xf>
    <xf numFmtId="0" fontId="5" fillId="2" borderId="2" xfId="14" applyFont="1" applyBorder="1" applyAlignment="1">
      <alignment horizontal="left" vertical="top" wrapText="1"/>
    </xf>
    <xf numFmtId="0" fontId="5" fillId="2" borderId="0" xfId="14" applyFont="1" applyAlignment="1">
      <alignment horizontal="left" vertical="top" wrapText="1"/>
    </xf>
    <xf numFmtId="0" fontId="5" fillId="2" borderId="28" xfId="14" applyFont="1" applyBorder="1" applyAlignment="1">
      <alignment horizontal="left" vertical="top" wrapText="1"/>
    </xf>
    <xf numFmtId="0" fontId="5" fillId="2" borderId="10" xfId="14" applyFont="1" applyBorder="1" applyAlignment="1">
      <alignment horizontal="left" vertical="top" wrapText="1"/>
    </xf>
    <xf numFmtId="0" fontId="5" fillId="2" borderId="23" xfId="14" applyFont="1" applyBorder="1" applyAlignment="1">
      <alignment horizontal="left" vertical="top" wrapText="1"/>
    </xf>
    <xf numFmtId="0" fontId="5" fillId="2" borderId="11" xfId="14" applyFont="1" applyBorder="1" applyAlignment="1">
      <alignment horizontal="left" vertical="top" wrapText="1"/>
    </xf>
    <xf numFmtId="165" fontId="13" fillId="2" borderId="17" xfId="14" applyNumberFormat="1" applyFont="1" applyBorder="1" applyAlignment="1">
      <alignment horizontal="right"/>
    </xf>
    <xf numFmtId="37" fontId="13" fillId="2" borderId="17" xfId="14" applyNumberFormat="1" applyFont="1" applyBorder="1"/>
    <xf numFmtId="37" fontId="5" fillId="0" borderId="12" xfId="14" applyNumberFormat="1" applyFont="1" applyFill="1" applyBorder="1"/>
    <xf numFmtId="37" fontId="5" fillId="0" borderId="17" xfId="14" applyNumberFormat="1" applyFont="1" applyFill="1" applyBorder="1"/>
    <xf numFmtId="0" fontId="5" fillId="0" borderId="0" xfId="15" applyFont="1" applyFill="1" applyAlignment="1">
      <alignment horizontal="left" wrapText="1"/>
    </xf>
    <xf numFmtId="0" fontId="5" fillId="0" borderId="23" xfId="15" applyFont="1" applyFill="1" applyBorder="1" applyAlignment="1">
      <alignment horizontal="left" wrapText="1"/>
    </xf>
    <xf numFmtId="49" fontId="5" fillId="2" borderId="23" xfId="15" applyNumberFormat="1" applyFont="1" applyBorder="1" applyAlignment="1">
      <alignment horizontal="center"/>
    </xf>
    <xf numFmtId="0" fontId="5" fillId="2" borderId="23" xfId="14" applyFont="1" applyBorder="1" applyAlignment="1">
      <alignment horizontal="center"/>
    </xf>
    <xf numFmtId="37" fontId="12" fillId="2" borderId="0" xfId="15" applyNumberFormat="1" applyFont="1" applyAlignment="1">
      <alignment horizontal="left" vertical="top"/>
    </xf>
    <xf numFmtId="37" fontId="13" fillId="0" borderId="22" xfId="15" applyNumberFormat="1" applyFont="1" applyFill="1" applyBorder="1" applyAlignment="1">
      <alignment horizontal="center"/>
    </xf>
    <xf numFmtId="0" fontId="0" fillId="0" borderId="22" xfId="0" applyBorder="1" applyAlignment="1">
      <alignment horizontal="center"/>
    </xf>
    <xf numFmtId="37" fontId="12" fillId="2" borderId="15" xfId="15" applyNumberFormat="1" applyFont="1" applyBorder="1" applyAlignment="1">
      <alignment horizontal="center"/>
    </xf>
    <xf numFmtId="0" fontId="0" fillId="0" borderId="39" xfId="0" applyBorder="1"/>
    <xf numFmtId="0" fontId="101" fillId="0" borderId="0" xfId="15" applyFont="1" applyFill="1" applyAlignment="1">
      <alignment horizontal="center" vertical="center" wrapText="1"/>
    </xf>
    <xf numFmtId="0" fontId="14" fillId="2" borderId="15" xfId="15" applyFont="1" applyBorder="1" applyAlignment="1">
      <alignment horizontal="center"/>
    </xf>
    <xf numFmtId="0" fontId="14" fillId="2" borderId="8" xfId="15" applyFont="1" applyBorder="1" applyAlignment="1">
      <alignment horizontal="center"/>
    </xf>
    <xf numFmtId="37" fontId="12" fillId="2" borderId="39" xfId="15" applyNumberFormat="1" applyFont="1" applyBorder="1" applyAlignment="1">
      <alignment horizontal="center"/>
    </xf>
    <xf numFmtId="37" fontId="12" fillId="2" borderId="105" xfId="15" applyNumberFormat="1" applyFont="1" applyBorder="1" applyAlignment="1">
      <alignment horizontal="center"/>
    </xf>
    <xf numFmtId="37" fontId="12" fillId="2" borderId="51" xfId="15" applyNumberFormat="1" applyFont="1" applyBorder="1" applyAlignment="1">
      <alignment horizontal="center"/>
    </xf>
    <xf numFmtId="37" fontId="12" fillId="2" borderId="58" xfId="15" applyNumberFormat="1" applyFont="1" applyBorder="1" applyAlignment="1">
      <alignment horizontal="center"/>
    </xf>
    <xf numFmtId="37" fontId="12" fillId="2" borderId="22" xfId="15" applyNumberFormat="1" applyFont="1" applyBorder="1" applyAlignment="1">
      <alignment horizontal="center"/>
    </xf>
    <xf numFmtId="37" fontId="12" fillId="2" borderId="45" xfId="15" applyNumberFormat="1" applyFont="1" applyBorder="1" applyAlignment="1">
      <alignment horizontal="center"/>
    </xf>
    <xf numFmtId="0" fontId="14" fillId="0" borderId="15" xfId="0" applyFont="1" applyBorder="1" applyAlignment="1">
      <alignment horizontal="center"/>
    </xf>
    <xf numFmtId="0" fontId="14" fillId="0" borderId="8" xfId="0" applyFont="1" applyBorder="1" applyAlignment="1">
      <alignment horizontal="center"/>
    </xf>
    <xf numFmtId="0" fontId="14" fillId="0" borderId="39" xfId="0" applyFont="1" applyBorder="1" applyAlignment="1">
      <alignment horizontal="center"/>
    </xf>
    <xf numFmtId="37" fontId="12" fillId="2" borderId="2" xfId="15" applyNumberFormat="1" applyFont="1" applyBorder="1" applyAlignment="1">
      <alignment horizontal="center"/>
    </xf>
    <xf numFmtId="37" fontId="12" fillId="2" borderId="9" xfId="15" applyNumberFormat="1" applyFont="1" applyBorder="1" applyAlignment="1">
      <alignment horizontal="center"/>
    </xf>
    <xf numFmtId="0" fontId="108" fillId="2" borderId="0" xfId="14" applyFont="1" applyAlignment="1">
      <alignment horizontal="left" vertical="top" wrapText="1"/>
    </xf>
    <xf numFmtId="0" fontId="7" fillId="0" borderId="0" xfId="0" applyFont="1" applyAlignment="1">
      <alignment horizontal="left" wrapText="1"/>
    </xf>
    <xf numFmtId="0" fontId="44" fillId="0" borderId="0" xfId="8" applyFont="1" applyAlignment="1" applyProtection="1">
      <alignment horizontal="left" vertical="top" wrapText="1"/>
    </xf>
    <xf numFmtId="37" fontId="3" fillId="0" borderId="23"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7" fillId="0" borderId="0" xfId="0" applyFont="1" applyAlignment="1">
      <alignment vertical="top" wrapText="1"/>
    </xf>
    <xf numFmtId="37" fontId="7" fillId="0" borderId="106" xfId="4" applyNumberFormat="1" applyFont="1" applyBorder="1" applyAlignment="1" applyProtection="1">
      <alignment horizontal="right"/>
    </xf>
    <xf numFmtId="37" fontId="7" fillId="0" borderId="46" xfId="4" applyNumberFormat="1" applyFont="1" applyBorder="1" applyAlignment="1" applyProtection="1">
      <alignment horizontal="right"/>
    </xf>
    <xf numFmtId="0" fontId="7" fillId="0" borderId="0" xfId="0" applyFont="1" applyAlignment="1">
      <alignment horizontal="left" vertical="top"/>
    </xf>
    <xf numFmtId="0" fontId="7" fillId="0" borderId="23" xfId="0" applyFont="1" applyBorder="1" applyAlignment="1">
      <alignment horizontal="left" vertical="center" wrapText="1"/>
    </xf>
    <xf numFmtId="0" fontId="7" fillId="0" borderId="58" xfId="0" applyFont="1" applyBorder="1" applyAlignment="1">
      <alignment horizontal="left" wrapText="1"/>
    </xf>
    <xf numFmtId="0" fontId="7" fillId="0" borderId="22" xfId="0" applyFont="1" applyBorder="1" applyAlignment="1">
      <alignment horizontal="left" wrapText="1"/>
    </xf>
    <xf numFmtId="0" fontId="102" fillId="0" borderId="2" xfId="13" applyFont="1" applyFill="1" applyBorder="1" applyAlignment="1">
      <alignment horizontal="left" vertical="top" wrapText="1"/>
    </xf>
    <xf numFmtId="0" fontId="102" fillId="0" borderId="0" xfId="13" applyFont="1" applyFill="1" applyAlignment="1">
      <alignment horizontal="left" vertical="top" wrapText="1"/>
    </xf>
    <xf numFmtId="0" fontId="7" fillId="6" borderId="58" xfId="0" applyFont="1" applyFill="1" applyBorder="1" applyAlignment="1">
      <alignment horizontal="left" vertical="top" wrapText="1"/>
    </xf>
    <xf numFmtId="0" fontId="7" fillId="6" borderId="22" xfId="0" applyFont="1" applyFill="1" applyBorder="1" applyAlignment="1">
      <alignment horizontal="left" vertical="top" wrapText="1"/>
    </xf>
    <xf numFmtId="0" fontId="44" fillId="4" borderId="0" xfId="8" applyFont="1" applyFill="1" applyProtection="1"/>
    <xf numFmtId="0" fontId="86" fillId="0" borderId="2" xfId="0" applyFont="1" applyBorder="1" applyAlignment="1">
      <alignment horizontal="center" vertical="center" wrapText="1"/>
    </xf>
    <xf numFmtId="0" fontId="86" fillId="0" borderId="0" xfId="0" applyFont="1" applyAlignment="1">
      <alignment horizontal="center" vertical="center" wrapText="1"/>
    </xf>
    <xf numFmtId="0" fontId="7" fillId="0" borderId="58" xfId="0" applyFont="1" applyBorder="1" applyAlignment="1">
      <alignment horizontal="left" vertical="top" wrapText="1"/>
    </xf>
    <xf numFmtId="0" fontId="7" fillId="0" borderId="22" xfId="0" applyFont="1" applyBorder="1" applyAlignment="1">
      <alignment horizontal="left" vertical="top" wrapText="1"/>
    </xf>
    <xf numFmtId="0" fontId="103" fillId="0" borderId="0" xfId="0" applyFont="1" applyAlignment="1">
      <alignment horizontal="center" vertical="center" wrapText="1"/>
    </xf>
    <xf numFmtId="0" fontId="7" fillId="6" borderId="0" xfId="0" applyFont="1" applyFill="1" applyAlignment="1">
      <alignment horizontal="left" vertical="top" wrapText="1"/>
    </xf>
    <xf numFmtId="0" fontId="7" fillId="6" borderId="23" xfId="0" applyFont="1" applyFill="1" applyBorder="1" applyAlignment="1">
      <alignment horizontal="left" vertical="top" wrapText="1"/>
    </xf>
    <xf numFmtId="0" fontId="7" fillId="0" borderId="0" xfId="21" applyFont="1" applyFill="1" applyAlignment="1">
      <alignment horizontal="left" vertical="top"/>
    </xf>
    <xf numFmtId="0" fontId="7" fillId="0" borderId="45" xfId="0" applyFont="1" applyBorder="1" applyAlignment="1">
      <alignment horizontal="left" vertical="top" wrapText="1"/>
    </xf>
    <xf numFmtId="0" fontId="9" fillId="0" borderId="0" xfId="0" applyFont="1" applyAlignment="1">
      <alignment horizontal="right"/>
    </xf>
    <xf numFmtId="49" fontId="9" fillId="0" borderId="23" xfId="0" applyNumberFormat="1" applyFont="1" applyBorder="1" applyAlignment="1">
      <alignment horizontal="left"/>
    </xf>
    <xf numFmtId="0" fontId="9" fillId="0" borderId="23" xfId="0" applyFont="1" applyBorder="1" applyAlignment="1">
      <alignment horizontal="left"/>
    </xf>
    <xf numFmtId="0" fontId="7" fillId="0" borderId="58" xfId="0" applyFont="1" applyBorder="1" applyAlignment="1">
      <alignment horizontal="left" vertical="top"/>
    </xf>
    <xf numFmtId="0" fontId="7" fillId="0" borderId="22" xfId="0" applyFont="1" applyBorder="1" applyAlignment="1">
      <alignment horizontal="left" vertical="top"/>
    </xf>
    <xf numFmtId="0" fontId="7" fillId="0" borderId="87" xfId="0" applyFont="1" applyBorder="1" applyAlignment="1">
      <alignment horizontal="left"/>
    </xf>
    <xf numFmtId="0" fontId="104" fillId="0" borderId="2" xfId="0" applyFont="1" applyBorder="1" applyAlignment="1">
      <alignment horizontal="left" vertical="top"/>
    </xf>
    <xf numFmtId="0" fontId="104" fillId="0" borderId="0" xfId="0" applyFont="1" applyBorder="1" applyAlignment="1">
      <alignment horizontal="left" vertical="top"/>
    </xf>
    <xf numFmtId="0" fontId="104" fillId="0" borderId="87" xfId="0" applyFont="1" applyBorder="1" applyAlignment="1">
      <alignment horizontal="center" vertical="center" wrapText="1"/>
    </xf>
    <xf numFmtId="0" fontId="104" fillId="0" borderId="0" xfId="0" applyFont="1" applyBorder="1" applyAlignment="1">
      <alignment horizontal="center" vertical="center" wrapText="1"/>
    </xf>
    <xf numFmtId="0" fontId="7" fillId="0" borderId="0" xfId="0" applyFont="1" applyAlignment="1">
      <alignment horizontal="right" wrapText="1"/>
    </xf>
    <xf numFmtId="0" fontId="7" fillId="0" borderId="28" xfId="0" applyFont="1" applyBorder="1" applyAlignment="1">
      <alignment horizontal="right" wrapText="1"/>
    </xf>
    <xf numFmtId="0" fontId="65" fillId="5" borderId="0" xfId="0" applyFont="1" applyFill="1" applyAlignment="1">
      <alignment horizontal="left" wrapText="1"/>
    </xf>
    <xf numFmtId="0" fontId="65" fillId="5" borderId="0" xfId="0" applyFont="1" applyFill="1" applyAlignment="1">
      <alignment horizontal="left"/>
    </xf>
    <xf numFmtId="0" fontId="65" fillId="5" borderId="60" xfId="0" applyFont="1" applyFill="1" applyBorder="1" applyAlignment="1">
      <alignment horizontal="left"/>
    </xf>
    <xf numFmtId="0" fontId="7" fillId="0" borderId="58" xfId="0" applyFont="1" applyBorder="1" applyAlignment="1">
      <alignment horizontal="center"/>
    </xf>
    <xf numFmtId="0" fontId="7" fillId="0" borderId="22" xfId="0" applyFont="1" applyBorder="1" applyAlignment="1">
      <alignment horizontal="center"/>
    </xf>
    <xf numFmtId="0" fontId="7" fillId="0" borderId="45" xfId="0" applyFont="1" applyBorder="1" applyAlignment="1">
      <alignment horizontal="center"/>
    </xf>
    <xf numFmtId="0" fontId="9" fillId="0" borderId="0" xfId="0" applyFont="1" applyAlignment="1">
      <alignment horizontal="left"/>
    </xf>
    <xf numFmtId="0" fontId="9" fillId="0" borderId="0" xfId="0" applyFont="1" applyAlignment="1">
      <alignment horizontal="left" wrapText="1"/>
    </xf>
    <xf numFmtId="49" fontId="9" fillId="0" borderId="10" xfId="0" applyNumberFormat="1" applyFont="1" applyBorder="1" applyAlignment="1">
      <alignment horizontal="center"/>
    </xf>
    <xf numFmtId="49" fontId="9" fillId="0" borderId="23" xfId="0" applyNumberFormat="1" applyFont="1" applyBorder="1" applyAlignment="1">
      <alignment horizontal="center"/>
    </xf>
    <xf numFmtId="0" fontId="7" fillId="0" borderId="26" xfId="0" applyFont="1" applyBorder="1" applyAlignment="1">
      <alignment horizontal="center"/>
    </xf>
    <xf numFmtId="0" fontId="7" fillId="0" borderId="50" xfId="0" applyFont="1" applyBorder="1" applyAlignment="1">
      <alignment horizontal="center"/>
    </xf>
    <xf numFmtId="178" fontId="7" fillId="0" borderId="69" xfId="0" applyNumberFormat="1" applyFont="1" applyBorder="1" applyAlignment="1">
      <alignment horizontal="right"/>
    </xf>
    <xf numFmtId="178" fontId="7" fillId="0" borderId="70" xfId="0" applyNumberFormat="1" applyFont="1" applyBorder="1" applyAlignment="1">
      <alignment horizontal="right"/>
    </xf>
    <xf numFmtId="0" fontId="7" fillId="0" borderId="2" xfId="0" applyFont="1" applyBorder="1" applyAlignment="1">
      <alignment horizontal="right"/>
    </xf>
    <xf numFmtId="0" fontId="7" fillId="0" borderId="28" xfId="0" applyFont="1" applyBorder="1" applyAlignment="1">
      <alignment horizontal="right"/>
    </xf>
    <xf numFmtId="190" fontId="7" fillId="0" borderId="10" xfId="0" applyNumberFormat="1" applyFont="1" applyBorder="1" applyAlignment="1">
      <alignment horizontal="right"/>
    </xf>
    <xf numFmtId="190" fontId="7" fillId="0" borderId="11" xfId="0" applyNumberFormat="1" applyFont="1" applyBorder="1" applyAlignment="1">
      <alignment horizontal="right"/>
    </xf>
    <xf numFmtId="169" fontId="7" fillId="0" borderId="75" xfId="0" applyNumberFormat="1" applyFont="1" applyBorder="1" applyAlignment="1">
      <alignment horizontal="right"/>
    </xf>
    <xf numFmtId="169" fontId="7" fillId="0" borderId="70" xfId="0" applyNumberFormat="1" applyFont="1" applyBorder="1" applyAlignment="1">
      <alignment horizontal="right"/>
    </xf>
    <xf numFmtId="166" fontId="7" fillId="0" borderId="10" xfId="0" applyNumberFormat="1" applyFont="1" applyBorder="1" applyAlignment="1">
      <alignment horizontal="right"/>
    </xf>
    <xf numFmtId="166" fontId="7" fillId="0" borderId="11" xfId="0" applyNumberFormat="1" applyFont="1" applyBorder="1" applyAlignment="1">
      <alignment horizontal="right"/>
    </xf>
    <xf numFmtId="0" fontId="77" fillId="0" borderId="0" xfId="0" applyFont="1" applyAlignment="1">
      <alignment horizontal="center"/>
    </xf>
    <xf numFmtId="49" fontId="9" fillId="0" borderId="26" xfId="0" applyNumberFormat="1" applyFont="1" applyBorder="1" applyAlignment="1">
      <alignment horizontal="center" wrapText="1"/>
    </xf>
    <xf numFmtId="49" fontId="9" fillId="0" borderId="50" xfId="0" applyNumberFormat="1" applyFont="1" applyBorder="1" applyAlignment="1">
      <alignment horizontal="center" wrapText="1"/>
    </xf>
    <xf numFmtId="49" fontId="9" fillId="0" borderId="2" xfId="0" applyNumberFormat="1" applyFont="1" applyBorder="1" applyAlignment="1">
      <alignment horizontal="center" wrapText="1"/>
    </xf>
    <xf numFmtId="49" fontId="9" fillId="0" borderId="28" xfId="0" applyNumberFormat="1" applyFont="1" applyBorder="1" applyAlignment="1">
      <alignment horizontal="center" wrapText="1"/>
    </xf>
    <xf numFmtId="174" fontId="7" fillId="0" borderId="10" xfId="0" applyNumberFormat="1" applyFont="1" applyBorder="1" applyAlignment="1">
      <alignment horizontal="right"/>
    </xf>
    <xf numFmtId="174" fontId="7" fillId="0" borderId="11" xfId="0" applyNumberFormat="1" applyFont="1" applyBorder="1" applyAlignment="1">
      <alignment horizontal="right"/>
    </xf>
    <xf numFmtId="49" fontId="9" fillId="0" borderId="18" xfId="0" applyNumberFormat="1" applyFont="1" applyBorder="1" applyAlignment="1">
      <alignment horizontal="center" wrapText="1"/>
    </xf>
    <xf numFmtId="49" fontId="9" fillId="0" borderId="0" xfId="0" applyNumberFormat="1" applyFont="1" applyAlignment="1">
      <alignment horizontal="center" wrapText="1"/>
    </xf>
    <xf numFmtId="190" fontId="7" fillId="0" borderId="58" xfId="0" applyNumberFormat="1" applyFont="1" applyBorder="1" applyAlignment="1">
      <alignment horizontal="right"/>
    </xf>
    <xf numFmtId="190" fontId="7" fillId="0" borderId="45" xfId="0" applyNumberFormat="1" applyFont="1" applyBorder="1" applyAlignment="1">
      <alignment horizontal="right"/>
    </xf>
    <xf numFmtId="0" fontId="52" fillId="0" borderId="0" xfId="0" applyFont="1" applyAlignment="1">
      <alignment horizontal="left" vertical="top" wrapText="1"/>
    </xf>
    <xf numFmtId="0" fontId="7" fillId="7" borderId="0" xfId="0" applyFont="1" applyFill="1" applyAlignment="1">
      <alignment horizontal="right"/>
    </xf>
    <xf numFmtId="0" fontId="7" fillId="7" borderId="28" xfId="0" applyFont="1" applyFill="1" applyBorder="1" applyAlignment="1">
      <alignment horizontal="right"/>
    </xf>
    <xf numFmtId="174" fontId="7" fillId="0" borderId="69" xfId="0" applyNumberFormat="1" applyFont="1" applyBorder="1" applyAlignment="1">
      <alignment horizontal="right"/>
    </xf>
    <xf numFmtId="174" fontId="7" fillId="0" borderId="70" xfId="0" applyNumberFormat="1" applyFont="1" applyBorder="1" applyAlignment="1">
      <alignment horizontal="right"/>
    </xf>
    <xf numFmtId="169" fontId="7" fillId="7" borderId="75" xfId="0" applyNumberFormat="1" applyFont="1" applyFill="1" applyBorder="1" applyAlignment="1">
      <alignment horizontal="right"/>
    </xf>
    <xf numFmtId="169" fontId="7" fillId="7" borderId="70"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80" fillId="0" borderId="0" xfId="0" applyFont="1" applyAlignment="1">
      <alignment horizontal="center" vertical="top"/>
    </xf>
    <xf numFmtId="0" fontId="14" fillId="0" borderId="0" xfId="0" applyFont="1" applyBorder="1" applyAlignment="1">
      <alignment horizontal="center" wrapText="1"/>
    </xf>
    <xf numFmtId="0" fontId="14" fillId="0" borderId="75"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3" fillId="0" borderId="0" xfId="0" applyFont="1" applyAlignment="1">
      <alignment horizontal="left"/>
    </xf>
    <xf numFmtId="0" fontId="7" fillId="0" borderId="0" xfId="0" applyFont="1" applyBorder="1" applyAlignment="1">
      <alignment horizontal="left" wrapText="1"/>
    </xf>
    <xf numFmtId="0" fontId="7" fillId="0" borderId="0" xfId="0" applyFont="1" applyBorder="1" applyAlignment="1">
      <alignment horizontal="center"/>
    </xf>
    <xf numFmtId="49" fontId="7" fillId="0" borderId="23" xfId="0" applyNumberFormat="1" applyFont="1" applyBorder="1" applyAlignment="1">
      <alignment horizontal="left"/>
    </xf>
    <xf numFmtId="0" fontId="7" fillId="0" borderId="23" xfId="0" applyFont="1" applyBorder="1" applyAlignment="1">
      <alignment horizontal="left"/>
    </xf>
    <xf numFmtId="0" fontId="7" fillId="0" borderId="23" xfId="0" applyFont="1" applyBorder="1" applyAlignment="1">
      <alignment horizontal="center"/>
    </xf>
    <xf numFmtId="0" fontId="38" fillId="0" borderId="27" xfId="0" applyFont="1" applyBorder="1" applyAlignment="1">
      <alignment vertical="top" wrapText="1"/>
    </xf>
    <xf numFmtId="0" fontId="38" fillId="0" borderId="52" xfId="0" applyFont="1" applyBorder="1" applyAlignment="1">
      <alignment vertical="top" wrapText="1"/>
    </xf>
    <xf numFmtId="0" fontId="38" fillId="0" borderId="27" xfId="0" applyFont="1" applyBorder="1" applyAlignment="1">
      <alignment horizontal="left" vertical="top" wrapText="1"/>
    </xf>
    <xf numFmtId="0" fontId="38" fillId="0" borderId="52" xfId="0" applyFont="1" applyBorder="1" applyAlignment="1">
      <alignment horizontal="left" vertical="top" wrapText="1"/>
    </xf>
    <xf numFmtId="0" fontId="38" fillId="0" borderId="27" xfId="0" applyFont="1" applyBorder="1" applyAlignment="1">
      <alignment horizontal="center" vertical="top" wrapText="1"/>
    </xf>
    <xf numFmtId="0" fontId="38" fillId="0" borderId="52" xfId="0" applyFont="1" applyBorder="1" applyAlignment="1">
      <alignment horizontal="center" vertical="top" wrapText="1"/>
    </xf>
    <xf numFmtId="0" fontId="38" fillId="0" borderId="27" xfId="0" applyFont="1" applyBorder="1" applyAlignment="1">
      <alignment horizontal="center" vertical="center" wrapText="1"/>
    </xf>
    <xf numFmtId="0" fontId="38" fillId="0" borderId="52" xfId="0" applyFont="1" applyBorder="1" applyAlignment="1">
      <alignment horizontal="center" vertical="center" wrapText="1"/>
    </xf>
  </cellXfs>
  <cellStyles count="22">
    <cellStyle name="Comma" xfId="4"/>
    <cellStyle name="Comma [0]" xfId="5"/>
    <cellStyle name="Currency" xfId="2"/>
    <cellStyle name="Currency [0]" xfId="3"/>
    <cellStyle name="Followed Hyperlink 2" xfId="6"/>
    <cellStyle name="Followed Hyperlink 3" xfId="7"/>
    <cellStyle name="Hyperlink" xfId="8"/>
    <cellStyle name="Hyperlink 2" xfId="9"/>
    <cellStyle name="Hyperlink 3" xfId="10"/>
    <cellStyle name="Normal" xfId="0" builtinId="0"/>
    <cellStyle name="Normal 2" xfId="11"/>
    <cellStyle name="Normal 3" xfId="12"/>
    <cellStyle name="Normal_98-99Smry" xfId="13"/>
    <cellStyle name="Normal_Summary Page 1" xfId="14"/>
    <cellStyle name="Normal_Summary Page 2" xfId="15"/>
    <cellStyle name="Normal_Worksheet A.1" xfId="16"/>
    <cellStyle name="Normal_Worksheet B" xfId="17"/>
    <cellStyle name="Normal_Worksheet C" xfId="18"/>
    <cellStyle name="Normal_Worksheet J" xfId="19"/>
    <cellStyle name="Normal_Worksheet K" xfId="20"/>
    <cellStyle name="Normal_Worksheet N" xfId="21"/>
    <cellStyle name="Percent" xfId="1"/>
  </cellStyles>
  <dxfs count="5">
    <dxf>
      <fill>
        <patternFill>
          <bgColor rgb="FFFFFF00"/>
        </patternFill>
      </fill>
    </dxf>
    <dxf>
      <fill>
        <patternFill>
          <bgColor rgb="FFFFFF00"/>
        </patternFill>
      </fill>
    </dxf>
    <dxf>
      <fill>
        <patternFill>
          <bgColor rgb="FFFFFF00"/>
        </patternFill>
      </fill>
    </dxf>
    <dxf>
      <font>
        <b/>
        <i val="0"/>
        <color rgb="FFFF0000"/>
        <name val="Cambria"/>
      </font>
    </dxf>
    <dxf>
      <font>
        <b/>
        <i val="0"/>
        <color rgb="FFFF0000"/>
        <name val="Cambria"/>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923925</xdr:colOff>
      <xdr:row>8</xdr:row>
      <xdr:rowOff>102235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9575"/>
          <a:ext cx="1123950" cy="1159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690562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400050"/>
          <a:ext cx="1952625" cy="333375"/>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9535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71550"/>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8105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bwMode="auto">
        <a:xfrm>
          <a:off x="866775" y="381000"/>
          <a:ext cx="1304925" cy="295275"/>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3EXPBU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D%20forms\2023DESEGBU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3EXPBUD"/>
    </sheetNames>
    <definedNames>
      <definedName name="BudgIncrDesegExp" refersTo="='Page 7'!$J$35"/>
      <definedName name="BudgIncrDropPrevProg" refersTo="='Page 7'!$J$38"/>
      <definedName name="BudgIncrJCTEVEC" refersTo="='Page 7'!$J$41"/>
      <definedName name="BudgIncrTuitOutDebtServ" refersTo="='Page 7'!$J$36"/>
      <definedName name="CSFBLBudgFY" refersTo="='Page 3'!$D$38" sheetId="4"/>
      <definedName name="CYTRCL" refersTo="='BSA55'!$E$103"/>
      <definedName name="EstimatedFTECertified" refersTo="='Page 2'!$G$28"/>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2"/>
      <definedName name="F020DropPrevProgBudgFY" refersTo="='Page 6'!$H$43"/>
      <definedName name="F020InstrImprProgBudgFY" refersTo="='Page 6'!$H$44"/>
      <definedName name="F020TeachCompIncrBudgFY" refersTo="='Page 6'!$H$41"/>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5"/>
      <definedName name="F460Personnel" refersTo="='Page 6'!$G$35"/>
      <definedName name="F465499BudgFY" refersTo="='Page 6'!$J$36"/>
      <definedName name="F465499Personnel" refersTo="='Page 6'!$G$36"/>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K$9"/>
      <definedName name="F610F21002200" refersTo="='Page 4'!$K$11"/>
      <definedName name="F610F2300240025002900" refersTo="='Page 4'!$K$13"/>
      <definedName name="F610F2600" refersTo="='Page 4'!$K$14"/>
      <definedName name="F610F2700" refersTo="='Page 4'!$K$15"/>
      <definedName name="F610F3000" refersTo="='Page 4'!$K$16"/>
      <definedName name="F610F4000" refersTo="='Page 4'!$K$17"/>
      <definedName name="F610F5000" refersTo="='Page 4'!$K$18"/>
      <definedName name="F610Override" refersTo="='Page 4'!$K$8"/>
      <definedName name="F610TotalBudgFY" refersTo="='Page 4'!$K$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6"/>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UCBLBudgFY" refersTo="='Page 8'!$K$32"/>
    </definedNames>
    <sheetDataSet>
      <sheetData sheetId="0"/>
      <sheetData sheetId="1"/>
      <sheetData sheetId="2">
        <row r="7">
          <cell r="L7">
            <v>17171075</v>
          </cell>
        </row>
        <row r="8">
          <cell r="E8">
            <v>295</v>
          </cell>
        </row>
        <row r="9">
          <cell r="L9">
            <v>1626000</v>
          </cell>
        </row>
        <row r="10">
          <cell r="E10">
            <v>24</v>
          </cell>
        </row>
        <row r="11">
          <cell r="E11">
            <v>21</v>
          </cell>
          <cell r="L11">
            <v>1965100</v>
          </cell>
        </row>
        <row r="12">
          <cell r="E12">
            <v>6</v>
          </cell>
          <cell r="L12">
            <v>1274981</v>
          </cell>
        </row>
        <row r="13">
          <cell r="E13">
            <v>26.5</v>
          </cell>
          <cell r="L13">
            <v>3006700</v>
          </cell>
        </row>
        <row r="14">
          <cell r="E14">
            <v>15.5</v>
          </cell>
          <cell r="L14">
            <v>2361000</v>
          </cell>
        </row>
        <row r="15">
          <cell r="E15">
            <v>42</v>
          </cell>
          <cell r="L15">
            <v>6019000</v>
          </cell>
        </row>
        <row r="16">
          <cell r="E16">
            <v>0</v>
          </cell>
          <cell r="L16">
            <v>0</v>
          </cell>
        </row>
        <row r="17">
          <cell r="E17">
            <v>0</v>
          </cell>
          <cell r="L17">
            <v>160775</v>
          </cell>
        </row>
        <row r="18">
          <cell r="E18">
            <v>0</v>
          </cell>
          <cell r="L18">
            <v>0</v>
          </cell>
        </row>
        <row r="19">
          <cell r="E19">
            <v>0</v>
          </cell>
          <cell r="L19">
            <v>0</v>
          </cell>
        </row>
        <row r="20">
          <cell r="E20">
            <v>0</v>
          </cell>
          <cell r="L20">
            <v>0</v>
          </cell>
        </row>
        <row r="21">
          <cell r="E21">
            <v>0</v>
          </cell>
          <cell r="L21">
            <v>0</v>
          </cell>
        </row>
        <row r="23">
          <cell r="L23">
            <v>4625500</v>
          </cell>
        </row>
        <row r="24">
          <cell r="E24">
            <v>85</v>
          </cell>
        </row>
        <row r="25">
          <cell r="L25">
            <v>2547000</v>
          </cell>
        </row>
        <row r="26">
          <cell r="E26">
            <v>25</v>
          </cell>
        </row>
        <row r="27">
          <cell r="E27">
            <v>4.3</v>
          </cell>
          <cell r="L27">
            <v>536800</v>
          </cell>
        </row>
        <row r="28">
          <cell r="E28">
            <v>0</v>
          </cell>
          <cell r="L28">
            <v>0</v>
          </cell>
        </row>
        <row r="29">
          <cell r="E29">
            <v>0</v>
          </cell>
          <cell r="L29">
            <v>0</v>
          </cell>
        </row>
        <row r="30">
          <cell r="E30">
            <v>0</v>
          </cell>
          <cell r="L30">
            <v>5000</v>
          </cell>
        </row>
        <row r="31">
          <cell r="E31">
            <v>0</v>
          </cell>
          <cell r="L31">
            <v>0</v>
          </cell>
        </row>
        <row r="32">
          <cell r="E32">
            <v>0</v>
          </cell>
          <cell r="L32">
            <v>0</v>
          </cell>
        </row>
        <row r="33">
          <cell r="E33">
            <v>0</v>
          </cell>
          <cell r="L33">
            <v>0</v>
          </cell>
        </row>
        <row r="35">
          <cell r="E35">
            <v>42</v>
          </cell>
          <cell r="L35">
            <v>2250000</v>
          </cell>
        </row>
        <row r="38">
          <cell r="L38">
            <v>0</v>
          </cell>
        </row>
        <row r="39">
          <cell r="E39">
            <v>0</v>
          </cell>
          <cell r="L39">
            <v>0</v>
          </cell>
        </row>
        <row r="41">
          <cell r="L41">
            <v>416724</v>
          </cell>
        </row>
        <row r="42">
          <cell r="L42">
            <v>43965655</v>
          </cell>
        </row>
      </sheetData>
      <sheetData sheetId="3">
        <row r="7">
          <cell r="G7">
            <v>6540300</v>
          </cell>
        </row>
        <row r="8">
          <cell r="G8">
            <v>675000</v>
          </cell>
        </row>
        <row r="9">
          <cell r="G9">
            <v>0</v>
          </cell>
        </row>
        <row r="10">
          <cell r="G10">
            <v>499000</v>
          </cell>
        </row>
        <row r="11">
          <cell r="G11">
            <v>0</v>
          </cell>
        </row>
        <row r="12">
          <cell r="G12">
            <v>0</v>
          </cell>
        </row>
        <row r="13">
          <cell r="G13">
            <v>0</v>
          </cell>
        </row>
        <row r="14">
          <cell r="G14">
            <v>0</v>
          </cell>
        </row>
        <row r="19">
          <cell r="G19">
            <v>328000</v>
          </cell>
        </row>
        <row r="28">
          <cell r="G28">
            <v>354.2</v>
          </cell>
        </row>
      </sheetData>
      <sheetData sheetId="4">
        <row r="6">
          <cell r="K6">
            <v>6857969</v>
          </cell>
        </row>
        <row r="7">
          <cell r="K7">
            <v>744000</v>
          </cell>
        </row>
        <row r="8">
          <cell r="K8">
            <v>310000</v>
          </cell>
        </row>
        <row r="9">
          <cell r="K9">
            <v>0</v>
          </cell>
        </row>
        <row r="10">
          <cell r="K10">
            <v>0</v>
          </cell>
        </row>
        <row r="11">
          <cell r="K11">
            <v>0</v>
          </cell>
        </row>
        <row r="12">
          <cell r="K12">
            <v>0</v>
          </cell>
        </row>
        <row r="13">
          <cell r="K13">
            <v>0</v>
          </cell>
        </row>
        <row r="14">
          <cell r="K14">
            <v>7911969</v>
          </cell>
        </row>
        <row r="38">
          <cell r="D38">
            <v>7911969</v>
          </cell>
        </row>
      </sheetData>
      <sheetData sheetId="5">
        <row r="8">
          <cell r="K8">
            <v>3449646</v>
          </cell>
        </row>
        <row r="9">
          <cell r="K9">
            <v>8276080</v>
          </cell>
        </row>
        <row r="11">
          <cell r="K11">
            <v>580000</v>
          </cell>
        </row>
        <row r="13">
          <cell r="K13">
            <v>565022</v>
          </cell>
        </row>
        <row r="14">
          <cell r="K14">
            <v>360000</v>
          </cell>
        </row>
        <row r="15">
          <cell r="K15">
            <v>213000</v>
          </cell>
        </row>
        <row r="16">
          <cell r="K16">
            <v>250000</v>
          </cell>
        </row>
        <row r="17">
          <cell r="K17">
            <v>2051612</v>
          </cell>
        </row>
        <row r="18">
          <cell r="K18">
            <v>0</v>
          </cell>
        </row>
        <row r="19">
          <cell r="K19">
            <v>12295714</v>
          </cell>
        </row>
      </sheetData>
      <sheetData sheetId="6">
        <row r="8">
          <cell r="G8">
            <v>81000000</v>
          </cell>
          <cell r="I8">
            <v>0</v>
          </cell>
          <cell r="K8">
            <v>2030594</v>
          </cell>
        </row>
        <row r="10">
          <cell r="G10">
            <v>115000</v>
          </cell>
          <cell r="I10">
            <v>0</v>
          </cell>
          <cell r="K10">
            <v>0</v>
          </cell>
        </row>
        <row r="11">
          <cell r="G11">
            <v>34800</v>
          </cell>
          <cell r="I11">
            <v>0</v>
          </cell>
          <cell r="K11">
            <v>0</v>
          </cell>
        </row>
        <row r="12">
          <cell r="G12">
            <v>60000000</v>
          </cell>
          <cell r="I12">
            <v>0</v>
          </cell>
          <cell r="K12">
            <v>2030594</v>
          </cell>
        </row>
        <row r="13">
          <cell r="G13">
            <v>0</v>
          </cell>
          <cell r="I13">
            <v>0</v>
          </cell>
          <cell r="K13">
            <v>0</v>
          </cell>
        </row>
        <row r="14">
          <cell r="G14">
            <v>0</v>
          </cell>
          <cell r="I14">
            <v>0</v>
          </cell>
          <cell r="K14">
            <v>0</v>
          </cell>
        </row>
        <row r="15">
          <cell r="E15">
            <v>1600000</v>
          </cell>
          <cell r="G15">
            <v>3000000</v>
          </cell>
          <cell r="I15">
            <v>0</v>
          </cell>
          <cell r="K15">
            <v>0</v>
          </cell>
        </row>
        <row r="16">
          <cell r="E16">
            <v>0</v>
          </cell>
          <cell r="G16">
            <v>1000000</v>
          </cell>
          <cell r="I16">
            <v>0</v>
          </cell>
          <cell r="K16">
            <v>0</v>
          </cell>
        </row>
        <row r="17">
          <cell r="E17">
            <v>3035621</v>
          </cell>
          <cell r="G17">
            <v>2500000</v>
          </cell>
          <cell r="I17">
            <v>0</v>
          </cell>
          <cell r="K17">
            <v>0</v>
          </cell>
        </row>
        <row r="18">
          <cell r="G18">
            <v>0</v>
          </cell>
          <cell r="I18">
            <v>0</v>
          </cell>
          <cell r="K18">
            <v>0</v>
          </cell>
        </row>
        <row r="19">
          <cell r="G19">
            <v>0</v>
          </cell>
          <cell r="I19">
            <v>0</v>
          </cell>
          <cell r="K19">
            <v>0</v>
          </cell>
        </row>
        <row r="22">
          <cell r="E22">
            <v>835621</v>
          </cell>
          <cell r="G22">
            <v>9000000</v>
          </cell>
          <cell r="K22">
            <v>250000</v>
          </cell>
        </row>
        <row r="23">
          <cell r="E23">
            <v>800000</v>
          </cell>
          <cell r="G23">
            <v>51000000</v>
          </cell>
          <cell r="I23">
            <v>0</v>
          </cell>
          <cell r="K23">
            <v>1780594</v>
          </cell>
        </row>
        <row r="24">
          <cell r="E24">
            <v>3000000</v>
          </cell>
          <cell r="G24">
            <v>6649800</v>
          </cell>
          <cell r="I24">
            <v>0</v>
          </cell>
          <cell r="K24">
            <v>0</v>
          </cell>
        </row>
      </sheetData>
      <sheetData sheetId="7">
        <row r="5">
          <cell r="T5">
            <v>0</v>
          </cell>
        </row>
        <row r="7">
          <cell r="G7">
            <v>10</v>
          </cell>
          <cell r="J7">
            <v>1002571</v>
          </cell>
        </row>
        <row r="8">
          <cell r="G8">
            <v>0</v>
          </cell>
          <cell r="J8">
            <v>274081</v>
          </cell>
          <cell r="T8">
            <v>1900000</v>
          </cell>
        </row>
        <row r="9">
          <cell r="G9">
            <v>0</v>
          </cell>
          <cell r="J9">
            <v>0</v>
          </cell>
          <cell r="T9">
            <v>3800000</v>
          </cell>
        </row>
        <row r="10">
          <cell r="G10">
            <v>0</v>
          </cell>
          <cell r="J10">
            <v>0</v>
          </cell>
          <cell r="T10">
            <v>1600000</v>
          </cell>
        </row>
        <row r="11">
          <cell r="G11">
            <v>0</v>
          </cell>
          <cell r="J11">
            <v>82978</v>
          </cell>
          <cell r="T11">
            <v>6700000</v>
          </cell>
        </row>
        <row r="12">
          <cell r="G12">
            <v>0</v>
          </cell>
          <cell r="J12">
            <v>41086</v>
          </cell>
          <cell r="T12">
            <v>0</v>
          </cell>
        </row>
        <row r="13">
          <cell r="G13">
            <v>0</v>
          </cell>
          <cell r="J13">
            <v>0</v>
          </cell>
          <cell r="T13">
            <v>900000</v>
          </cell>
        </row>
        <row r="14">
          <cell r="G14">
            <v>8</v>
          </cell>
          <cell r="J14">
            <v>1691234</v>
          </cell>
          <cell r="T14">
            <v>175000</v>
          </cell>
        </row>
        <row r="15">
          <cell r="G15">
            <v>0</v>
          </cell>
          <cell r="J15">
            <v>55805</v>
          </cell>
          <cell r="T15">
            <v>0</v>
          </cell>
        </row>
        <row r="16">
          <cell r="G16">
            <v>0</v>
          </cell>
          <cell r="J16">
            <v>0</v>
          </cell>
          <cell r="T16">
            <v>0</v>
          </cell>
        </row>
        <row r="17">
          <cell r="G17">
            <v>0</v>
          </cell>
          <cell r="J17">
            <v>0</v>
          </cell>
          <cell r="T17">
            <v>0</v>
          </cell>
        </row>
        <row r="18">
          <cell r="G18">
            <v>0</v>
          </cell>
          <cell r="J18">
            <v>0</v>
          </cell>
          <cell r="T18">
            <v>90000</v>
          </cell>
        </row>
        <row r="19">
          <cell r="G19">
            <v>0</v>
          </cell>
          <cell r="J19">
            <v>0</v>
          </cell>
          <cell r="T19">
            <v>24000</v>
          </cell>
        </row>
        <row r="20">
          <cell r="G20">
            <v>0</v>
          </cell>
          <cell r="J20">
            <v>500000</v>
          </cell>
          <cell r="T20">
            <v>900000</v>
          </cell>
        </row>
        <row r="21">
          <cell r="G21">
            <v>0</v>
          </cell>
          <cell r="J21">
            <v>375000</v>
          </cell>
          <cell r="T21">
            <v>800000</v>
          </cell>
        </row>
        <row r="22">
          <cell r="G22">
            <v>0</v>
          </cell>
          <cell r="J22">
            <v>0</v>
          </cell>
          <cell r="T22">
            <v>28000</v>
          </cell>
        </row>
        <row r="23">
          <cell r="G23">
            <v>100</v>
          </cell>
          <cell r="J23">
            <v>4014919</v>
          </cell>
          <cell r="T23">
            <v>0</v>
          </cell>
        </row>
        <row r="24">
          <cell r="T24">
            <v>0</v>
          </cell>
        </row>
        <row r="25">
          <cell r="T25">
            <v>0</v>
          </cell>
        </row>
        <row r="26">
          <cell r="G26">
            <v>0</v>
          </cell>
          <cell r="J26">
            <v>0</v>
          </cell>
          <cell r="T26">
            <v>34000</v>
          </cell>
        </row>
        <row r="27">
          <cell r="G27">
            <v>0</v>
          </cell>
          <cell r="J27">
            <v>0</v>
          </cell>
          <cell r="T27">
            <v>0</v>
          </cell>
        </row>
        <row r="28">
          <cell r="G28">
            <v>0</v>
          </cell>
          <cell r="J28">
            <v>0</v>
          </cell>
          <cell r="T28">
            <v>0</v>
          </cell>
        </row>
        <row r="29">
          <cell r="G29">
            <v>0</v>
          </cell>
          <cell r="J29">
            <v>0</v>
          </cell>
          <cell r="T29">
            <v>0</v>
          </cell>
        </row>
        <row r="30">
          <cell r="G30">
            <v>0</v>
          </cell>
          <cell r="J30">
            <v>0</v>
          </cell>
          <cell r="T30">
            <v>50000</v>
          </cell>
        </row>
        <row r="31">
          <cell r="G31">
            <v>0</v>
          </cell>
          <cell r="J31">
            <v>0</v>
          </cell>
          <cell r="T31">
            <v>0</v>
          </cell>
        </row>
        <row r="32">
          <cell r="G32">
            <v>0</v>
          </cell>
          <cell r="J32">
            <v>10000</v>
          </cell>
          <cell r="T32">
            <v>0</v>
          </cell>
        </row>
        <row r="33">
          <cell r="G33">
            <v>0</v>
          </cell>
          <cell r="J33">
            <v>0</v>
          </cell>
          <cell r="T33">
            <v>0</v>
          </cell>
        </row>
        <row r="34">
          <cell r="T34">
            <v>360000</v>
          </cell>
        </row>
        <row r="35">
          <cell r="G35">
            <v>0</v>
          </cell>
          <cell r="J35">
            <v>0</v>
          </cell>
          <cell r="T35">
            <v>17500000</v>
          </cell>
        </row>
        <row r="36">
          <cell r="G36">
            <v>0</v>
          </cell>
          <cell r="J36">
            <v>227401</v>
          </cell>
          <cell r="T36">
            <v>0</v>
          </cell>
        </row>
        <row r="37">
          <cell r="T37">
            <v>80000</v>
          </cell>
        </row>
        <row r="38">
          <cell r="T38">
            <v>0</v>
          </cell>
        </row>
        <row r="40">
          <cell r="T40">
            <v>0</v>
          </cell>
        </row>
        <row r="41">
          <cell r="H41">
            <v>265590</v>
          </cell>
          <cell r="T41">
            <v>90000</v>
          </cell>
        </row>
        <row r="42">
          <cell r="H42">
            <v>265590</v>
          </cell>
          <cell r="T42">
            <v>0</v>
          </cell>
        </row>
        <row r="43">
          <cell r="T43">
            <v>150000</v>
          </cell>
        </row>
      </sheetData>
      <sheetData sheetId="8">
        <row r="36">
          <cell r="J36">
            <v>0</v>
          </cell>
        </row>
        <row r="56">
          <cell r="J56">
            <v>43965655</v>
          </cell>
        </row>
      </sheetData>
      <sheetData sheetId="9">
        <row r="32">
          <cell r="K32">
            <v>12295714</v>
          </cell>
        </row>
      </sheetData>
      <sheetData sheetId="10">
        <row r="7">
          <cell r="M7">
            <v>0</v>
          </cell>
        </row>
        <row r="9">
          <cell r="M9">
            <v>0</v>
          </cell>
        </row>
        <row r="11">
          <cell r="M11">
            <v>0</v>
          </cell>
        </row>
        <row r="12">
          <cell r="M12">
            <v>0</v>
          </cell>
        </row>
        <row r="13">
          <cell r="M13">
            <v>0</v>
          </cell>
        </row>
        <row r="14">
          <cell r="M14">
            <v>0</v>
          </cell>
        </row>
        <row r="15">
          <cell r="M15">
            <v>0</v>
          </cell>
        </row>
        <row r="16">
          <cell r="M16">
            <v>0</v>
          </cell>
        </row>
        <row r="17">
          <cell r="M17">
            <v>0</v>
          </cell>
        </row>
        <row r="19">
          <cell r="M19">
            <v>0</v>
          </cell>
        </row>
        <row r="21">
          <cell r="M21">
            <v>0</v>
          </cell>
        </row>
        <row r="23">
          <cell r="M23">
            <v>0</v>
          </cell>
        </row>
        <row r="24">
          <cell r="M24">
            <v>0</v>
          </cell>
        </row>
        <row r="25">
          <cell r="M25">
            <v>0</v>
          </cell>
        </row>
        <row r="26">
          <cell r="M26">
            <v>0</v>
          </cell>
        </row>
        <row r="27">
          <cell r="M27">
            <v>0</v>
          </cell>
        </row>
        <row r="28">
          <cell r="M28">
            <v>0</v>
          </cell>
        </row>
        <row r="29">
          <cell r="M29">
            <v>0</v>
          </cell>
        </row>
      </sheetData>
      <sheetData sheetId="11">
        <row r="32">
          <cell r="D32">
            <v>16465075</v>
          </cell>
          <cell r="F32">
            <v>706000</v>
          </cell>
        </row>
        <row r="34">
          <cell r="D34">
            <v>1475000</v>
          </cell>
          <cell r="F34">
            <v>151000</v>
          </cell>
        </row>
        <row r="36">
          <cell r="D36">
            <v>1750000</v>
          </cell>
          <cell r="F36">
            <v>215100</v>
          </cell>
        </row>
        <row r="37">
          <cell r="D37">
            <v>5425981</v>
          </cell>
          <cell r="F37">
            <v>1216700</v>
          </cell>
        </row>
        <row r="38">
          <cell r="D38">
            <v>2300000</v>
          </cell>
          <cell r="F38">
            <v>3719000</v>
          </cell>
        </row>
        <row r="39">
          <cell r="D39">
            <v>0</v>
          </cell>
          <cell r="F39">
            <v>0</v>
          </cell>
        </row>
        <row r="40">
          <cell r="D40">
            <v>25775</v>
          </cell>
          <cell r="F40">
            <v>135000</v>
          </cell>
        </row>
        <row r="41">
          <cell r="D41">
            <v>0</v>
          </cell>
          <cell r="F41">
            <v>0</v>
          </cell>
        </row>
        <row r="42">
          <cell r="D42">
            <v>0</v>
          </cell>
          <cell r="F42">
            <v>0</v>
          </cell>
        </row>
        <row r="43">
          <cell r="D43">
            <v>0</v>
          </cell>
          <cell r="F43">
            <v>0</v>
          </cell>
        </row>
        <row r="45">
          <cell r="D45">
            <v>4000000</v>
          </cell>
          <cell r="F45">
            <v>625500</v>
          </cell>
        </row>
        <row r="47">
          <cell r="D47">
            <v>2175000</v>
          </cell>
          <cell r="F47">
            <v>372000</v>
          </cell>
        </row>
        <row r="49">
          <cell r="D49">
            <v>500000</v>
          </cell>
          <cell r="F49">
            <v>36800</v>
          </cell>
        </row>
        <row r="50">
          <cell r="D50">
            <v>0</v>
          </cell>
          <cell r="F50">
            <v>5000</v>
          </cell>
        </row>
        <row r="51">
          <cell r="D51">
            <v>0</v>
          </cell>
          <cell r="F51">
            <v>0</v>
          </cell>
        </row>
        <row r="52">
          <cell r="D52">
            <v>0</v>
          </cell>
          <cell r="F52">
            <v>0</v>
          </cell>
        </row>
        <row r="53">
          <cell r="D53">
            <v>0</v>
          </cell>
          <cell r="F53">
            <v>0</v>
          </cell>
        </row>
        <row r="55">
          <cell r="D55">
            <v>1450000</v>
          </cell>
          <cell r="F55">
            <v>800000</v>
          </cell>
        </row>
        <row r="56">
          <cell r="D56">
            <v>0</v>
          </cell>
          <cell r="F56">
            <v>0</v>
          </cell>
        </row>
        <row r="57">
          <cell r="D57">
            <v>0</v>
          </cell>
          <cell r="F57">
            <v>0</v>
          </cell>
        </row>
        <row r="58">
          <cell r="D58">
            <v>0</v>
          </cell>
          <cell r="F58">
            <v>0</v>
          </cell>
        </row>
        <row r="60">
          <cell r="D60">
            <v>416724</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7">
          <cell r="C97">
            <v>478370.14</v>
          </cell>
        </row>
        <row r="103">
          <cell r="E103">
            <v>963801.39</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Template"/>
      <sheetName val="Instructions"/>
      <sheetName val="2023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Users/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Users/ryoung2/AppData/Local/Microsoft/Windows/INetCache/Content.Outlook/Prohibited%20formula%20characters/Files%20from%20ADE%203-27-23/TruthinTaxl10" TargetMode="External"/><Relationship Id="rId2" Type="http://schemas.openxmlformats.org/officeDocument/2006/relationships/hyperlink" Target="../Users/ryoung2/AppData/Local/Microsoft/Windows/INetCache/Content.Outlook/Prohibited%20formula%20characters/Files%20from%20ADE%203-27-23/TruthinTaxl7" TargetMode="External"/><Relationship Id="rId1" Type="http://schemas.openxmlformats.org/officeDocument/2006/relationships/hyperlink" Target="../Users/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Users/ryoung2/AppData/Local/Microsoft/Windows/INetCache/Content.Outlook/Prohibited%20formula%20characters/Files%20from%20ADE%203-27-23/WkshtK2LIG" TargetMode="External"/><Relationship Id="rId1" Type="http://schemas.openxmlformats.org/officeDocument/2006/relationships/hyperlink" Target="../Users/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2-gifted-add-payment" TargetMode="External"/><Relationship Id="rId3" Type="http://schemas.openxmlformats.org/officeDocument/2006/relationships/hyperlink" Target="http://www.azed.gov/finance/certificates-of-educational-convenience/"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printerSettings" Target="../printerSettings/printerSettings18.bin"/><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
  <sheetViews>
    <sheetView showGridLines="0" tabSelected="1" topLeftCell="A11" workbookViewId="0">
      <selection activeCell="S31" sqref="S31"/>
    </sheetView>
  </sheetViews>
  <sheetFormatPr defaultColWidth="12.90625" defaultRowHeight="15.6"/>
  <cols>
    <col min="1" max="1" width="4.81640625" style="125" customWidth="1"/>
    <col min="2" max="2" width="14.08984375" style="125" customWidth="1"/>
    <col min="3" max="3" width="9.08984375" style="125" customWidth="1"/>
    <col min="4" max="4" width="12.90625" style="125" customWidth="1"/>
    <col min="5" max="5" width="10.1796875" style="125" customWidth="1"/>
    <col min="6" max="6" width="9" style="125" customWidth="1"/>
    <col min="7" max="7" width="9.90625" style="125" customWidth="1"/>
    <col min="8" max="8" width="10.90625" style="125" customWidth="1"/>
    <col min="9" max="10" width="2.453125" style="125" customWidth="1"/>
    <col min="11" max="11" width="2.90625" style="125" customWidth="1"/>
    <col min="12" max="12" width="13.54296875" style="125" customWidth="1"/>
    <col min="13" max="13" width="9.90625" style="125" customWidth="1"/>
    <col min="14" max="14" width="12.90625" style="125" customWidth="1"/>
    <col min="15" max="15" width="8.90625" style="125" customWidth="1"/>
    <col min="16" max="16" width="2.90625" style="125" customWidth="1"/>
    <col min="17" max="17" width="12.90625" style="125" customWidth="1"/>
    <col min="18" max="18" width="2.90625" style="125" customWidth="1"/>
    <col min="19" max="20" width="12.90625" style="125" customWidth="1"/>
    <col min="21" max="21" width="2.54296875" style="125" customWidth="1"/>
    <col min="22" max="22" width="12.90625" style="125" customWidth="1"/>
    <col min="23" max="23" width="13.1796875" style="125" customWidth="1"/>
    <col min="24" max="25" width="12.90625" style="125" customWidth="1"/>
    <col min="26" max="16384" width="12.90625" style="125"/>
  </cols>
  <sheetData>
    <row r="1" spans="1:19">
      <c r="A1" s="122"/>
      <c r="B1" s="123" t="s">
        <v>0</v>
      </c>
      <c r="C1" s="1397" t="s">
        <v>1357</v>
      </c>
      <c r="D1" s="1401"/>
      <c r="E1" s="1401"/>
      <c r="F1" s="1401"/>
      <c r="G1" s="123" t="s">
        <v>1</v>
      </c>
      <c r="H1" s="1397" t="s">
        <v>1358</v>
      </c>
      <c r="I1" s="1397"/>
      <c r="J1" s="1397"/>
      <c r="K1" s="1397"/>
      <c r="L1" s="122"/>
      <c r="M1" s="122"/>
      <c r="N1" s="122"/>
      <c r="R1" s="123" t="s">
        <v>2</v>
      </c>
      <c r="S1" s="26" t="s">
        <v>1359</v>
      </c>
    </row>
    <row r="2" spans="1:19" ht="3.75" customHeight="1">
      <c r="A2" s="122"/>
      <c r="B2" s="122"/>
      <c r="C2" s="122"/>
      <c r="D2" s="122"/>
      <c r="E2" s="122"/>
      <c r="F2" s="122"/>
      <c r="G2" s="122"/>
      <c r="H2" s="122"/>
      <c r="I2" s="127"/>
      <c r="J2" s="122"/>
      <c r="K2" s="127"/>
      <c r="L2" s="122"/>
      <c r="M2" s="122"/>
      <c r="N2" s="122"/>
      <c r="O2" s="122"/>
      <c r="P2" s="122"/>
      <c r="Q2" s="122"/>
      <c r="R2" s="128" t="e">
        <f>0/0</f>
        <v>#DIV/0!</v>
      </c>
    </row>
    <row r="3" spans="1:19">
      <c r="A3" s="122"/>
      <c r="B3" s="122"/>
      <c r="C3" s="122"/>
      <c r="D3" s="129" t="s">
        <v>3</v>
      </c>
      <c r="E3" s="130">
        <v>2024</v>
      </c>
      <c r="F3" s="122"/>
      <c r="G3" s="122"/>
      <c r="H3" s="122"/>
      <c r="I3" s="122"/>
      <c r="K3" s="131" t="s">
        <v>4</v>
      </c>
      <c r="L3" s="132"/>
      <c r="M3" s="132"/>
      <c r="N3" s="132"/>
      <c r="O3" s="132"/>
      <c r="P3" s="132"/>
      <c r="Q3" s="132"/>
      <c r="R3" s="132"/>
      <c r="S3" s="132"/>
    </row>
    <row r="4" spans="1:19">
      <c r="A4" s="1391" t="s">
        <v>5</v>
      </c>
      <c r="B4" s="1391"/>
      <c r="C4" s="1391"/>
      <c r="D4" s="1391"/>
      <c r="E4" s="1391"/>
      <c r="F4" s="1391"/>
      <c r="G4" s="1391"/>
      <c r="H4" s="1391"/>
      <c r="I4" s="1392"/>
      <c r="J4" s="134"/>
      <c r="K4" s="129" t="s">
        <v>6</v>
      </c>
      <c r="L4" s="122" t="s">
        <v>7</v>
      </c>
      <c r="M4" s="132"/>
      <c r="N4" s="132"/>
      <c r="O4" s="1387">
        <v>71000000</v>
      </c>
      <c r="P4" s="1387"/>
      <c r="Q4" s="132"/>
      <c r="R4" s="132"/>
      <c r="S4" s="122"/>
    </row>
    <row r="5" spans="1:19">
      <c r="A5" s="1391" t="s">
        <v>8</v>
      </c>
      <c r="B5" s="1391"/>
      <c r="C5" s="1391"/>
      <c r="D5" s="1391"/>
      <c r="E5" s="1391"/>
      <c r="F5" s="1391"/>
      <c r="G5" s="1391"/>
      <c r="H5" s="1391"/>
      <c r="I5" s="1392"/>
      <c r="J5" s="134"/>
      <c r="K5" s="129" t="s">
        <v>9</v>
      </c>
      <c r="L5" s="122" t="s">
        <v>10</v>
      </c>
      <c r="M5" s="122"/>
      <c r="N5" s="122"/>
      <c r="O5" s="122"/>
      <c r="P5" s="122"/>
      <c r="Q5" s="122"/>
      <c r="R5" s="122"/>
      <c r="S5" s="122"/>
    </row>
    <row r="6" spans="1:19" ht="15.75" customHeight="1">
      <c r="A6" s="1391" t="s">
        <v>11</v>
      </c>
      <c r="B6" s="1391"/>
      <c r="C6" s="1391"/>
      <c r="D6" s="1391"/>
      <c r="E6" s="1391"/>
      <c r="F6" s="1391"/>
      <c r="G6" s="1391"/>
      <c r="H6" s="1391"/>
      <c r="I6" s="1392"/>
      <c r="J6" s="134"/>
      <c r="K6" s="129"/>
      <c r="L6" s="122" t="s">
        <v>12</v>
      </c>
      <c r="M6" s="129" t="s">
        <v>13</v>
      </c>
      <c r="N6" s="14">
        <v>900000</v>
      </c>
      <c r="O6" s="1389"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389"/>
      <c r="Q6" s="1389"/>
      <c r="R6" s="1389"/>
      <c r="S6" s="1389"/>
    </row>
    <row r="7" spans="1:19" ht="17.25" customHeight="1">
      <c r="A7" s="122"/>
      <c r="B7" s="122"/>
      <c r="C7" s="122"/>
      <c r="D7" s="122"/>
      <c r="E7" s="122"/>
      <c r="F7" s="122"/>
      <c r="G7" s="122"/>
      <c r="H7" s="122"/>
      <c r="I7" s="122"/>
      <c r="J7" s="134"/>
      <c r="K7" s="129"/>
      <c r="L7" s="122" t="s">
        <v>14</v>
      </c>
      <c r="M7" s="129" t="s">
        <v>15</v>
      </c>
      <c r="N7" s="14">
        <v>50000</v>
      </c>
      <c r="O7" s="1389"/>
      <c r="P7" s="1389"/>
      <c r="Q7" s="1389"/>
      <c r="R7" s="1389"/>
      <c r="S7" s="1389"/>
    </row>
    <row r="8" spans="1:19" ht="15.75" customHeight="1">
      <c r="A8" s="136"/>
      <c r="B8" s="136"/>
      <c r="C8" s="1390" t="s">
        <v>1419</v>
      </c>
      <c r="D8" s="1390"/>
      <c r="E8" s="1390"/>
      <c r="F8" s="1390"/>
      <c r="G8" s="1390"/>
      <c r="H8" s="136"/>
      <c r="I8" s="136"/>
      <c r="J8" s="134"/>
      <c r="K8" s="129"/>
      <c r="L8" s="122" t="s">
        <v>16</v>
      </c>
      <c r="M8" s="129" t="s">
        <v>17</v>
      </c>
      <c r="N8" s="14">
        <v>17000000</v>
      </c>
      <c r="O8" s="1389" t="str">
        <f>IF(OR('Page 7'!J10&gt;'Page 7'!H10,'Page 7'!J17&gt;'Page 7'!H17),"Please correct error on Page 7","")</f>
        <v/>
      </c>
      <c r="P8" s="1389"/>
      <c r="Q8" s="1389"/>
      <c r="R8" s="1389"/>
      <c r="S8" s="1389"/>
    </row>
    <row r="9" spans="1:19" ht="15.75" customHeight="1">
      <c r="A9" s="132"/>
      <c r="B9" s="132"/>
      <c r="C9" s="1398" t="s">
        <v>18</v>
      </c>
      <c r="D9" s="1398"/>
      <c r="E9" s="1398"/>
      <c r="F9" s="1398"/>
      <c r="G9" s="1398"/>
      <c r="H9" s="132"/>
      <c r="I9" s="133"/>
      <c r="J9" s="134"/>
      <c r="K9" s="129"/>
      <c r="L9" s="122" t="s">
        <v>19</v>
      </c>
      <c r="M9" s="129" t="s">
        <v>20</v>
      </c>
      <c r="N9" s="14">
        <v>6800000</v>
      </c>
      <c r="O9" s="1389" t="str">
        <f>IF('District Contacts'!D33="","Please enter a SIS Vendor on  the District Contacts Tab","")</f>
        <v/>
      </c>
      <c r="P9" s="1389"/>
      <c r="Q9" s="1389"/>
      <c r="R9" s="1389"/>
      <c r="S9" s="1389"/>
    </row>
    <row r="10" spans="1:19" ht="16.2" thickBot="1">
      <c r="A10" s="1394" t="s">
        <v>21</v>
      </c>
      <c r="B10" s="1395"/>
      <c r="C10" s="1395"/>
      <c r="D10" s="1395"/>
      <c r="E10" s="1395"/>
      <c r="F10" s="1395"/>
      <c r="G10" s="1395"/>
      <c r="H10" s="1395"/>
      <c r="I10" s="1396"/>
      <c r="J10" s="134"/>
      <c r="K10" s="129"/>
      <c r="L10" s="122" t="s">
        <v>22</v>
      </c>
      <c r="M10" s="129" t="s">
        <v>23</v>
      </c>
      <c r="N10" s="138">
        <f>SUM(N6:N9)</f>
        <v>24750000</v>
      </c>
      <c r="O10" s="1389"/>
      <c r="P10" s="1389"/>
      <c r="Q10" s="1389"/>
      <c r="R10" s="1389"/>
      <c r="S10" s="1389"/>
    </row>
    <row r="11" spans="1:19" ht="16.2" thickTop="1">
      <c r="A11" s="1395"/>
      <c r="B11" s="1395"/>
      <c r="C11" s="1395"/>
      <c r="D11" s="1395"/>
      <c r="E11" s="1395"/>
      <c r="F11" s="1395"/>
      <c r="G11" s="1395"/>
      <c r="H11" s="1395"/>
      <c r="I11" s="1396"/>
      <c r="J11" s="134"/>
      <c r="K11" s="129" t="s">
        <v>24</v>
      </c>
      <c r="L11" s="139" t="s">
        <v>25</v>
      </c>
      <c r="M11" s="140"/>
      <c r="N11" s="140"/>
      <c r="O11" s="140"/>
      <c r="P11" s="140"/>
      <c r="Q11" s="122"/>
      <c r="R11" s="122"/>
      <c r="S11" s="122"/>
    </row>
    <row r="12" spans="1:19" ht="15" customHeight="1">
      <c r="A12" s="1391" t="s">
        <v>26</v>
      </c>
      <c r="B12" s="1391"/>
      <c r="C12" s="1391"/>
      <c r="D12" s="1391"/>
      <c r="E12" s="1391"/>
      <c r="F12" s="1391"/>
      <c r="G12" s="1391"/>
      <c r="H12" s="1391"/>
      <c r="I12" s="1392"/>
      <c r="J12" s="134"/>
      <c r="K12" s="122"/>
      <c r="L12" s="122"/>
      <c r="M12" s="122"/>
      <c r="N12" s="132" t="s">
        <v>27</v>
      </c>
      <c r="O12" s="132"/>
      <c r="P12" s="122"/>
      <c r="Q12" s="132" t="s">
        <v>28</v>
      </c>
      <c r="R12" s="132"/>
      <c r="S12" s="122"/>
    </row>
    <row r="13" spans="1:19">
      <c r="A13" s="122"/>
      <c r="B13" s="122"/>
      <c r="C13" s="130" t="s">
        <v>29</v>
      </c>
      <c r="D13" s="122"/>
      <c r="E13" s="1393">
        <v>45076</v>
      </c>
      <c r="F13" s="1393"/>
      <c r="G13" s="141" t="str">
        <f>IF(AND(OR(ISNUMBER(SEARCH("Proposed*",C8)),ISNUMBER(SEARCH("Adopted*",C8)),ISNUMBER(SEARCH("Revised*",C8))),E13=""),"Please enter a Proposed Date","")</f>
        <v/>
      </c>
      <c r="H13" s="122"/>
      <c r="I13" s="122"/>
      <c r="J13" s="134"/>
      <c r="K13" s="122"/>
      <c r="L13" s="122" t="s">
        <v>30</v>
      </c>
      <c r="M13" s="122"/>
      <c r="N13" s="16">
        <v>1.7437</v>
      </c>
      <c r="O13" s="142"/>
      <c r="P13" s="143"/>
      <c r="Q13" s="16">
        <v>1.7093</v>
      </c>
      <c r="R13" s="142"/>
      <c r="S13" s="122" t="str">
        <f>IF('Page 7'!J10&gt;'Page 7'!H10,"Please correct error on Page 7","")</f>
        <v/>
      </c>
    </row>
    <row r="14" spans="1:19">
      <c r="A14" s="122"/>
      <c r="B14" s="122"/>
      <c r="C14" s="130" t="s">
        <v>31</v>
      </c>
      <c r="D14" s="122"/>
      <c r="E14" s="1388">
        <v>45090</v>
      </c>
      <c r="F14" s="1388"/>
      <c r="G14" s="141" t="str">
        <f>IF(AND(OR(ISNUMBER(SEARCH("Adopted*",C8)),ISNUMBER(SEARCH("Revised*",C8))),E14=""),"Please enter an Adopted Date","")</f>
        <v/>
      </c>
      <c r="H14" s="122"/>
      <c r="I14" s="122"/>
      <c r="J14" s="134"/>
      <c r="K14" s="122"/>
      <c r="L14" s="122" t="s">
        <v>32</v>
      </c>
      <c r="M14" s="122"/>
      <c r="N14" s="142"/>
      <c r="O14" s="142"/>
      <c r="P14" s="143"/>
      <c r="Q14" s="144"/>
      <c r="R14" s="144"/>
      <c r="S14" s="122"/>
    </row>
    <row r="15" spans="1:19">
      <c r="A15" s="122"/>
      <c r="B15" s="122"/>
      <c r="C15" s="130" t="s">
        <v>33</v>
      </c>
      <c r="D15" s="122"/>
      <c r="E15" s="1388"/>
      <c r="F15" s="1388"/>
      <c r="G15" s="145" t="str">
        <f>IF(AND(ISNUMBER(SEARCH("Revised*",C8)),E15=""),"Please enter a Revised Date","")</f>
        <v/>
      </c>
      <c r="H15" s="122"/>
      <c r="I15" s="122"/>
      <c r="J15" s="134"/>
      <c r="K15" s="122"/>
      <c r="L15" s="122" t="s">
        <v>34</v>
      </c>
      <c r="M15" s="122"/>
      <c r="N15" s="16">
        <v>0.42509999999999998</v>
      </c>
      <c r="O15" s="142"/>
      <c r="P15" s="143"/>
      <c r="Q15" s="16">
        <v>0.41410000000000002</v>
      </c>
      <c r="R15" s="142"/>
      <c r="S15" s="122"/>
    </row>
    <row r="16" spans="1:19">
      <c r="A16" s="122"/>
      <c r="B16" s="122"/>
      <c r="C16" s="122"/>
      <c r="D16" s="122"/>
      <c r="E16" s="1398" t="s">
        <v>35</v>
      </c>
      <c r="F16" s="1398"/>
      <c r="G16" s="122"/>
      <c r="H16" s="122"/>
      <c r="I16" s="122"/>
      <c r="J16" s="134"/>
      <c r="K16" s="122"/>
      <c r="L16" s="122" t="s">
        <v>36</v>
      </c>
      <c r="M16" s="122"/>
      <c r="N16" s="15">
        <v>0</v>
      </c>
      <c r="O16" s="142"/>
      <c r="P16" s="143"/>
      <c r="Q16" s="15">
        <v>0</v>
      </c>
      <c r="R16" s="142"/>
      <c r="S16" s="122"/>
    </row>
    <row r="17" spans="1:23" ht="15.75" customHeight="1">
      <c r="A17" s="146"/>
      <c r="B17" s="146"/>
      <c r="C17" s="146"/>
      <c r="D17" s="146"/>
      <c r="E17" s="146"/>
      <c r="F17" s="146"/>
      <c r="G17" s="146"/>
      <c r="H17" s="146"/>
      <c r="I17" s="147"/>
      <c r="J17" s="134"/>
      <c r="K17" s="122"/>
      <c r="L17" s="122" t="s">
        <v>37</v>
      </c>
      <c r="M17" s="122"/>
      <c r="N17" s="15">
        <v>0.28339999999999999</v>
      </c>
      <c r="O17" s="142"/>
      <c r="P17" s="143"/>
      <c r="Q17" s="15">
        <v>0.27600000000000002</v>
      </c>
      <c r="R17" s="142"/>
      <c r="S17" s="122"/>
    </row>
    <row r="18" spans="1:23">
      <c r="A18" s="148"/>
      <c r="B18" s="146"/>
      <c r="C18" s="146"/>
      <c r="D18" s="146"/>
      <c r="E18" s="146"/>
      <c r="F18" s="146"/>
      <c r="G18" s="146"/>
      <c r="H18" s="146"/>
      <c r="I18" s="147"/>
      <c r="J18" s="134"/>
      <c r="K18" s="122"/>
      <c r="L18" s="130" t="s">
        <v>38</v>
      </c>
      <c r="M18" s="132"/>
      <c r="N18" s="15">
        <v>0</v>
      </c>
      <c r="O18" s="142"/>
      <c r="P18" s="143"/>
      <c r="Q18" s="15">
        <v>0</v>
      </c>
      <c r="R18" s="142"/>
      <c r="S18" s="122"/>
    </row>
    <row r="19" spans="1:23">
      <c r="A19" s="122"/>
      <c r="B19" s="122"/>
      <c r="C19" s="1400"/>
      <c r="D19" s="1400"/>
      <c r="E19" s="122"/>
      <c r="F19" s="1400"/>
      <c r="G19" s="1400"/>
      <c r="H19" s="122"/>
      <c r="I19" s="122"/>
      <c r="J19" s="134"/>
      <c r="K19" s="122"/>
      <c r="L19" s="130" t="s">
        <v>39</v>
      </c>
      <c r="M19" s="122"/>
      <c r="N19" s="15">
        <v>1.361</v>
      </c>
      <c r="O19" s="142"/>
      <c r="P19" s="143"/>
      <c r="Q19" s="15">
        <v>1.37</v>
      </c>
      <c r="R19" s="142"/>
      <c r="S19" s="122"/>
    </row>
    <row r="20" spans="1:23">
      <c r="A20" s="122"/>
      <c r="B20" s="122"/>
      <c r="C20" s="1399"/>
      <c r="D20" s="1399"/>
      <c r="E20" s="122"/>
      <c r="F20" s="1399"/>
      <c r="G20" s="1399"/>
      <c r="H20" s="122"/>
      <c r="I20" s="122"/>
      <c r="J20" s="134"/>
      <c r="K20" s="122"/>
      <c r="L20" s="122" t="s">
        <v>40</v>
      </c>
      <c r="M20" s="122"/>
      <c r="N20" s="16">
        <v>0</v>
      </c>
      <c r="O20" s="142"/>
      <c r="P20" s="122"/>
      <c r="Q20" s="16">
        <v>0</v>
      </c>
      <c r="R20" s="142"/>
      <c r="S20" s="122"/>
    </row>
    <row r="21" spans="1:23">
      <c r="A21" s="122"/>
      <c r="B21" s="122"/>
      <c r="C21" s="1399"/>
      <c r="D21" s="1399"/>
      <c r="E21" s="122"/>
      <c r="F21" s="1399"/>
      <c r="G21" s="1399"/>
      <c r="H21" s="122"/>
      <c r="I21" s="122"/>
      <c r="J21" s="134"/>
      <c r="K21" s="122"/>
      <c r="L21" s="122" t="s">
        <v>41</v>
      </c>
      <c r="M21" s="122"/>
      <c r="N21" s="16">
        <v>0</v>
      </c>
      <c r="O21" s="142"/>
      <c r="P21" s="122"/>
      <c r="Q21" s="16">
        <v>0</v>
      </c>
      <c r="R21" s="142"/>
      <c r="S21" s="122"/>
    </row>
    <row r="22" spans="1:23" ht="16.2" thickBot="1">
      <c r="A22" s="122"/>
      <c r="B22" s="122"/>
      <c r="C22" s="1399"/>
      <c r="D22" s="1399"/>
      <c r="E22" s="122"/>
      <c r="F22" s="1399"/>
      <c r="G22" s="1399"/>
      <c r="H22" s="122"/>
      <c r="I22" s="122"/>
      <c r="J22" s="134"/>
      <c r="K22" s="122"/>
      <c r="L22" s="122" t="s">
        <v>42</v>
      </c>
      <c r="M22" s="122"/>
      <c r="N22" s="149">
        <f>SUM(N15:N21)</f>
        <v>2.0695000000000001</v>
      </c>
      <c r="O22" s="142"/>
      <c r="P22" s="122"/>
      <c r="Q22" s="149">
        <f>SUM(Q15:Q21)</f>
        <v>2.0600999999999998</v>
      </c>
      <c r="R22" s="142"/>
      <c r="S22" s="132"/>
    </row>
    <row r="23" spans="1:23" ht="16.2" thickTop="1">
      <c r="A23" s="122"/>
      <c r="B23" s="122"/>
      <c r="C23" s="1399"/>
      <c r="D23" s="1399"/>
      <c r="E23" s="122"/>
      <c r="F23" s="1399"/>
      <c r="G23" s="1399"/>
      <c r="H23" s="122"/>
      <c r="I23" s="122"/>
      <c r="J23" s="134"/>
      <c r="K23" s="150" t="s">
        <v>43</v>
      </c>
      <c r="M23" s="122"/>
      <c r="N23" s="122"/>
      <c r="O23" s="122"/>
      <c r="P23" s="122"/>
      <c r="Q23" s="122"/>
      <c r="R23" s="122"/>
      <c r="S23" s="122"/>
    </row>
    <row r="24" spans="1:23">
      <c r="A24" s="122"/>
      <c r="B24" s="122"/>
      <c r="C24" s="1399"/>
      <c r="D24" s="1399"/>
      <c r="E24" s="122"/>
      <c r="F24" s="1399"/>
      <c r="G24" s="1399"/>
      <c r="H24" s="122"/>
      <c r="I24" s="122"/>
      <c r="J24" s="134"/>
      <c r="K24" s="150"/>
      <c r="M24" s="122"/>
      <c r="N24" s="122"/>
      <c r="O24" s="122"/>
      <c r="P24" s="122"/>
      <c r="Q24" s="151" t="s">
        <v>44</v>
      </c>
      <c r="R24" s="151"/>
      <c r="S24" s="151" t="s">
        <v>45</v>
      </c>
    </row>
    <row r="25" spans="1:23">
      <c r="A25" s="122"/>
      <c r="B25" s="122"/>
      <c r="C25" s="1399"/>
      <c r="D25" s="1399"/>
      <c r="E25" s="122"/>
      <c r="F25" s="1399"/>
      <c r="G25" s="1399"/>
      <c r="H25" s="122"/>
      <c r="I25" s="122"/>
      <c r="J25" s="134"/>
      <c r="K25" s="129" t="s">
        <v>6</v>
      </c>
      <c r="L25" s="122" t="s">
        <v>46</v>
      </c>
      <c r="M25" s="122"/>
      <c r="N25" s="122"/>
      <c r="O25" s="122"/>
      <c r="P25" s="129" t="s">
        <v>23</v>
      </c>
      <c r="Q25" s="135">
        <f>F001TotalExp</f>
        <v>46802338</v>
      </c>
      <c r="R25" s="129" t="s">
        <v>23</v>
      </c>
      <c r="S25" s="135">
        <f>GBLBudgFY</f>
        <v>46802338</v>
      </c>
      <c r="T25" s="152" t="str">
        <f>IF(Q25&gt;S25,"GBL Exceeded","")</f>
        <v/>
      </c>
    </row>
    <row r="26" spans="1:23">
      <c r="A26" s="122"/>
      <c r="B26" s="122"/>
      <c r="C26" s="1406" t="s">
        <v>47</v>
      </c>
      <c r="D26" s="1406"/>
      <c r="E26" s="153"/>
      <c r="F26" s="1406" t="s">
        <v>47</v>
      </c>
      <c r="G26" s="1406"/>
      <c r="H26" s="122"/>
      <c r="I26" s="122"/>
      <c r="J26" s="134"/>
      <c r="K26" s="129" t="s">
        <v>9</v>
      </c>
      <c r="L26" s="122" t="s">
        <v>48</v>
      </c>
      <c r="M26" s="122"/>
      <c r="N26" s="122"/>
      <c r="O26" s="122"/>
      <c r="P26" s="129" t="s">
        <v>23</v>
      </c>
      <c r="Q26" s="135">
        <f>F610TotalBudgFY</f>
        <v>12957684</v>
      </c>
      <c r="R26" s="129" t="s">
        <v>23</v>
      </c>
      <c r="S26" s="135">
        <f>UCBLBudgFY</f>
        <v>12957684</v>
      </c>
      <c r="T26" s="152" t="str">
        <f>IF(Q26&gt;S26,"UCBL Exceeded","")</f>
        <v/>
      </c>
    </row>
    <row r="27" spans="1:23">
      <c r="A27" s="122"/>
      <c r="B27" s="122"/>
      <c r="C27" s="122"/>
      <c r="D27" s="122"/>
      <c r="E27" s="122"/>
      <c r="F27" s="122"/>
      <c r="G27" s="122"/>
      <c r="H27" s="122"/>
      <c r="I27" s="122"/>
      <c r="J27" s="134"/>
      <c r="K27" s="154" t="s">
        <v>24</v>
      </c>
      <c r="L27" s="122" t="s">
        <v>49</v>
      </c>
      <c r="M27" s="122"/>
      <c r="N27" s="122"/>
      <c r="O27" s="122"/>
      <c r="P27" s="122"/>
      <c r="R27" s="129" t="s">
        <v>23</v>
      </c>
      <c r="S27" s="135">
        <f>TotFedProjFundBudgFY-F378BudgFY</f>
        <v>6923000</v>
      </c>
    </row>
    <row r="28" spans="1:23" ht="16.2" thickBot="1">
      <c r="A28" s="122"/>
      <c r="C28" s="122" t="s">
        <v>50</v>
      </c>
      <c r="D28" s="122"/>
      <c r="E28" s="122"/>
      <c r="F28" s="122"/>
      <c r="G28" s="122"/>
      <c r="H28" s="122"/>
      <c r="I28" s="122"/>
      <c r="J28" s="134"/>
      <c r="K28" s="154" t="s">
        <v>51</v>
      </c>
      <c r="L28" s="122" t="s">
        <v>52</v>
      </c>
      <c r="M28" s="122"/>
      <c r="N28" s="122"/>
      <c r="O28" s="122"/>
      <c r="P28" s="122"/>
      <c r="R28" s="129" t="s">
        <v>23</v>
      </c>
      <c r="S28" s="138">
        <f>SUM(S25+S26+S27)</f>
        <v>66683022</v>
      </c>
    </row>
    <row r="29" spans="1:23" ht="16.5" customHeight="1" thickTop="1">
      <c r="A29" s="122"/>
      <c r="B29" s="125" t="s">
        <v>53</v>
      </c>
      <c r="C29" s="122" t="s">
        <v>54</v>
      </c>
      <c r="D29" s="155"/>
      <c r="F29" s="1404">
        <v>45091</v>
      </c>
      <c r="G29" s="1404"/>
      <c r="H29" s="156" t="s">
        <v>55</v>
      </c>
      <c r="I29" s="157"/>
      <c r="J29" s="134"/>
      <c r="S29" s="158"/>
    </row>
    <row r="30" spans="1:23" ht="16.5" customHeight="1">
      <c r="A30" s="122"/>
      <c r="B30" s="1391"/>
      <c r="C30" s="1391"/>
      <c r="D30" s="159"/>
      <c r="E30" s="122"/>
      <c r="F30" s="1405" t="s">
        <v>56</v>
      </c>
      <c r="G30" s="1405"/>
      <c r="H30" s="122"/>
      <c r="I30" s="122"/>
      <c r="J30" s="134"/>
      <c r="K30" s="160" t="s">
        <v>57</v>
      </c>
      <c r="L30" s="160"/>
      <c r="M30" s="160"/>
      <c r="N30" s="160"/>
      <c r="O30" s="160"/>
      <c r="P30" s="160"/>
      <c r="Q30" s="160"/>
      <c r="R30" s="158"/>
    </row>
    <row r="31" spans="1:23" ht="14.25" customHeight="1" thickBot="1">
      <c r="A31" s="122"/>
      <c r="B31" s="122"/>
      <c r="C31" s="122"/>
      <c r="D31" s="122"/>
      <c r="E31" s="161"/>
      <c r="F31" s="162" t="str">
        <f>IF(F29="","Please enter upload by date",IF(F29&gt;=MAX(E13,E14,E15),"","Revise upload date for current submission"))</f>
        <v/>
      </c>
      <c r="G31" s="122"/>
      <c r="H31" s="161"/>
      <c r="I31" s="122"/>
      <c r="J31" s="134"/>
      <c r="K31" s="154" t="s">
        <v>6</v>
      </c>
      <c r="L31" s="122" t="s">
        <v>58</v>
      </c>
      <c r="M31" s="163"/>
      <c r="N31" s="163"/>
      <c r="O31" s="122"/>
      <c r="P31" s="1409" t="str">
        <f>IF(U32&lt;&gt;"","",IF(OR(S31=0,S32=0),"Average salary information is not complete",""))</f>
        <v/>
      </c>
      <c r="Q31" s="1409"/>
      <c r="R31" s="129" t="s">
        <v>23</v>
      </c>
      <c r="S31" s="14">
        <f>(58863*1.02)*1.02</f>
        <v>61241</v>
      </c>
      <c r="T31" s="164" t="str">
        <f>IF(U32&lt;&gt;"","",IF(OR(S31=0,S32=0),1/ERROR,""))</f>
        <v/>
      </c>
    </row>
    <row r="32" spans="1:23" ht="15.75" customHeight="1" thickBot="1">
      <c r="A32" s="122"/>
      <c r="B32" s="1390"/>
      <c r="C32" s="1390"/>
      <c r="D32" s="1390"/>
      <c r="E32" s="122"/>
      <c r="F32" s="1400"/>
      <c r="G32" s="1400"/>
      <c r="H32" s="1400"/>
      <c r="I32" s="122"/>
      <c r="J32" s="134"/>
      <c r="K32" s="154" t="s">
        <v>9</v>
      </c>
      <c r="L32" s="122" t="s">
        <v>59</v>
      </c>
      <c r="M32" s="122"/>
      <c r="N32" s="122"/>
      <c r="O32" s="122"/>
      <c r="P32" s="1409"/>
      <c r="Q32" s="1409"/>
      <c r="R32" s="129" t="s">
        <v>23</v>
      </c>
      <c r="S32" s="14">
        <v>58863</v>
      </c>
      <c r="T32" s="164" t="b">
        <v>0</v>
      </c>
      <c r="U32" s="70"/>
      <c r="V32" s="1408" t="s">
        <v>60</v>
      </c>
      <c r="W32" s="1408"/>
    </row>
    <row r="33" spans="1:23">
      <c r="A33" s="122"/>
      <c r="B33" s="1398" t="s">
        <v>61</v>
      </c>
      <c r="C33" s="1398"/>
      <c r="D33" s="1398"/>
      <c r="E33" s="122"/>
      <c r="F33" s="1391" t="s">
        <v>62</v>
      </c>
      <c r="G33" s="1391"/>
      <c r="H33" s="1391"/>
      <c r="I33" s="122"/>
      <c r="J33" s="134"/>
      <c r="K33" s="154" t="s">
        <v>24</v>
      </c>
      <c r="L33" s="122" t="s">
        <v>63</v>
      </c>
      <c r="M33" s="122"/>
      <c r="N33" s="122"/>
      <c r="O33" s="122"/>
      <c r="P33" s="1409"/>
      <c r="Q33" s="1409"/>
      <c r="R33" s="129" t="s">
        <v>23</v>
      </c>
      <c r="S33" s="165">
        <f>BudgetYearSalary-PriorYearSalary</f>
        <v>2378</v>
      </c>
      <c r="V33" s="1408"/>
      <c r="W33" s="1408"/>
    </row>
    <row r="34" spans="1:23">
      <c r="A34" s="122"/>
      <c r="B34" s="122"/>
      <c r="C34" s="122"/>
      <c r="D34" s="122"/>
      <c r="E34" s="122"/>
      <c r="F34" s="122"/>
      <c r="G34" s="122"/>
      <c r="H34" s="122"/>
      <c r="I34" s="122"/>
      <c r="J34" s="134"/>
      <c r="K34" s="154" t="s">
        <v>51</v>
      </c>
      <c r="L34" s="122" t="s">
        <v>64</v>
      </c>
      <c r="M34" s="122"/>
      <c r="N34" s="122"/>
      <c r="O34" s="166"/>
      <c r="P34" s="1410"/>
      <c r="Q34" s="1410"/>
      <c r="R34" s="129"/>
      <c r="S34" s="167">
        <f>IF(PriorYearSalary&gt;0,SalaryIncrease/PriorYearSalary,0)</f>
        <v>0.04</v>
      </c>
    </row>
    <row r="35" spans="1:23" ht="18" customHeight="1">
      <c r="A35" s="122"/>
      <c r="B35" s="1407" t="s">
        <v>1360</v>
      </c>
      <c r="C35" s="1407"/>
      <c r="D35" s="1407"/>
      <c r="E35" s="122"/>
      <c r="F35" s="1390" t="s">
        <v>1361</v>
      </c>
      <c r="G35" s="1390"/>
      <c r="H35" s="1390"/>
      <c r="I35" s="122"/>
      <c r="J35" s="134"/>
      <c r="K35" s="1411" t="s">
        <v>65</v>
      </c>
      <c r="L35" s="1412"/>
      <c r="M35" s="1412"/>
      <c r="N35" s="1412"/>
      <c r="O35" s="1412"/>
      <c r="P35" s="1412"/>
      <c r="Q35" s="1412"/>
      <c r="R35" s="1412"/>
      <c r="S35" s="1413"/>
    </row>
    <row r="36" spans="1:23" ht="15" customHeight="1">
      <c r="A36" s="122"/>
      <c r="B36" s="1398" t="s">
        <v>66</v>
      </c>
      <c r="C36" s="1398"/>
      <c r="D36" s="1398"/>
      <c r="E36" s="122"/>
      <c r="F36" s="1391" t="s">
        <v>67</v>
      </c>
      <c r="G36" s="1391"/>
      <c r="H36" s="1391"/>
      <c r="I36" s="122"/>
      <c r="J36" s="134"/>
      <c r="K36" s="1414"/>
      <c r="L36" s="1415"/>
      <c r="M36" s="1415"/>
      <c r="N36" s="1415"/>
      <c r="O36" s="1415"/>
      <c r="P36" s="1415"/>
      <c r="Q36" s="1415"/>
      <c r="R36" s="1415"/>
      <c r="S36" s="1416"/>
    </row>
    <row r="37" spans="1:23" ht="15" customHeight="1">
      <c r="A37" s="122"/>
      <c r="B37" s="132"/>
      <c r="C37" s="132"/>
      <c r="D37" s="132"/>
      <c r="E37" s="122"/>
      <c r="F37" s="132"/>
      <c r="G37" s="132"/>
      <c r="H37" s="132"/>
      <c r="I37" s="122"/>
      <c r="J37" s="168"/>
      <c r="K37" s="1414"/>
      <c r="L37" s="1415"/>
      <c r="M37" s="1415"/>
      <c r="N37" s="1415"/>
      <c r="O37" s="1415"/>
      <c r="P37" s="1415"/>
      <c r="Q37" s="1415"/>
      <c r="R37" s="1415"/>
      <c r="S37" s="1416"/>
    </row>
    <row r="38" spans="1:23" ht="15" customHeight="1">
      <c r="A38" s="122"/>
      <c r="B38" s="1420" t="s">
        <v>68</v>
      </c>
      <c r="C38" s="1420"/>
      <c r="D38" s="1390" t="s">
        <v>1361</v>
      </c>
      <c r="E38" s="1390"/>
      <c r="F38" s="1390"/>
      <c r="G38" s="1390"/>
      <c r="H38" s="122"/>
      <c r="I38" s="122"/>
      <c r="J38" s="169"/>
      <c r="K38" s="1414"/>
      <c r="L38" s="1415"/>
      <c r="M38" s="1415"/>
      <c r="N38" s="1415"/>
      <c r="O38" s="1415"/>
      <c r="P38" s="1415"/>
      <c r="Q38" s="1415"/>
      <c r="R38" s="1415"/>
      <c r="S38" s="1416"/>
    </row>
    <row r="39" spans="1:23" ht="15" customHeight="1">
      <c r="A39" s="128"/>
      <c r="B39" s="130"/>
      <c r="C39" s="130"/>
      <c r="D39" s="132"/>
      <c r="E39" s="132"/>
      <c r="F39" s="132"/>
      <c r="G39" s="137"/>
      <c r="H39" s="122"/>
      <c r="I39" s="170"/>
      <c r="J39" s="171"/>
      <c r="K39" s="1417"/>
      <c r="L39" s="1418"/>
      <c r="M39" s="1418"/>
      <c r="N39" s="1418"/>
      <c r="O39" s="1418"/>
      <c r="P39" s="1418"/>
      <c r="Q39" s="1418"/>
      <c r="R39" s="1418"/>
      <c r="S39" s="1419"/>
    </row>
    <row r="40" spans="1:23" ht="15" customHeight="1">
      <c r="A40" s="172"/>
      <c r="B40" s="122" t="s">
        <v>69</v>
      </c>
      <c r="C40" s="1402" t="s">
        <v>1362</v>
      </c>
      <c r="D40" s="1402"/>
      <c r="E40" s="122"/>
      <c r="F40" s="129" t="s">
        <v>70</v>
      </c>
      <c r="G40" s="1403" t="s">
        <v>1363</v>
      </c>
      <c r="H40" s="1390"/>
      <c r="I40" s="170"/>
      <c r="J40" s="173"/>
      <c r="K40" s="154"/>
      <c r="L40" s="122"/>
      <c r="M40" s="122"/>
      <c r="N40" s="122"/>
      <c r="O40" s="158"/>
      <c r="P40" s="158"/>
      <c r="Q40" s="122"/>
      <c r="R40" s="129"/>
      <c r="S40" s="174"/>
    </row>
    <row r="41" spans="1:23" ht="15.75" customHeight="1">
      <c r="A41" s="172"/>
      <c r="B41" s="122"/>
      <c r="C41" s="122"/>
      <c r="D41" s="122"/>
      <c r="E41" s="175"/>
      <c r="F41" s="122"/>
      <c r="G41" s="122"/>
      <c r="H41" s="122"/>
      <c r="I41" s="170"/>
      <c r="J41" s="176"/>
      <c r="K41" s="154"/>
      <c r="L41" s="122"/>
      <c r="R41" s="129"/>
      <c r="S41" s="167"/>
      <c r="T41" s="176"/>
    </row>
    <row r="42" spans="1:23">
      <c r="A42" s="177"/>
      <c r="B42" s="122"/>
      <c r="C42" s="122"/>
      <c r="D42" s="122"/>
      <c r="E42" s="175"/>
      <c r="F42" s="122"/>
      <c r="G42" s="122"/>
      <c r="H42" s="122"/>
      <c r="J42" s="178"/>
      <c r="K42" s="179"/>
      <c r="L42" s="178"/>
      <c r="M42" s="180"/>
      <c r="N42" s="180"/>
      <c r="O42" s="180"/>
      <c r="P42" s="180"/>
      <c r="Q42" s="181"/>
      <c r="R42" s="181"/>
      <c r="S42" s="182"/>
      <c r="T42" s="176"/>
    </row>
    <row r="43" spans="1:23" ht="6.75" customHeight="1">
      <c r="B43" s="128"/>
      <c r="C43" s="175"/>
      <c r="D43" s="175"/>
      <c r="E43" s="183"/>
      <c r="F43" s="175"/>
      <c r="G43" s="175"/>
      <c r="H43" s="175"/>
      <c r="S43" s="184"/>
    </row>
    <row r="44" spans="1:23">
      <c r="E44" s="183"/>
      <c r="F44" s="183"/>
      <c r="G44" s="185"/>
      <c r="H44" s="183"/>
    </row>
    <row r="45" spans="1:23">
      <c r="E45" s="177"/>
      <c r="F45" s="183"/>
      <c r="G45" s="183"/>
      <c r="H45" s="183"/>
    </row>
    <row r="56" spans="2:2">
      <c r="B56" s="186"/>
    </row>
  </sheetData>
  <sheetProtection sheet="1" formatCells="0" formatColumns="0" formatRows="0"/>
  <mergeCells count="51">
    <mergeCell ref="V32:W33"/>
    <mergeCell ref="P31:Q34"/>
    <mergeCell ref="C25:D25"/>
    <mergeCell ref="K35:S39"/>
    <mergeCell ref="C26:D26"/>
    <mergeCell ref="B32:D32"/>
    <mergeCell ref="B38:C38"/>
    <mergeCell ref="B30:C30"/>
    <mergeCell ref="F32:H3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formula1>9</formula1>
    </dataValidation>
    <dataValidation type="list" allowBlank="1" showInputMessage="1" showErrorMessage="1" error="Select the budget version from the drop-down list." prompt="Select the budget version that is applicable to you:  Proposed, Adopted, or Revised." sqref="C8:G8">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formula1>E14</formula1>
    </dataValidation>
    <dataValidation type="date" operator="greaterThan" allowBlank="1" showInputMessage="1" showErrorMessage="1" errorTitle="Date" error="Adopted date must be greater than proposed date" promptTitle="Enter Date as" prompt="MM/DD/YYYY" sqref="E14:F14">
      <formula1>E13</formula1>
    </dataValidation>
    <dataValidation type="date" operator="greaterThanOrEqual" allowBlank="1" showInputMessage="1" showErrorMessage="1" errorTitle="Date" error="Enter a Valid Date_x000a_MM/DD/YYYY" promptTitle="Enter Date as" prompt="MM/DD/YYYY" sqref="E13:F13">
      <formula1>43241</formula1>
    </dataValidation>
    <dataValidation type="date" operator="greaterThanOrEqual" allowBlank="1" showInputMessage="1" showErrorMessage="1" errorTitle="Date" error="Enter a Valid Date_x000a_MM/DD/YYYY" sqref="F29:G29">
      <formula1>43241</formula1>
    </dataValidation>
    <dataValidation type="list" allowBlank="1" showInputMessage="1" showErrorMessage="1" sqref="U32">
      <formula1>"X"</formula1>
    </dataValidation>
  </dataValidations>
  <hyperlinks>
    <hyperlink ref="L11:P11" location="TaxRates" display="District Tax Rates for Current and Budget Fiscal Years (A.R.S. §15-903.D.4)"/>
    <hyperlink ref="K30:Q30" location="AvgTeacherSalaries" display="AVERAGE TEACHER SALARIES (A.R.S. §15-903, amended by Laws 2018, Ch. 285, §10)"/>
  </hyperlinks>
  <printOptions horizontalCentered="1"/>
  <pageMargins left="0.25" right="0.25" top="0.25" bottom="0.25" header="0" footer="0.15"/>
  <pageSetup paperSize="5" scale="70" orientation="landscape" r:id="rId1"/>
  <headerFooter alignWithMargins="0">
    <oddFooter>&amp;L&amp;"Times New Roman,Bold"&amp;9Rev. 5/23&amp;K000000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9"/>
  <sheetViews>
    <sheetView showGridLines="0" tabSelected="1" topLeftCell="A11" workbookViewId="0">
      <selection activeCell="S31" sqref="S31"/>
    </sheetView>
  </sheetViews>
  <sheetFormatPr defaultColWidth="8.90625" defaultRowHeight="15"/>
  <cols>
    <col min="1" max="1" width="13.90625" customWidth="1"/>
    <col min="2" max="2" width="24.453125" customWidth="1"/>
    <col min="3" max="3" width="4.90625" customWidth="1"/>
    <col min="4" max="4" width="15.90625" customWidth="1"/>
    <col min="5" max="5" width="18" customWidth="1"/>
    <col min="6" max="6" width="6" customWidth="1"/>
    <col min="7" max="7" width="20.453125" customWidth="1"/>
    <col min="8" max="8" width="13.453125" customWidth="1"/>
    <col min="9" max="9" width="7.54296875" customWidth="1"/>
    <col min="12" max="12" width="11.453125" customWidth="1"/>
    <col min="13" max="13" width="30.08984375" style="204" customWidth="1"/>
    <col min="14" max="15" width="8.90625" style="200" customWidth="1"/>
    <col min="16" max="16" width="8.90625" customWidth="1"/>
  </cols>
  <sheetData>
    <row r="1" spans="1:21" ht="15.6">
      <c r="A1" s="123" t="s">
        <v>71</v>
      </c>
      <c r="B1" s="187" t="str">
        <f>DistrictName</f>
        <v>MADISON ELEMENTARY SCHOOL DISTRICT</v>
      </c>
      <c r="C1" s="172"/>
      <c r="D1" s="123" t="s">
        <v>72</v>
      </c>
      <c r="E1" s="124" t="str">
        <f>Cover!H1</f>
        <v>MARICOPA</v>
      </c>
      <c r="G1" s="123" t="s">
        <v>73</v>
      </c>
      <c r="H1" s="188" t="str">
        <f>CTD</f>
        <v>070438000</v>
      </c>
      <c r="I1" s="189"/>
      <c r="J1" s="123" t="s">
        <v>74</v>
      </c>
      <c r="K1" s="190" t="str">
        <f>Cover!C8</f>
        <v>Adopted</v>
      </c>
      <c r="M1" s="164" t="s">
        <v>75</v>
      </c>
      <c r="N1" s="164" t="s">
        <v>76</v>
      </c>
      <c r="O1" s="164" t="s">
        <v>77</v>
      </c>
      <c r="P1" s="164" t="s">
        <v>78</v>
      </c>
      <c r="Q1" s="164" t="s">
        <v>79</v>
      </c>
      <c r="R1" s="191"/>
      <c r="S1" s="191"/>
      <c r="T1" s="191"/>
      <c r="U1" s="191"/>
    </row>
    <row r="2" spans="1:21" ht="15.6">
      <c r="M2" s="164" t="s">
        <v>80</v>
      </c>
      <c r="N2" s="164" t="s">
        <v>81</v>
      </c>
      <c r="O2" s="164" t="s">
        <v>82</v>
      </c>
      <c r="P2" s="164" t="s">
        <v>83</v>
      </c>
      <c r="Q2" s="164" t="s">
        <v>84</v>
      </c>
      <c r="R2" s="164" t="s">
        <v>85</v>
      </c>
      <c r="S2" s="164" t="s">
        <v>86</v>
      </c>
      <c r="T2" s="164" t="s">
        <v>87</v>
      </c>
      <c r="U2" s="164" t="s">
        <v>88</v>
      </c>
    </row>
    <row r="3" spans="1:21" ht="15.6">
      <c r="A3" s="1421" t="s">
        <v>89</v>
      </c>
      <c r="B3" s="1421"/>
      <c r="C3" s="1421"/>
      <c r="D3" s="1421"/>
      <c r="E3" s="1421"/>
      <c r="F3" s="1421"/>
      <c r="G3" s="1421"/>
      <c r="H3" s="1421"/>
      <c r="I3" s="1421"/>
      <c r="J3" s="1421"/>
      <c r="K3" s="1421"/>
      <c r="M3" s="192" t="s">
        <v>90</v>
      </c>
      <c r="N3" s="164" t="s">
        <v>91</v>
      </c>
      <c r="O3" s="191"/>
    </row>
    <row r="4" spans="1:21" ht="15.6">
      <c r="A4" s="125"/>
      <c r="B4" s="193"/>
      <c r="M4" s="192" t="s">
        <v>92</v>
      </c>
      <c r="N4" s="164" t="s">
        <v>93</v>
      </c>
      <c r="O4" s="191"/>
    </row>
    <row r="5" spans="1:21" ht="15.6">
      <c r="A5" s="125"/>
      <c r="B5" s="194"/>
      <c r="C5" s="195" t="s">
        <v>94</v>
      </c>
      <c r="D5" s="195" t="s">
        <v>95</v>
      </c>
      <c r="E5" s="1433" t="s">
        <v>96</v>
      </c>
      <c r="F5" s="1434"/>
      <c r="G5" s="195" t="s">
        <v>97</v>
      </c>
      <c r="H5" s="195" t="s">
        <v>98</v>
      </c>
      <c r="I5" s="195" t="s">
        <v>99</v>
      </c>
      <c r="M5" s="192" t="s">
        <v>100</v>
      </c>
      <c r="N5" s="164" t="s">
        <v>101</v>
      </c>
      <c r="O5" s="191"/>
    </row>
    <row r="6" spans="1:21" ht="15.6">
      <c r="A6" s="196" t="s">
        <v>102</v>
      </c>
      <c r="B6" s="194"/>
      <c r="C6" s="1378" t="s">
        <v>75</v>
      </c>
      <c r="D6" s="1378" t="s">
        <v>1364</v>
      </c>
      <c r="E6" s="1435" t="s">
        <v>1365</v>
      </c>
      <c r="F6" s="1436"/>
      <c r="G6" s="1379" t="s">
        <v>1366</v>
      </c>
      <c r="H6" s="1380">
        <v>6026647903</v>
      </c>
      <c r="I6" s="88"/>
      <c r="M6" s="192" t="s">
        <v>103</v>
      </c>
      <c r="N6" s="164" t="s">
        <v>104</v>
      </c>
      <c r="O6" s="191"/>
    </row>
    <row r="7" spans="1:21" ht="15.75" customHeight="1">
      <c r="A7" s="197" t="s">
        <v>105</v>
      </c>
      <c r="B7" s="194"/>
      <c r="C7" s="1378"/>
      <c r="D7" s="1378" t="s">
        <v>1367</v>
      </c>
      <c r="E7" s="1437" t="s">
        <v>1368</v>
      </c>
      <c r="F7" s="1438"/>
      <c r="G7" s="1379" t="s">
        <v>1369</v>
      </c>
      <c r="H7" s="1380">
        <v>6026647913</v>
      </c>
      <c r="I7" s="88"/>
      <c r="J7" s="1429" t="str">
        <f>IF(AND(G9="",G10=""),"The Superintendent and Business Manager email addresses are used to distribute important budget information. If your district does not have a Business Manager, please fill in an alternate contact to receive budget updates. ","")</f>
        <v/>
      </c>
      <c r="K7" s="1430"/>
      <c r="L7" s="1430"/>
      <c r="M7" s="192" t="s">
        <v>106</v>
      </c>
      <c r="N7" s="191"/>
      <c r="O7" s="191"/>
    </row>
    <row r="8" spans="1:21">
      <c r="A8" s="197" t="s">
        <v>107</v>
      </c>
      <c r="B8" s="194"/>
      <c r="C8" s="1378"/>
      <c r="D8" s="1378" t="s">
        <v>1370</v>
      </c>
      <c r="E8" s="1437" t="s">
        <v>1371</v>
      </c>
      <c r="F8" s="1438"/>
      <c r="G8" s="1379" t="s">
        <v>1372</v>
      </c>
      <c r="H8" s="1380">
        <v>6026647916</v>
      </c>
      <c r="I8" s="88"/>
      <c r="J8" s="1429"/>
      <c r="K8" s="1430"/>
      <c r="L8" s="1430"/>
      <c r="M8" s="192" t="s">
        <v>108</v>
      </c>
      <c r="N8" s="191"/>
      <c r="O8" s="191"/>
    </row>
    <row r="9" spans="1:21">
      <c r="A9" s="199" t="s">
        <v>109</v>
      </c>
      <c r="B9" s="194"/>
      <c r="C9" s="1378"/>
      <c r="D9" s="1378" t="s">
        <v>1373</v>
      </c>
      <c r="E9" s="1437" t="s">
        <v>1374</v>
      </c>
      <c r="F9" s="1438"/>
      <c r="G9" s="1379" t="s">
        <v>1363</v>
      </c>
      <c r="H9" s="1380"/>
      <c r="I9" s="88"/>
      <c r="J9" s="1429"/>
      <c r="K9" s="1430"/>
      <c r="L9" s="1430"/>
      <c r="M9" s="192" t="s">
        <v>110</v>
      </c>
      <c r="N9" s="191"/>
      <c r="O9" s="191"/>
    </row>
    <row r="10" spans="1:21">
      <c r="A10" s="199" t="s">
        <v>111</v>
      </c>
      <c r="B10" s="194"/>
      <c r="C10" s="1378"/>
      <c r="D10" s="1378"/>
      <c r="E10" s="1437"/>
      <c r="F10" s="1438"/>
      <c r="G10" s="1379"/>
      <c r="H10" s="1380"/>
      <c r="I10" s="88"/>
      <c r="J10" s="1429"/>
      <c r="K10" s="1430"/>
      <c r="L10" s="1430"/>
      <c r="M10" s="192" t="s">
        <v>112</v>
      </c>
      <c r="N10" s="191"/>
      <c r="O10" s="191"/>
    </row>
    <row r="11" spans="1:21">
      <c r="A11" s="199" t="s">
        <v>113</v>
      </c>
      <c r="B11" s="194"/>
      <c r="C11" s="1378"/>
      <c r="D11" s="1378"/>
      <c r="E11" s="1437"/>
      <c r="F11" s="1438"/>
      <c r="G11" s="1379"/>
      <c r="H11" s="1380"/>
      <c r="I11" s="88"/>
      <c r="J11" s="1429"/>
      <c r="K11" s="1430"/>
      <c r="L11" s="1430"/>
      <c r="M11" s="192" t="s">
        <v>114</v>
      </c>
      <c r="N11" s="191"/>
      <c r="O11" s="191"/>
    </row>
    <row r="12" spans="1:21">
      <c r="A12" s="199" t="s">
        <v>115</v>
      </c>
      <c r="B12" s="194"/>
      <c r="C12" s="1378"/>
      <c r="D12" s="1378" t="s">
        <v>1375</v>
      </c>
      <c r="E12" s="1439" t="s">
        <v>1376</v>
      </c>
      <c r="F12" s="1440"/>
      <c r="G12" s="1379" t="s">
        <v>1377</v>
      </c>
      <c r="H12" s="1380">
        <v>6026647938</v>
      </c>
      <c r="I12" s="88"/>
      <c r="J12" s="1429"/>
      <c r="K12" s="1430"/>
      <c r="L12" s="1430"/>
      <c r="M12" s="192" t="s">
        <v>116</v>
      </c>
      <c r="N12" s="191"/>
      <c r="O12" s="191"/>
    </row>
    <row r="13" spans="1:21">
      <c r="A13" s="199" t="s">
        <v>117</v>
      </c>
      <c r="B13" s="194"/>
      <c r="C13" s="68"/>
      <c r="D13" s="68" t="s">
        <v>1378</v>
      </c>
      <c r="E13" s="1441" t="s">
        <v>1379</v>
      </c>
      <c r="F13" s="1442"/>
      <c r="G13" s="1381" t="s">
        <v>1380</v>
      </c>
      <c r="H13" s="1380">
        <v>6026647959</v>
      </c>
      <c r="I13" s="88"/>
      <c r="J13" s="1429"/>
      <c r="K13" s="1430"/>
      <c r="L13" s="1430"/>
      <c r="M13" s="192" t="s">
        <v>118</v>
      </c>
      <c r="N13" s="191"/>
      <c r="O13" s="191"/>
    </row>
    <row r="14" spans="1:21">
      <c r="A14" s="199" t="s">
        <v>119</v>
      </c>
      <c r="B14" s="194"/>
      <c r="C14" s="1378"/>
      <c r="D14" s="1378" t="s">
        <v>1381</v>
      </c>
      <c r="E14" s="1437" t="s">
        <v>1382</v>
      </c>
      <c r="F14" s="1438"/>
      <c r="G14" s="1379" t="s">
        <v>1383</v>
      </c>
      <c r="H14" s="1380">
        <v>6026647907</v>
      </c>
      <c r="I14" s="88"/>
      <c r="J14" s="1429"/>
      <c r="K14" s="1430"/>
      <c r="L14" s="1430"/>
      <c r="M14" s="192" t="s">
        <v>120</v>
      </c>
    </row>
    <row r="15" spans="1:21">
      <c r="A15" s="199" t="s">
        <v>121</v>
      </c>
      <c r="B15" s="194"/>
      <c r="C15" s="1378"/>
      <c r="D15" s="1378" t="s">
        <v>1384</v>
      </c>
      <c r="E15" s="1437" t="s">
        <v>1385</v>
      </c>
      <c r="F15" s="1438"/>
      <c r="G15" s="1379" t="s">
        <v>1386</v>
      </c>
      <c r="H15" s="1380">
        <v>6026647701</v>
      </c>
      <c r="I15" s="88"/>
      <c r="J15" s="1429"/>
      <c r="K15" s="1430"/>
      <c r="L15" s="1430"/>
      <c r="M15" s="192" t="s">
        <v>122</v>
      </c>
    </row>
    <row r="16" spans="1:21" ht="15.6">
      <c r="A16" s="199" t="s">
        <v>123</v>
      </c>
      <c r="B16" s="201"/>
      <c r="C16" s="1378"/>
      <c r="D16" s="1378"/>
      <c r="E16" s="1437"/>
      <c r="F16" s="1438"/>
      <c r="G16" s="1379"/>
      <c r="H16" s="1380"/>
      <c r="I16" s="88"/>
      <c r="J16" s="198"/>
      <c r="K16" s="198"/>
      <c r="L16" s="198"/>
      <c r="M16" s="192" t="s">
        <v>124</v>
      </c>
    </row>
    <row r="17" spans="1:13" ht="15.6">
      <c r="A17" s="199" t="s">
        <v>125</v>
      </c>
      <c r="B17" s="201"/>
      <c r="C17" s="1378"/>
      <c r="D17" s="1378" t="s">
        <v>1405</v>
      </c>
      <c r="E17" s="1437" t="s">
        <v>1406</v>
      </c>
      <c r="F17" s="1438"/>
      <c r="G17" s="1379" t="s">
        <v>1407</v>
      </c>
      <c r="H17" s="1380">
        <v>6026647912</v>
      </c>
      <c r="I17" s="88"/>
      <c r="J17" s="202"/>
      <c r="K17" s="202"/>
      <c r="L17" s="202"/>
      <c r="M17" s="203" t="s">
        <v>126</v>
      </c>
    </row>
    <row r="18" spans="1:13" ht="15.6">
      <c r="A18" s="199" t="s">
        <v>127</v>
      </c>
      <c r="B18" s="201"/>
      <c r="C18" s="1378"/>
      <c r="D18" s="1378" t="s">
        <v>1387</v>
      </c>
      <c r="E18" s="1437" t="s">
        <v>1388</v>
      </c>
      <c r="F18" s="1438"/>
      <c r="G18" s="1379" t="s">
        <v>1389</v>
      </c>
      <c r="H18" s="1380">
        <v>6026647933</v>
      </c>
      <c r="I18" s="88"/>
      <c r="J18" s="202"/>
      <c r="K18" s="202"/>
      <c r="L18" s="202"/>
    </row>
    <row r="19" spans="1:13" ht="15.6">
      <c r="A19" s="199" t="s">
        <v>128</v>
      </c>
      <c r="B19" s="201"/>
      <c r="C19" s="1378"/>
      <c r="D19" s="1378" t="s">
        <v>1408</v>
      </c>
      <c r="E19" s="1437" t="s">
        <v>1409</v>
      </c>
      <c r="F19" s="1438"/>
      <c r="G19" s="1379" t="s">
        <v>1410</v>
      </c>
      <c r="H19" s="1380">
        <v>6026647914</v>
      </c>
      <c r="I19" s="88"/>
      <c r="J19" s="198"/>
      <c r="K19" s="198"/>
      <c r="L19" s="198"/>
      <c r="M19" s="205"/>
    </row>
    <row r="20" spans="1:13" ht="15.6">
      <c r="A20" s="199" t="s">
        <v>129</v>
      </c>
      <c r="B20" s="201"/>
      <c r="C20" s="1378"/>
      <c r="D20" s="1378" t="s">
        <v>1390</v>
      </c>
      <c r="E20" s="1437" t="s">
        <v>1391</v>
      </c>
      <c r="F20" s="1438"/>
      <c r="G20" s="1379" t="s">
        <v>1392</v>
      </c>
      <c r="H20" s="1380">
        <v>6026647904</v>
      </c>
      <c r="I20" s="88"/>
      <c r="J20" s="198"/>
      <c r="K20" s="198"/>
      <c r="L20" s="198"/>
      <c r="M20" s="205"/>
    </row>
    <row r="21" spans="1:13" ht="15.6">
      <c r="A21" s="199" t="s">
        <v>130</v>
      </c>
      <c r="B21" s="201"/>
      <c r="C21" s="1378"/>
      <c r="D21" s="1378"/>
      <c r="E21" s="1437"/>
      <c r="F21" s="1438"/>
      <c r="G21" s="1378"/>
      <c r="H21" s="1380"/>
      <c r="I21" s="88"/>
      <c r="J21" s="198"/>
      <c r="K21" s="198"/>
      <c r="L21" s="198"/>
      <c r="M21" s="205"/>
    </row>
    <row r="22" spans="1:13" ht="15.6">
      <c r="A22" s="199" t="s">
        <v>131</v>
      </c>
      <c r="B22" s="201"/>
      <c r="C22" s="1378"/>
      <c r="D22" s="1378" t="s">
        <v>1393</v>
      </c>
      <c r="E22" s="1437" t="s">
        <v>1394</v>
      </c>
      <c r="F22" s="1438"/>
      <c r="G22" s="1379" t="s">
        <v>1395</v>
      </c>
      <c r="H22" s="1380"/>
      <c r="I22" s="88"/>
      <c r="J22" s="198"/>
      <c r="K22" s="198"/>
      <c r="L22" s="198"/>
    </row>
    <row r="23" spans="1:13" ht="15.6">
      <c r="A23" s="199" t="s">
        <v>131</v>
      </c>
      <c r="B23" s="201"/>
      <c r="C23" s="1378"/>
      <c r="D23" s="1378" t="s">
        <v>1396</v>
      </c>
      <c r="E23" s="1437" t="s">
        <v>1397</v>
      </c>
      <c r="F23" s="1438"/>
      <c r="G23" s="1379" t="s">
        <v>1398</v>
      </c>
      <c r="H23" s="1380"/>
      <c r="I23" s="88"/>
      <c r="J23" s="198"/>
      <c r="K23" s="198"/>
      <c r="L23" s="198"/>
    </row>
    <row r="24" spans="1:13" ht="15.6">
      <c r="A24" s="197" t="s">
        <v>131</v>
      </c>
      <c r="B24" s="194"/>
      <c r="C24" s="1378"/>
      <c r="D24" s="1378" t="s">
        <v>1399</v>
      </c>
      <c r="E24" s="1439" t="s">
        <v>1400</v>
      </c>
      <c r="F24" s="1440"/>
      <c r="G24" s="1379" t="s">
        <v>1401</v>
      </c>
      <c r="H24" s="1380"/>
      <c r="I24" s="88"/>
      <c r="J24" s="198"/>
      <c r="K24" s="198"/>
      <c r="L24" s="198"/>
    </row>
    <row r="25" spans="1:13" ht="15" customHeight="1">
      <c r="A25" s="197" t="s">
        <v>131</v>
      </c>
      <c r="B25" s="193"/>
      <c r="C25" s="1378"/>
      <c r="D25" s="68" t="s">
        <v>1402</v>
      </c>
      <c r="E25" s="1441" t="s">
        <v>1403</v>
      </c>
      <c r="F25" s="1442"/>
      <c r="G25" s="1381" t="s">
        <v>1404</v>
      </c>
      <c r="H25" s="1380"/>
      <c r="I25" s="88"/>
      <c r="J25" s="198"/>
      <c r="K25" s="198"/>
      <c r="L25" s="198"/>
    </row>
    <row r="26" spans="1:13">
      <c r="A26" s="197" t="s">
        <v>131</v>
      </c>
      <c r="B26" s="193"/>
      <c r="C26" s="68"/>
      <c r="D26" s="68" t="s">
        <v>1411</v>
      </c>
      <c r="E26" s="1441" t="s">
        <v>1412</v>
      </c>
      <c r="F26" s="1442"/>
      <c r="G26" s="1381" t="s">
        <v>1413</v>
      </c>
      <c r="H26" s="1380"/>
      <c r="I26" s="88"/>
    </row>
    <row r="27" spans="1:13">
      <c r="A27" s="197" t="s">
        <v>131</v>
      </c>
      <c r="B27" s="193"/>
      <c r="C27" s="67"/>
      <c r="D27" s="67"/>
      <c r="E27" s="1427"/>
      <c r="F27" s="1428"/>
      <c r="G27" s="67"/>
      <c r="H27" s="69"/>
      <c r="I27" s="88"/>
    </row>
    <row r="28" spans="1:13">
      <c r="A28" s="197" t="s">
        <v>131</v>
      </c>
      <c r="B28" s="193"/>
      <c r="C28" s="67"/>
      <c r="D28" s="67"/>
      <c r="E28" s="1427"/>
      <c r="F28" s="1428"/>
      <c r="G28" s="67"/>
      <c r="H28" s="69"/>
      <c r="I28" s="88"/>
    </row>
    <row r="29" spans="1:13">
      <c r="A29" s="197" t="s">
        <v>131</v>
      </c>
      <c r="B29" s="193"/>
      <c r="C29" s="67"/>
      <c r="D29" s="67"/>
      <c r="E29" s="1427"/>
      <c r="F29" s="1428"/>
      <c r="G29" s="67"/>
      <c r="H29" s="69"/>
      <c r="I29" s="88"/>
    </row>
    <row r="30" spans="1:13">
      <c r="A30" s="197" t="s">
        <v>131</v>
      </c>
      <c r="B30" s="193"/>
      <c r="C30" s="67"/>
      <c r="D30" s="67"/>
      <c r="E30" s="1427"/>
      <c r="F30" s="1428"/>
      <c r="G30" s="67"/>
      <c r="H30" s="69"/>
      <c r="I30" s="88"/>
    </row>
    <row r="31" spans="1:13">
      <c r="A31" s="197"/>
      <c r="B31" s="193"/>
      <c r="C31" s="194"/>
      <c r="D31" s="194"/>
      <c r="E31" s="194"/>
      <c r="F31" s="194"/>
      <c r="G31" s="194"/>
      <c r="H31" s="206"/>
    </row>
    <row r="32" spans="1:13">
      <c r="A32" s="197"/>
      <c r="B32" s="193"/>
      <c r="C32" s="194"/>
      <c r="D32" s="1424" t="s">
        <v>132</v>
      </c>
      <c r="E32" s="1424"/>
      <c r="F32" s="194"/>
      <c r="G32" s="194"/>
      <c r="H32" s="194"/>
    </row>
    <row r="33" spans="1:8">
      <c r="A33" s="194" t="s">
        <v>133</v>
      </c>
      <c r="B33" s="193"/>
      <c r="C33" s="194"/>
      <c r="D33" s="1422" t="s">
        <v>118</v>
      </c>
      <c r="E33" s="1423"/>
      <c r="F33" s="194"/>
      <c r="G33" s="193"/>
      <c r="H33" s="194"/>
    </row>
    <row r="34" spans="1:8" ht="8.25" customHeight="1">
      <c r="A34" s="194"/>
      <c r="B34" s="193"/>
      <c r="C34" s="194"/>
      <c r="D34" s="197"/>
      <c r="E34" s="197"/>
      <c r="F34" s="194"/>
      <c r="G34" s="193"/>
      <c r="H34" s="194"/>
    </row>
    <row r="35" spans="1:8">
      <c r="A35" s="194" t="s">
        <v>134</v>
      </c>
      <c r="B35" s="193"/>
      <c r="C35" s="194"/>
      <c r="D35" s="1427" t="s">
        <v>91</v>
      </c>
      <c r="E35" s="1428"/>
      <c r="F35" s="194"/>
      <c r="G35" s="67"/>
      <c r="H35" s="194"/>
    </row>
    <row r="36" spans="1:8" ht="8.25" customHeight="1">
      <c r="A36" s="194"/>
      <c r="B36" s="193"/>
      <c r="C36" s="194"/>
      <c r="D36" s="207"/>
      <c r="E36" s="207"/>
      <c r="F36" s="194"/>
      <c r="G36" s="208"/>
      <c r="H36" s="194"/>
    </row>
    <row r="37" spans="1:8">
      <c r="A37" s="209" t="s">
        <v>135</v>
      </c>
      <c r="B37" s="193"/>
      <c r="C37" s="194"/>
      <c r="D37" s="1431"/>
      <c r="E37" s="1432"/>
      <c r="F37" s="194"/>
      <c r="G37" s="208"/>
      <c r="H37" s="194"/>
    </row>
    <row r="38" spans="1:8" ht="8.25" customHeight="1">
      <c r="A38" s="125"/>
      <c r="B38" s="193"/>
    </row>
    <row r="39" spans="1:8" ht="15.6">
      <c r="A39" s="125" t="s">
        <v>136</v>
      </c>
      <c r="B39" s="193"/>
      <c r="D39" s="1425" t="s">
        <v>1414</v>
      </c>
      <c r="E39" s="1426"/>
    </row>
  </sheetData>
  <sheetProtection sheet="1" formatCells="0" formatColumns="0" formatRows="0"/>
  <mergeCells count="33">
    <mergeCell ref="E26:F26"/>
    <mergeCell ref="E27:F27"/>
    <mergeCell ref="E28:F28"/>
    <mergeCell ref="E29:F29"/>
    <mergeCell ref="E30:F30"/>
    <mergeCell ref="E25:F25"/>
    <mergeCell ref="E14:F14"/>
    <mergeCell ref="E15:F15"/>
    <mergeCell ref="E16:F16"/>
    <mergeCell ref="E17:F17"/>
    <mergeCell ref="E18:F18"/>
    <mergeCell ref="E19:F19"/>
    <mergeCell ref="E20:F20"/>
    <mergeCell ref="E21:F21"/>
    <mergeCell ref="E22:F22"/>
    <mergeCell ref="E23:F23"/>
    <mergeCell ref="E24:F2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s>
  <dataValidations count="8">
    <dataValidation type="list" allowBlank="1" showInputMessage="1" showErrorMessage="1" sqref="F32">
      <formula1>$M$2:$U$2</formula1>
    </dataValidation>
    <dataValidation type="list" allowBlank="1" showInputMessage="1" showErrorMessage="1" sqref="C32 C6:C3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formula1>$N$3:$N$6</formula1>
    </dataValidation>
    <dataValidation allowBlank="1" showInputMessage="1" showErrorMessage="1" promptTitle="District's home page web address" prompt="Please include www. when entering the web address of the district's home page." sqref="D39:E39"/>
    <dataValidation type="custom" allowBlank="1" showInputMessage="1" showErrorMessage="1" promptTitle="Telephone Number" prompt="Telephone number will format automatically. Enter number with no dashes or parenthesis." sqref="H7:H3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dataValidation type="list" showInputMessage="1" showErrorMessage="1" error="Please select a vendor from the drop down list." sqref="D33:E33">
      <formula1>$M$3:$M$17</formula1>
    </dataValidation>
  </dataValidations>
  <pageMargins left="0.7" right="0.7" top="0.75" bottom="0.75" header="0.3" footer="0.3"/>
  <pageSetup paperSize="5" scale="86" orientation="landscape" r:id="rId1"/>
  <headerFooter>
    <oddFooter>&amp;L&amp;"Times New Roman,Bold"&amp;9Rev. 5/23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O49"/>
  <sheetViews>
    <sheetView showGridLines="0" tabSelected="1" topLeftCell="A20" workbookViewId="0">
      <selection activeCell="S31" sqref="S31"/>
    </sheetView>
  </sheetViews>
  <sheetFormatPr defaultColWidth="9.90625" defaultRowHeight="15.6"/>
  <cols>
    <col min="1" max="2" width="16.90625" style="125" customWidth="1"/>
    <col min="3" max="3" width="3.90625" style="125" customWidth="1"/>
    <col min="4" max="5" width="5.90625" style="125" customWidth="1"/>
    <col min="6" max="12" width="11.90625" style="125" customWidth="1"/>
    <col min="13" max="13" width="6.90625" style="125" customWidth="1"/>
    <col min="14" max="14" width="3.90625" style="215" customWidth="1"/>
    <col min="15" max="16" width="9.90625" style="125" customWidth="1"/>
    <col min="17" max="16384" width="9.90625" style="125"/>
  </cols>
  <sheetData>
    <row r="1" spans="1:15">
      <c r="A1" s="123" t="s">
        <v>71</v>
      </c>
      <c r="B1" s="1456" t="str">
        <f>DistrictName</f>
        <v>MADISON ELEMENTARY SCHOOL DISTRICT</v>
      </c>
      <c r="C1" s="1457"/>
      <c r="D1" s="1457"/>
      <c r="E1" s="1457"/>
      <c r="F1" s="123" t="s">
        <v>72</v>
      </c>
      <c r="G1" s="124" t="str">
        <f>Cover!H1</f>
        <v>MARICOPA</v>
      </c>
      <c r="H1"/>
      <c r="I1" s="123" t="s">
        <v>73</v>
      </c>
      <c r="J1" s="188" t="str">
        <f>CTD</f>
        <v>070438000</v>
      </c>
      <c r="K1" s="189"/>
      <c r="L1" s="123" t="s">
        <v>74</v>
      </c>
      <c r="M1" s="1447" t="str">
        <f>Cover!C8</f>
        <v>Adopted</v>
      </c>
      <c r="N1" s="1448"/>
      <c r="O1" s="177"/>
    </row>
    <row r="2" spans="1:15" ht="16.5" customHeight="1">
      <c r="A2" s="211" t="s">
        <v>137</v>
      </c>
      <c r="B2" s="211"/>
      <c r="C2" s="211"/>
      <c r="D2" s="212" t="s">
        <v>138</v>
      </c>
      <c r="E2" s="212"/>
      <c r="F2" s="213"/>
      <c r="G2" s="213"/>
      <c r="H2" s="213"/>
      <c r="I2" s="213"/>
      <c r="J2" s="213"/>
      <c r="K2" s="213"/>
      <c r="L2" s="213"/>
      <c r="M2" s="214"/>
    </row>
    <row r="3" spans="1:15" ht="12" customHeight="1">
      <c r="A3" s="216"/>
      <c r="B3" s="122"/>
      <c r="C3" s="122"/>
      <c r="D3" s="217"/>
      <c r="E3" s="136"/>
      <c r="F3" s="218"/>
      <c r="G3" s="218" t="s">
        <v>139</v>
      </c>
      <c r="H3" s="218" t="s">
        <v>140</v>
      </c>
      <c r="I3" s="218"/>
      <c r="J3" s="218"/>
      <c r="K3" s="219" t="s">
        <v>141</v>
      </c>
      <c r="L3" s="219"/>
      <c r="M3" s="220"/>
    </row>
    <row r="4" spans="1:15" ht="12" customHeight="1">
      <c r="A4" s="134"/>
      <c r="B4" s="122"/>
      <c r="C4" s="122"/>
      <c r="D4" s="221" t="s">
        <v>142</v>
      </c>
      <c r="E4" s="219"/>
      <c r="F4" s="218" t="s">
        <v>143</v>
      </c>
      <c r="G4" s="218" t="s">
        <v>144</v>
      </c>
      <c r="H4" s="218" t="s">
        <v>145</v>
      </c>
      <c r="I4" s="218" t="s">
        <v>146</v>
      </c>
      <c r="J4" s="218" t="s">
        <v>147</v>
      </c>
      <c r="K4" s="132" t="s">
        <v>148</v>
      </c>
      <c r="L4" s="222" t="s">
        <v>149</v>
      </c>
      <c r="M4" s="218" t="s">
        <v>150</v>
      </c>
    </row>
    <row r="5" spans="1:15" ht="12" customHeight="1">
      <c r="A5" s="223" t="s">
        <v>151</v>
      </c>
      <c r="C5" s="122"/>
      <c r="D5" s="218" t="s">
        <v>148</v>
      </c>
      <c r="E5" s="132" t="s">
        <v>149</v>
      </c>
      <c r="F5" s="224"/>
      <c r="G5" s="224"/>
      <c r="H5" s="218" t="s">
        <v>152</v>
      </c>
      <c r="I5" s="218"/>
      <c r="J5" s="218"/>
      <c r="K5" s="132" t="s">
        <v>3</v>
      </c>
      <c r="L5" s="222" t="s">
        <v>3</v>
      </c>
      <c r="M5" s="218" t="s">
        <v>153</v>
      </c>
    </row>
    <row r="6" spans="1:15" ht="12" customHeight="1">
      <c r="A6" s="225"/>
      <c r="B6" s="226"/>
      <c r="C6" s="227"/>
      <c r="D6" s="228" t="s">
        <v>3</v>
      </c>
      <c r="E6" s="229" t="s">
        <v>3</v>
      </c>
      <c r="F6" s="228" t="s">
        <v>154</v>
      </c>
      <c r="G6" s="228" t="s">
        <v>155</v>
      </c>
      <c r="H6" s="228" t="s">
        <v>156</v>
      </c>
      <c r="I6" s="228">
        <v>6600</v>
      </c>
      <c r="J6" s="228" t="s">
        <v>157</v>
      </c>
      <c r="K6" s="229">
        <v>2023</v>
      </c>
      <c r="L6" s="230">
        <v>2024</v>
      </c>
      <c r="M6" s="228" t="s">
        <v>158</v>
      </c>
    </row>
    <row r="7" spans="1:15" ht="11.25" customHeight="1">
      <c r="A7" s="134" t="s">
        <v>159</v>
      </c>
      <c r="B7" s="122"/>
      <c r="C7" s="122"/>
      <c r="D7" s="1458">
        <f>[1]!F001P100F1000Personnel</f>
        <v>295</v>
      </c>
      <c r="E7" s="231"/>
      <c r="F7" s="232"/>
      <c r="G7" s="232"/>
      <c r="H7" s="232"/>
      <c r="I7" s="232"/>
      <c r="J7" s="232"/>
      <c r="K7" s="1450">
        <f>[1]!F001P100F1000</f>
        <v>17171075</v>
      </c>
      <c r="L7" s="1449">
        <f>SUM(F8:J8)</f>
        <v>18407812</v>
      </c>
      <c r="M7" s="1443">
        <f>IF(K7=L7,0,IF(K7&gt;0,(L7-K7)/K7,""))</f>
        <v>7.1999999999999995E-2</v>
      </c>
      <c r="N7" s="130"/>
    </row>
    <row r="8" spans="1:15" ht="11.25" customHeight="1">
      <c r="A8" s="134" t="s">
        <v>160</v>
      </c>
      <c r="B8" s="122"/>
      <c r="C8" s="233" t="s">
        <v>6</v>
      </c>
      <c r="D8" s="1459"/>
      <c r="E8" s="38">
        <v>309</v>
      </c>
      <c r="F8" s="4">
        <v>12800000</v>
      </c>
      <c r="G8" s="4">
        <f>(F8*0.24)+(250*7200)+29812</f>
        <v>4901812</v>
      </c>
      <c r="H8" s="4">
        <v>400000</v>
      </c>
      <c r="I8" s="4">
        <v>300000</v>
      </c>
      <c r="J8" s="4">
        <v>6000</v>
      </c>
      <c r="K8" s="1451"/>
      <c r="L8" s="1446"/>
      <c r="M8" s="1444"/>
      <c r="N8" s="235" t="s">
        <v>6</v>
      </c>
    </row>
    <row r="9" spans="1:15" ht="11.25" customHeight="1">
      <c r="A9" s="134" t="s">
        <v>161</v>
      </c>
      <c r="B9" s="122"/>
      <c r="C9" s="233" t="s">
        <v>53</v>
      </c>
      <c r="D9" s="1460">
        <f>[1]!F001P100F2100Personnel</f>
        <v>24</v>
      </c>
      <c r="E9" s="231"/>
      <c r="F9" s="232"/>
      <c r="G9" s="232"/>
      <c r="H9" s="232"/>
      <c r="I9" s="232"/>
      <c r="J9" s="232"/>
      <c r="K9" s="1452">
        <f>[1]!F001P100F2100</f>
        <v>1626000</v>
      </c>
      <c r="L9" s="1449">
        <f>SUM(F10:J10)</f>
        <v>2074200</v>
      </c>
      <c r="M9" s="1443">
        <f>IF(K9=L9,0,IF(K9&gt;0,(L9-K9)/K9,""))</f>
        <v>0.27600000000000002</v>
      </c>
      <c r="N9" s="235" t="s">
        <v>53</v>
      </c>
    </row>
    <row r="10" spans="1:15" ht="11.25" customHeight="1">
      <c r="A10" s="134" t="s">
        <v>162</v>
      </c>
      <c r="B10" s="122"/>
      <c r="C10" s="233" t="s">
        <v>9</v>
      </c>
      <c r="D10" s="1461"/>
      <c r="E10" s="38">
        <v>28</v>
      </c>
      <c r="F10" s="4">
        <v>1400000</v>
      </c>
      <c r="G10" s="4">
        <f>(1400000*0.24)+(7200*26)</f>
        <v>523200</v>
      </c>
      <c r="H10" s="4">
        <v>125000</v>
      </c>
      <c r="I10" s="4">
        <v>25000</v>
      </c>
      <c r="J10" s="4">
        <v>1000</v>
      </c>
      <c r="K10" s="1453"/>
      <c r="L10" s="1446"/>
      <c r="M10" s="1444"/>
      <c r="N10" s="235" t="s">
        <v>9</v>
      </c>
    </row>
    <row r="11" spans="1:15" ht="11.25" customHeight="1">
      <c r="A11" s="134" t="s">
        <v>163</v>
      </c>
      <c r="B11" s="122"/>
      <c r="C11" s="233" t="s">
        <v>24</v>
      </c>
      <c r="D11" s="236">
        <f>[1]!F001P100F2200Personnel</f>
        <v>21</v>
      </c>
      <c r="E11" s="11">
        <v>22</v>
      </c>
      <c r="F11" s="5">
        <v>1350000</v>
      </c>
      <c r="G11" s="5">
        <f>(1350000*0.24)+(20*7200)</f>
        <v>468000</v>
      </c>
      <c r="H11" s="5">
        <v>200000</v>
      </c>
      <c r="I11" s="5">
        <v>15000</v>
      </c>
      <c r="J11" s="5">
        <v>100</v>
      </c>
      <c r="K11" s="239">
        <f>[1]!F001P100F2200</f>
        <v>1965100</v>
      </c>
      <c r="L11" s="232">
        <f t="shared" ref="L11:L21" si="0">SUM(F11:J11)</f>
        <v>2033100</v>
      </c>
      <c r="M11" s="240">
        <f t="shared" ref="M11:M23" si="1">IF(K11=L11,0,IF(K11&gt;0,(L11-K11)/K11,""))</f>
        <v>3.5000000000000003E-2</v>
      </c>
      <c r="N11" s="235" t="s">
        <v>24</v>
      </c>
    </row>
    <row r="12" spans="1:15" ht="11.25" customHeight="1">
      <c r="A12" s="134" t="s">
        <v>164</v>
      </c>
      <c r="B12" s="122"/>
      <c r="C12" s="241" t="s">
        <v>51</v>
      </c>
      <c r="D12" s="236">
        <f>[1]!F001P100F2300Personnel</f>
        <v>6</v>
      </c>
      <c r="E12" s="11">
        <v>6</v>
      </c>
      <c r="F12" s="5">
        <v>790000</v>
      </c>
      <c r="G12" s="5">
        <v>275000</v>
      </c>
      <c r="H12" s="5">
        <v>200000</v>
      </c>
      <c r="I12" s="5">
        <v>5000</v>
      </c>
      <c r="J12" s="5">
        <v>40000</v>
      </c>
      <c r="K12" s="239">
        <f>[1]!F001P100F2300</f>
        <v>1274981</v>
      </c>
      <c r="L12" s="232">
        <f t="shared" si="0"/>
        <v>1310000</v>
      </c>
      <c r="M12" s="240">
        <f t="shared" si="1"/>
        <v>2.7E-2</v>
      </c>
      <c r="N12" s="235" t="s">
        <v>51</v>
      </c>
    </row>
    <row r="13" spans="1:15" ht="11.25" customHeight="1">
      <c r="A13" s="134" t="s">
        <v>165</v>
      </c>
      <c r="B13" s="122"/>
      <c r="C13" s="233" t="s">
        <v>166</v>
      </c>
      <c r="D13" s="236">
        <f>[1]!F001P100F2400Personnel</f>
        <v>26.5</v>
      </c>
      <c r="E13" s="11">
        <v>26.5</v>
      </c>
      <c r="F13" s="5">
        <v>2250000</v>
      </c>
      <c r="G13" s="5">
        <f>(F13*0.24)+(7200*23)</f>
        <v>705600</v>
      </c>
      <c r="H13" s="5">
        <v>120000</v>
      </c>
      <c r="I13" s="5">
        <v>11500</v>
      </c>
      <c r="J13" s="5">
        <v>200</v>
      </c>
      <c r="K13" s="239">
        <f>[1]!F001P100F2400</f>
        <v>3006700</v>
      </c>
      <c r="L13" s="232">
        <f t="shared" si="0"/>
        <v>3087300</v>
      </c>
      <c r="M13" s="240">
        <f t="shared" si="1"/>
        <v>2.7E-2</v>
      </c>
      <c r="N13" s="235" t="s">
        <v>166</v>
      </c>
    </row>
    <row r="14" spans="1:15" ht="11.25" customHeight="1">
      <c r="A14" s="134" t="s">
        <v>167</v>
      </c>
      <c r="B14" s="122"/>
      <c r="C14" s="233" t="s">
        <v>168</v>
      </c>
      <c r="D14" s="237">
        <f>[1]!F001P100F2500Personnel</f>
        <v>15.5</v>
      </c>
      <c r="E14" s="11">
        <v>15.5</v>
      </c>
      <c r="F14" s="5">
        <v>1150000</v>
      </c>
      <c r="G14" s="5">
        <v>423000</v>
      </c>
      <c r="H14" s="5">
        <v>525000</v>
      </c>
      <c r="I14" s="5">
        <v>150000</v>
      </c>
      <c r="J14" s="5">
        <v>165000</v>
      </c>
      <c r="K14" s="238">
        <f>[1]!F001P100F2500</f>
        <v>2361000</v>
      </c>
      <c r="L14" s="232">
        <f t="shared" si="0"/>
        <v>2413000</v>
      </c>
      <c r="M14" s="240">
        <f t="shared" si="1"/>
        <v>2.1999999999999999E-2</v>
      </c>
      <c r="N14" s="235" t="s">
        <v>168</v>
      </c>
    </row>
    <row r="15" spans="1:15" ht="11.25" customHeight="1">
      <c r="A15" s="134" t="s">
        <v>169</v>
      </c>
      <c r="B15" s="122"/>
      <c r="C15" s="233" t="s">
        <v>170</v>
      </c>
      <c r="D15" s="236">
        <f>[1]!F001P100F2600Personnel</f>
        <v>42</v>
      </c>
      <c r="E15" s="11">
        <v>43</v>
      </c>
      <c r="F15" s="5">
        <v>1650000</v>
      </c>
      <c r="G15" s="5">
        <v>800000</v>
      </c>
      <c r="H15" s="5">
        <v>1800000</v>
      </c>
      <c r="I15" s="5">
        <v>1925000</v>
      </c>
      <c r="J15" s="5">
        <v>6000</v>
      </c>
      <c r="K15" s="239">
        <f>[1]!F001P100F2600</f>
        <v>6019000</v>
      </c>
      <c r="L15" s="232">
        <f t="shared" si="0"/>
        <v>6181000</v>
      </c>
      <c r="M15" s="240">
        <f t="shared" si="1"/>
        <v>2.7E-2</v>
      </c>
      <c r="N15" s="235" t="s">
        <v>170</v>
      </c>
    </row>
    <row r="16" spans="1:15" ht="11.25" customHeight="1">
      <c r="A16" s="134" t="s">
        <v>171</v>
      </c>
      <c r="B16" s="122"/>
      <c r="C16" s="233" t="s">
        <v>172</v>
      </c>
      <c r="D16" s="237">
        <f>[1]!F001P100F2900Personnel</f>
        <v>0</v>
      </c>
      <c r="E16" s="11">
        <v>0</v>
      </c>
      <c r="F16" s="5">
        <v>0</v>
      </c>
      <c r="G16" s="5">
        <v>0</v>
      </c>
      <c r="H16" s="5">
        <v>0</v>
      </c>
      <c r="I16" s="5">
        <v>0</v>
      </c>
      <c r="J16" s="5">
        <v>0</v>
      </c>
      <c r="K16" s="238">
        <f>[1]!F001P100F2900</f>
        <v>0</v>
      </c>
      <c r="L16" s="232">
        <f t="shared" si="0"/>
        <v>0</v>
      </c>
      <c r="M16" s="240">
        <f t="shared" si="1"/>
        <v>0</v>
      </c>
      <c r="N16" s="235" t="s">
        <v>172</v>
      </c>
    </row>
    <row r="17" spans="1:14" ht="11.25" customHeight="1">
      <c r="A17" s="134" t="s">
        <v>173</v>
      </c>
      <c r="B17" s="122"/>
      <c r="C17" s="241" t="s">
        <v>174</v>
      </c>
      <c r="D17" s="236">
        <f>[1]!F001P100F3000Personnel</f>
        <v>0</v>
      </c>
      <c r="E17" s="11">
        <v>1</v>
      </c>
      <c r="F17" s="5">
        <v>21200</v>
      </c>
      <c r="G17" s="5">
        <v>4575</v>
      </c>
      <c r="H17" s="5">
        <v>0</v>
      </c>
      <c r="I17" s="5">
        <v>65000</v>
      </c>
      <c r="J17" s="5">
        <v>75000</v>
      </c>
      <c r="K17" s="239">
        <f>[1]!F001P100F3000</f>
        <v>160775</v>
      </c>
      <c r="L17" s="232">
        <f t="shared" si="0"/>
        <v>165775</v>
      </c>
      <c r="M17" s="240">
        <f t="shared" si="1"/>
        <v>3.1E-2</v>
      </c>
      <c r="N17" s="235" t="s">
        <v>174</v>
      </c>
    </row>
    <row r="18" spans="1:14" ht="11.25" customHeight="1">
      <c r="A18" s="134" t="s">
        <v>175</v>
      </c>
      <c r="B18" s="122"/>
      <c r="C18" s="242" t="s">
        <v>176</v>
      </c>
      <c r="D18" s="236">
        <f>[1]!F001P610Personnel</f>
        <v>0</v>
      </c>
      <c r="E18" s="11">
        <v>0</v>
      </c>
      <c r="F18" s="4">
        <v>0</v>
      </c>
      <c r="G18" s="4">
        <v>0</v>
      </c>
      <c r="H18" s="4">
        <v>0</v>
      </c>
      <c r="I18" s="4">
        <v>0</v>
      </c>
      <c r="J18" s="4">
        <v>0</v>
      </c>
      <c r="K18" s="243">
        <f>[1]!F001P610</f>
        <v>0</v>
      </c>
      <c r="L18" s="232">
        <f t="shared" si="0"/>
        <v>0</v>
      </c>
      <c r="M18" s="244">
        <f t="shared" si="1"/>
        <v>0</v>
      </c>
      <c r="N18" s="235" t="s">
        <v>176</v>
      </c>
    </row>
    <row r="19" spans="1:14" ht="11.25" customHeight="1">
      <c r="A19" s="134" t="s">
        <v>177</v>
      </c>
      <c r="B19" s="122"/>
      <c r="C19" s="245" t="s">
        <v>178</v>
      </c>
      <c r="D19" s="236">
        <f>[1]!F001P620Personnel</f>
        <v>0</v>
      </c>
      <c r="E19" s="11">
        <v>0</v>
      </c>
      <c r="F19" s="4">
        <v>0</v>
      </c>
      <c r="G19" s="115">
        <v>0</v>
      </c>
      <c r="H19" s="4">
        <v>0</v>
      </c>
      <c r="I19" s="4">
        <v>0</v>
      </c>
      <c r="J19" s="4">
        <v>0</v>
      </c>
      <c r="K19" s="243">
        <f>[1]!F001P620</f>
        <v>0</v>
      </c>
      <c r="L19" s="232">
        <f t="shared" si="0"/>
        <v>0</v>
      </c>
      <c r="M19" s="244">
        <f t="shared" si="1"/>
        <v>0</v>
      </c>
      <c r="N19" s="235" t="s">
        <v>178</v>
      </c>
    </row>
    <row r="20" spans="1:14" ht="11.25" customHeight="1">
      <c r="A20" s="134" t="s">
        <v>179</v>
      </c>
      <c r="B20" s="122"/>
      <c r="C20" s="247" t="s">
        <v>180</v>
      </c>
      <c r="D20" s="237">
        <f>[1]!F001P630Personnel</f>
        <v>0</v>
      </c>
      <c r="E20" s="11">
        <v>0</v>
      </c>
      <c r="F20" s="49">
        <v>0</v>
      </c>
      <c r="G20" s="50">
        <v>0</v>
      </c>
      <c r="H20" s="51">
        <v>0</v>
      </c>
      <c r="I20" s="4">
        <v>0</v>
      </c>
      <c r="J20" s="4">
        <v>0</v>
      </c>
      <c r="K20" s="234">
        <f>[1]!F001P630</f>
        <v>0</v>
      </c>
      <c r="L20" s="232">
        <f t="shared" si="0"/>
        <v>0</v>
      </c>
      <c r="M20" s="248">
        <f t="shared" si="1"/>
        <v>0</v>
      </c>
      <c r="N20" s="249" t="s">
        <v>180</v>
      </c>
    </row>
    <row r="21" spans="1:14" ht="11.25" customHeight="1">
      <c r="A21" s="250" t="s">
        <v>181</v>
      </c>
      <c r="B21" s="251"/>
      <c r="C21" s="252" t="s">
        <v>182</v>
      </c>
      <c r="D21" s="253">
        <f>[1]!F001P700800900Personnel</f>
        <v>0</v>
      </c>
      <c r="E21" s="12">
        <v>0</v>
      </c>
      <c r="F21" s="5">
        <v>0</v>
      </c>
      <c r="G21" s="4">
        <v>0</v>
      </c>
      <c r="H21" s="5">
        <v>0</v>
      </c>
      <c r="I21" s="5">
        <v>0</v>
      </c>
      <c r="J21" s="5">
        <v>0</v>
      </c>
      <c r="K21" s="238">
        <f>[1]!F001P700800900</f>
        <v>0</v>
      </c>
      <c r="L21" s="232">
        <f t="shared" si="0"/>
        <v>0</v>
      </c>
      <c r="M21" s="254">
        <f t="shared" si="1"/>
        <v>0</v>
      </c>
      <c r="N21" s="235" t="s">
        <v>182</v>
      </c>
    </row>
    <row r="22" spans="1:14" ht="11.25" customHeight="1">
      <c r="A22" s="255" t="s">
        <v>183</v>
      </c>
      <c r="B22" s="227"/>
      <c r="C22" s="256" t="s">
        <v>184</v>
      </c>
      <c r="D22" s="257">
        <f>SUM(D7:D21)</f>
        <v>430</v>
      </c>
      <c r="E22" s="253">
        <f t="shared" ref="E22:J22" si="2">E8+SUM(E10:E21)</f>
        <v>451</v>
      </c>
      <c r="F22" s="258">
        <f t="shared" si="2"/>
        <v>21411200</v>
      </c>
      <c r="G22" s="258">
        <f t="shared" si="2"/>
        <v>8101187</v>
      </c>
      <c r="H22" s="258">
        <f t="shared" si="2"/>
        <v>3370000</v>
      </c>
      <c r="I22" s="258">
        <f t="shared" si="2"/>
        <v>2496500</v>
      </c>
      <c r="J22" s="258">
        <f t="shared" si="2"/>
        <v>293300</v>
      </c>
      <c r="K22" s="258">
        <f>SUM(K7:K21)</f>
        <v>33584631</v>
      </c>
      <c r="L22" s="258">
        <f>SUM(L7:L21)</f>
        <v>35672187</v>
      </c>
      <c r="M22" s="240">
        <f t="shared" si="1"/>
        <v>6.2E-2</v>
      </c>
      <c r="N22" s="235" t="s">
        <v>184</v>
      </c>
    </row>
    <row r="23" spans="1:14" ht="11.25" customHeight="1">
      <c r="A23" s="259" t="s">
        <v>185</v>
      </c>
      <c r="B23" s="122"/>
      <c r="C23" s="233"/>
      <c r="D23" s="1458">
        <f>[1]!F001P200F1000Personnel</f>
        <v>85</v>
      </c>
      <c r="E23" s="231"/>
      <c r="F23" s="232"/>
      <c r="G23" s="232"/>
      <c r="H23" s="232"/>
      <c r="I23" s="232"/>
      <c r="J23" s="232"/>
      <c r="K23" s="1452">
        <f>[1]!F001P200F1000</f>
        <v>4625500</v>
      </c>
      <c r="L23" s="1449">
        <f>SUM(F24:J24)</f>
        <v>5009500</v>
      </c>
      <c r="M23" s="1443">
        <f t="shared" si="1"/>
        <v>8.3000000000000004E-2</v>
      </c>
      <c r="N23" s="235"/>
    </row>
    <row r="24" spans="1:14" ht="11.25" customHeight="1">
      <c r="A24" s="134" t="s">
        <v>160</v>
      </c>
      <c r="B24" s="122"/>
      <c r="C24" s="260" t="s">
        <v>186</v>
      </c>
      <c r="D24" s="1459"/>
      <c r="E24" s="38">
        <v>85</v>
      </c>
      <c r="F24" s="4">
        <v>3100000</v>
      </c>
      <c r="G24" s="4">
        <f>(3100000*0.24)+(75*7200)</f>
        <v>1284000</v>
      </c>
      <c r="H24" s="4">
        <v>600000</v>
      </c>
      <c r="I24" s="4">
        <v>25000</v>
      </c>
      <c r="J24" s="4">
        <v>500</v>
      </c>
      <c r="K24" s="1453"/>
      <c r="L24" s="1446"/>
      <c r="M24" s="1444"/>
      <c r="N24" s="235" t="s">
        <v>186</v>
      </c>
    </row>
    <row r="25" spans="1:14" ht="11.25" customHeight="1">
      <c r="A25" s="134" t="s">
        <v>161</v>
      </c>
      <c r="B25" s="122"/>
      <c r="C25" s="233"/>
      <c r="D25" s="1460">
        <f>[1]!F001P200F2100Personnel</f>
        <v>25</v>
      </c>
      <c r="E25" s="231"/>
      <c r="F25" s="232"/>
      <c r="G25" s="232"/>
      <c r="H25" s="232"/>
      <c r="I25" s="232"/>
      <c r="J25" s="232"/>
      <c r="K25" s="1452">
        <f>[1]!F001P200F2100</f>
        <v>2547000</v>
      </c>
      <c r="L25" s="1449">
        <f>SUM(F26:J26)</f>
        <v>2748000</v>
      </c>
      <c r="M25" s="1443">
        <f>IF(K25=L25,0,IF(K25&gt;0,(L25-K25)/K25,""))</f>
        <v>7.9000000000000001E-2</v>
      </c>
      <c r="N25" s="235" t="s">
        <v>53</v>
      </c>
    </row>
    <row r="26" spans="1:14" ht="11.25" customHeight="1">
      <c r="A26" s="134" t="s">
        <v>162</v>
      </c>
      <c r="B26" s="122"/>
      <c r="C26" s="233" t="s">
        <v>187</v>
      </c>
      <c r="D26" s="1461"/>
      <c r="E26" s="38">
        <v>26</v>
      </c>
      <c r="F26" s="4">
        <v>1800000</v>
      </c>
      <c r="G26" s="4">
        <f>(F26*0.24)+(20*7200)</f>
        <v>576000</v>
      </c>
      <c r="H26" s="4">
        <v>350000</v>
      </c>
      <c r="I26" s="4">
        <v>20000</v>
      </c>
      <c r="J26" s="4">
        <v>2000</v>
      </c>
      <c r="K26" s="1453"/>
      <c r="L26" s="1446"/>
      <c r="M26" s="1444"/>
      <c r="N26" s="235" t="s">
        <v>187</v>
      </c>
    </row>
    <row r="27" spans="1:14" ht="11.25" customHeight="1">
      <c r="A27" s="134" t="s">
        <v>163</v>
      </c>
      <c r="B27" s="122"/>
      <c r="C27" s="233" t="s">
        <v>188</v>
      </c>
      <c r="D27" s="236">
        <f>[1]!F001P200F2200Personnel</f>
        <v>4.3</v>
      </c>
      <c r="E27" s="11">
        <v>4.3</v>
      </c>
      <c r="F27" s="4">
        <v>400000</v>
      </c>
      <c r="G27" s="4">
        <v>150000</v>
      </c>
      <c r="H27" s="4">
        <v>25000</v>
      </c>
      <c r="I27" s="4">
        <v>10000</v>
      </c>
      <c r="J27" s="4">
        <v>1800</v>
      </c>
      <c r="K27" s="239">
        <f>[1]!F001P200F2200</f>
        <v>536800</v>
      </c>
      <c r="L27" s="232">
        <f t="shared" ref="L27:L33" si="3">SUM(F27:J27)</f>
        <v>586800</v>
      </c>
      <c r="M27" s="240">
        <f t="shared" ref="M27:M35" si="4">IF(K27=L27,0,IF(K27&gt;0,(L27-K27)/K27,""))</f>
        <v>9.2999999999999999E-2</v>
      </c>
      <c r="N27" s="235" t="s">
        <v>188</v>
      </c>
    </row>
    <row r="28" spans="1:14" ht="11.25" customHeight="1">
      <c r="A28" s="134" t="s">
        <v>164</v>
      </c>
      <c r="B28" s="122"/>
      <c r="C28" s="233" t="s">
        <v>189</v>
      </c>
      <c r="D28" s="236">
        <f>[1]!F001P200F2300Personnel</f>
        <v>0</v>
      </c>
      <c r="E28" s="11">
        <v>0</v>
      </c>
      <c r="F28" s="5">
        <v>0</v>
      </c>
      <c r="G28" s="5">
        <v>0</v>
      </c>
      <c r="H28" s="5">
        <v>0</v>
      </c>
      <c r="I28" s="5">
        <v>0</v>
      </c>
      <c r="J28" s="5">
        <v>0</v>
      </c>
      <c r="K28" s="239">
        <f>[1]!F001P200F2300</f>
        <v>0</v>
      </c>
      <c r="L28" s="232">
        <f t="shared" si="3"/>
        <v>0</v>
      </c>
      <c r="M28" s="240">
        <f t="shared" si="4"/>
        <v>0</v>
      </c>
      <c r="N28" s="235" t="s">
        <v>189</v>
      </c>
    </row>
    <row r="29" spans="1:14" ht="11.25" customHeight="1">
      <c r="A29" s="134" t="s">
        <v>165</v>
      </c>
      <c r="B29" s="122"/>
      <c r="C29" s="233" t="s">
        <v>190</v>
      </c>
      <c r="D29" s="236">
        <f>[1]!F001P200F2400Personnel</f>
        <v>0</v>
      </c>
      <c r="E29" s="11">
        <v>0</v>
      </c>
      <c r="F29" s="5">
        <v>0</v>
      </c>
      <c r="G29" s="5">
        <v>0</v>
      </c>
      <c r="H29" s="5">
        <v>0</v>
      </c>
      <c r="I29" s="5">
        <v>0</v>
      </c>
      <c r="J29" s="5">
        <v>0</v>
      </c>
      <c r="K29" s="239">
        <f>[1]!F001P200F2400</f>
        <v>0</v>
      </c>
      <c r="L29" s="232">
        <f t="shared" si="3"/>
        <v>0</v>
      </c>
      <c r="M29" s="240">
        <f t="shared" si="4"/>
        <v>0</v>
      </c>
      <c r="N29" s="235" t="s">
        <v>190</v>
      </c>
    </row>
    <row r="30" spans="1:14" ht="11.25" customHeight="1">
      <c r="A30" s="134" t="s">
        <v>167</v>
      </c>
      <c r="B30" s="122"/>
      <c r="C30" s="233" t="s">
        <v>191</v>
      </c>
      <c r="D30" s="237">
        <f>[1]!F001P200F2500Personnel</f>
        <v>0</v>
      </c>
      <c r="E30" s="11">
        <v>0</v>
      </c>
      <c r="F30" s="5">
        <v>0</v>
      </c>
      <c r="G30" s="5">
        <v>0</v>
      </c>
      <c r="H30" s="5">
        <v>5000</v>
      </c>
      <c r="I30" s="5">
        <v>0</v>
      </c>
      <c r="J30" s="5">
        <v>0</v>
      </c>
      <c r="K30" s="238">
        <f>[1]!F001P200F2500</f>
        <v>5000</v>
      </c>
      <c r="L30" s="232">
        <f>SUM(F30:J30)</f>
        <v>5000</v>
      </c>
      <c r="M30" s="240">
        <f t="shared" si="4"/>
        <v>0</v>
      </c>
      <c r="N30" s="235" t="s">
        <v>191</v>
      </c>
    </row>
    <row r="31" spans="1:14" ht="11.25" customHeight="1">
      <c r="A31" s="134" t="s">
        <v>169</v>
      </c>
      <c r="B31" s="122"/>
      <c r="C31" s="233" t="s">
        <v>192</v>
      </c>
      <c r="D31" s="236">
        <f>[1]!F001P200F2600Personnel</f>
        <v>0</v>
      </c>
      <c r="E31" s="11">
        <v>0</v>
      </c>
      <c r="F31" s="5">
        <v>0</v>
      </c>
      <c r="G31" s="5">
        <v>0</v>
      </c>
      <c r="H31" s="5">
        <v>0</v>
      </c>
      <c r="I31" s="5">
        <v>0</v>
      </c>
      <c r="J31" s="5">
        <v>0</v>
      </c>
      <c r="K31" s="239">
        <f>[1]!F001P200F2600</f>
        <v>0</v>
      </c>
      <c r="L31" s="232">
        <f t="shared" si="3"/>
        <v>0</v>
      </c>
      <c r="M31" s="240">
        <f t="shared" si="4"/>
        <v>0</v>
      </c>
      <c r="N31" s="235" t="s">
        <v>192</v>
      </c>
    </row>
    <row r="32" spans="1:14" ht="11.25" customHeight="1">
      <c r="A32" s="134" t="s">
        <v>171</v>
      </c>
      <c r="B32" s="122"/>
      <c r="C32" s="233" t="s">
        <v>193</v>
      </c>
      <c r="D32" s="237">
        <f>[1]!F001P200F2900Personnel</f>
        <v>0</v>
      </c>
      <c r="E32" s="11">
        <v>0</v>
      </c>
      <c r="F32" s="5">
        <v>0</v>
      </c>
      <c r="G32" s="5">
        <v>0</v>
      </c>
      <c r="H32" s="5">
        <v>0</v>
      </c>
      <c r="I32" s="5">
        <v>0</v>
      </c>
      <c r="J32" s="5">
        <v>0</v>
      </c>
      <c r="K32" s="238">
        <f>[1]!F001P200F2900</f>
        <v>0</v>
      </c>
      <c r="L32" s="232">
        <f t="shared" si="3"/>
        <v>0</v>
      </c>
      <c r="M32" s="240">
        <f t="shared" si="4"/>
        <v>0</v>
      </c>
      <c r="N32" s="235" t="s">
        <v>193</v>
      </c>
    </row>
    <row r="33" spans="1:14" ht="11.25" customHeight="1">
      <c r="A33" s="134" t="s">
        <v>173</v>
      </c>
      <c r="B33" s="122"/>
      <c r="C33" s="233" t="s">
        <v>194</v>
      </c>
      <c r="D33" s="236">
        <f>[1]!F001P200F3000Personnel</f>
        <v>0</v>
      </c>
      <c r="E33" s="11">
        <v>0</v>
      </c>
      <c r="F33" s="5">
        <v>0</v>
      </c>
      <c r="G33" s="5">
        <v>0</v>
      </c>
      <c r="H33" s="5">
        <v>0</v>
      </c>
      <c r="I33" s="5">
        <v>0</v>
      </c>
      <c r="J33" s="5">
        <v>0</v>
      </c>
      <c r="K33" s="239">
        <f>[1]!F001P200F3000</f>
        <v>0</v>
      </c>
      <c r="L33" s="232">
        <f t="shared" si="3"/>
        <v>0</v>
      </c>
      <c r="M33" s="240">
        <f t="shared" si="4"/>
        <v>0</v>
      </c>
      <c r="N33" s="235" t="s">
        <v>194</v>
      </c>
    </row>
    <row r="34" spans="1:14" ht="11.25" customHeight="1">
      <c r="A34" s="255" t="s">
        <v>195</v>
      </c>
      <c r="B34" s="227"/>
      <c r="C34" s="256" t="s">
        <v>196</v>
      </c>
      <c r="D34" s="253">
        <f>SUM(D23:D33)</f>
        <v>114.3</v>
      </c>
      <c r="E34" s="253">
        <f t="shared" ref="E34:J34" si="5">E24+SUM(E26:E33)</f>
        <v>115.3</v>
      </c>
      <c r="F34" s="258">
        <f t="shared" si="5"/>
        <v>5300000</v>
      </c>
      <c r="G34" s="258">
        <f t="shared" si="5"/>
        <v>2010000</v>
      </c>
      <c r="H34" s="258">
        <f t="shared" si="5"/>
        <v>980000</v>
      </c>
      <c r="I34" s="258">
        <f t="shared" si="5"/>
        <v>55000</v>
      </c>
      <c r="J34" s="258">
        <f t="shared" si="5"/>
        <v>4300</v>
      </c>
      <c r="K34" s="239">
        <f>SUM(K23:K33)</f>
        <v>7714300</v>
      </c>
      <c r="L34" s="258">
        <f>SUM(L23:L33)</f>
        <v>8349300</v>
      </c>
      <c r="M34" s="240">
        <f t="shared" si="4"/>
        <v>8.2000000000000003E-2</v>
      </c>
      <c r="N34" s="235" t="s">
        <v>196</v>
      </c>
    </row>
    <row r="35" spans="1:14" ht="11.25" customHeight="1">
      <c r="A35" s="134" t="s">
        <v>197</v>
      </c>
      <c r="B35" s="122"/>
      <c r="C35" s="233" t="s">
        <v>198</v>
      </c>
      <c r="D35" s="261">
        <f>[1]!F001P400Personnel</f>
        <v>42</v>
      </c>
      <c r="E35" s="113">
        <v>42</v>
      </c>
      <c r="F35" s="112">
        <v>1075000</v>
      </c>
      <c r="G35" s="112">
        <f>(F35*0.24)+(30*7200)</f>
        <v>474000</v>
      </c>
      <c r="H35" s="112">
        <v>450000</v>
      </c>
      <c r="I35" s="112">
        <v>350000</v>
      </c>
      <c r="J35" s="112">
        <v>1000</v>
      </c>
      <c r="K35" s="262">
        <f>[1]!F001P400</f>
        <v>2250000</v>
      </c>
      <c r="L35" s="232">
        <f>SUM(F35:J35)</f>
        <v>2350000</v>
      </c>
      <c r="M35" s="240">
        <f t="shared" si="4"/>
        <v>4.3999999999999997E-2</v>
      </c>
      <c r="N35" s="235" t="s">
        <v>198</v>
      </c>
    </row>
    <row r="36" spans="1:14" ht="11.25" customHeight="1">
      <c r="A36" s="216" t="s">
        <v>199</v>
      </c>
      <c r="B36" s="127"/>
      <c r="C36" s="263"/>
      <c r="D36" s="1462">
        <f>[2]!DesegFTEPY</f>
        <v>0</v>
      </c>
      <c r="E36" s="1462">
        <f>[2]!DesegFTEBY</f>
        <v>0</v>
      </c>
      <c r="F36" s="1445">
        <f>[2]!DesegTotalMOO6100</f>
        <v>0</v>
      </c>
      <c r="G36" s="1445">
        <f>[2]!DesegTotalMOO6200</f>
        <v>0</v>
      </c>
      <c r="H36" s="1445">
        <f>[2]!DesegTotalMOO630064006500</f>
        <v>0</v>
      </c>
      <c r="I36" s="1445">
        <f>[2]!DesegTotalMOO6600</f>
        <v>0</v>
      </c>
      <c r="J36" s="1445">
        <f>[2]!DesegTotalMOO6800</f>
        <v>0</v>
      </c>
      <c r="K36" s="1445">
        <f>[2]!DesegTotalMOPY</f>
        <v>0</v>
      </c>
      <c r="L36" s="1445">
        <f>[2]!DesegTotalMOBY</f>
        <v>0</v>
      </c>
      <c r="M36" s="1454">
        <f>[2]!DesegTotalMOPercent</f>
        <v>0</v>
      </c>
      <c r="N36" s="235"/>
    </row>
    <row r="37" spans="1:14" ht="11.25" customHeight="1">
      <c r="A37" s="255" t="s">
        <v>200</v>
      </c>
      <c r="B37" s="227"/>
      <c r="C37" s="256" t="s">
        <v>201</v>
      </c>
      <c r="D37" s="1463"/>
      <c r="E37" s="1463"/>
      <c r="F37" s="1446"/>
      <c r="G37" s="1446"/>
      <c r="H37" s="1446"/>
      <c r="I37" s="1446"/>
      <c r="J37" s="1446"/>
      <c r="K37" s="1446"/>
      <c r="L37" s="1446"/>
      <c r="M37" s="1455"/>
      <c r="N37" s="235" t="s">
        <v>201</v>
      </c>
    </row>
    <row r="38" spans="1:14" ht="11.25" customHeight="1">
      <c r="A38" s="255" t="s">
        <v>202</v>
      </c>
      <c r="B38" s="227"/>
      <c r="C38" s="265" t="s">
        <v>203</v>
      </c>
      <c r="D38" s="237">
        <f>[1]!F001P530Personnel</f>
        <v>0</v>
      </c>
      <c r="E38" s="11">
        <v>0</v>
      </c>
      <c r="F38" s="4">
        <v>0</v>
      </c>
      <c r="G38" s="4">
        <v>0</v>
      </c>
      <c r="H38" s="4">
        <v>0</v>
      </c>
      <c r="I38" s="4">
        <v>0</v>
      </c>
      <c r="J38" s="4">
        <v>0</v>
      </c>
      <c r="K38" s="243">
        <f>[1]!F001P530</f>
        <v>0</v>
      </c>
      <c r="L38" s="232">
        <f>SUM(F38:J38)</f>
        <v>0</v>
      </c>
      <c r="M38" s="244">
        <f>IF(K38=L38,0,IF(K38&gt;0,(L38-K38)/K38,""))</f>
        <v>0</v>
      </c>
      <c r="N38" s="235" t="s">
        <v>203</v>
      </c>
    </row>
    <row r="39" spans="1:14" ht="11.25" customHeight="1">
      <c r="A39" s="134" t="s">
        <v>204</v>
      </c>
      <c r="B39" s="122"/>
      <c r="C39" s="263" t="s">
        <v>53</v>
      </c>
      <c r="D39" s="1462">
        <f>[1]!F001P540Personnel</f>
        <v>0</v>
      </c>
      <c r="E39" s="1462">
        <v>0</v>
      </c>
      <c r="F39" s="1445">
        <v>0</v>
      </c>
      <c r="G39" s="1445">
        <v>0</v>
      </c>
      <c r="H39" s="1445">
        <v>0</v>
      </c>
      <c r="I39" s="1445">
        <v>0</v>
      </c>
      <c r="J39" s="1445">
        <v>0</v>
      </c>
      <c r="K39" s="1445">
        <f>[1]!F001P540</f>
        <v>0</v>
      </c>
      <c r="L39" s="1445">
        <f>SUM(F39:J40)</f>
        <v>0</v>
      </c>
      <c r="M39" s="1443">
        <f>IF(K39=L39,0,IF(K39&gt;0,(L39-K39)/K39,""))</f>
        <v>0</v>
      </c>
      <c r="N39" s="235" t="s">
        <v>53</v>
      </c>
    </row>
    <row r="40" spans="1:14" ht="11.25" customHeight="1">
      <c r="A40" s="255" t="s">
        <v>205</v>
      </c>
      <c r="B40" s="227"/>
      <c r="C40" s="266" t="s">
        <v>206</v>
      </c>
      <c r="D40" s="1459"/>
      <c r="E40" s="1459"/>
      <c r="F40" s="1446"/>
      <c r="G40" s="1446"/>
      <c r="H40" s="1446"/>
      <c r="I40" s="1446"/>
      <c r="J40" s="1446"/>
      <c r="K40" s="1446"/>
      <c r="L40" s="1465"/>
      <c r="M40" s="1444"/>
      <c r="N40" s="235" t="s">
        <v>206</v>
      </c>
    </row>
    <row r="41" spans="1:14" ht="11.25" customHeight="1">
      <c r="A41" s="134" t="s">
        <v>207</v>
      </c>
      <c r="B41" s="122"/>
      <c r="C41" s="265" t="s">
        <v>208</v>
      </c>
      <c r="D41" s="237">
        <f>[1]!F001P550Personnel</f>
        <v>0</v>
      </c>
      <c r="E41" s="42">
        <f>3.5+2+2</f>
        <v>7.5</v>
      </c>
      <c r="F41" s="43">
        <v>304000</v>
      </c>
      <c r="G41" s="43">
        <v>126851</v>
      </c>
      <c r="H41" s="43">
        <v>0</v>
      </c>
      <c r="I41" s="43">
        <v>0</v>
      </c>
      <c r="J41" s="43">
        <v>0</v>
      </c>
      <c r="K41" s="267">
        <f>[1]!F001P550</f>
        <v>416724</v>
      </c>
      <c r="L41" s="268">
        <f>SUM(F41:J41)</f>
        <v>430851</v>
      </c>
      <c r="M41" s="244">
        <f>IF(K41=L41,0,IF(K41&gt;0,(L41-K41)/K41,""))</f>
        <v>3.4000000000000002E-2</v>
      </c>
      <c r="N41" s="235" t="s">
        <v>208</v>
      </c>
    </row>
    <row r="42" spans="1:14" ht="11.25" customHeight="1">
      <c r="A42" s="216" t="s">
        <v>209</v>
      </c>
      <c r="B42" s="127"/>
      <c r="C42" s="233"/>
      <c r="D42" s="1462">
        <f t="shared" ref="D42:L42" si="6">SUM(D34:D41)+D22</f>
        <v>586.29999999999995</v>
      </c>
      <c r="E42" s="1462">
        <f t="shared" si="6"/>
        <v>615.79999999999995</v>
      </c>
      <c r="F42" s="1445">
        <f t="shared" si="6"/>
        <v>28090200</v>
      </c>
      <c r="G42" s="1445">
        <f t="shared" si="6"/>
        <v>10712038</v>
      </c>
      <c r="H42" s="1445">
        <f t="shared" si="6"/>
        <v>4800000</v>
      </c>
      <c r="I42" s="1445">
        <f t="shared" si="6"/>
        <v>2901500</v>
      </c>
      <c r="J42" s="1445">
        <f t="shared" si="6"/>
        <v>298600</v>
      </c>
      <c r="K42" s="1445">
        <f>[1]!F001TotalExp</f>
        <v>43965655</v>
      </c>
      <c r="L42" s="1445">
        <f t="shared" si="6"/>
        <v>46802338</v>
      </c>
      <c r="M42" s="1443">
        <f>IF(K42=L42,0,IF(K42&gt;0,(L42-K42)/K42,""))</f>
        <v>6.5000000000000002E-2</v>
      </c>
      <c r="N42" s="235"/>
    </row>
    <row r="43" spans="1:14" ht="11.25" customHeight="1">
      <c r="A43" s="255" t="s">
        <v>210</v>
      </c>
      <c r="B43" s="227"/>
      <c r="C43" s="256" t="s">
        <v>211</v>
      </c>
      <c r="D43" s="1459"/>
      <c r="E43" s="1459"/>
      <c r="F43" s="1446"/>
      <c r="G43" s="1446"/>
      <c r="H43" s="1446"/>
      <c r="I43" s="1446"/>
      <c r="J43" s="1446"/>
      <c r="K43" s="1446"/>
      <c r="L43" s="1446"/>
      <c r="M43" s="1444"/>
      <c r="N43" s="235" t="s">
        <v>211</v>
      </c>
    </row>
    <row r="44" spans="1:14" ht="11.25" customHeight="1">
      <c r="A44" s="122"/>
      <c r="B44" s="122"/>
    </row>
    <row r="45" spans="1:14" ht="11.25" customHeight="1">
      <c r="A45" s="122"/>
      <c r="G45" s="1464" t="str">
        <f>IF(ROUND(L42,0)&lt;ROUND(GBLBudgFY,0),CONCATENATE("The district has budgeted less in the M and O Fund than the General Budget Limit as calculated on page 7 of 8 by ",TEXT(GBLBudgFY-L42,"$#,###"),"."),IF(ROUND(L42,0)&gt;ROUND(GBLBudgFY,0),CONCATENATE("The district has budgeted greater in the M and O Fund than the General Budget Limit as calculated on page 7 of 8 by ",TEXT(-GBLBudgFY+L42,"$#,###"),"."),IF(ROUND(L42,0)=ROUND(GBLBudgFY,0),CONCATENATE("The district has budgeted an amount in the M and O Fund equal to the General Budget Limit as calculated on page 7 of 8."))))</f>
        <v>The district has budgeted an amount in the M and O Fund equal to the General Budget Limit as calculated on page 7 of 8.</v>
      </c>
      <c r="H45" s="1464"/>
      <c r="I45" s="1464"/>
      <c r="J45" s="1464"/>
      <c r="K45" s="1464"/>
      <c r="L45" s="1464"/>
      <c r="M45" s="1464"/>
    </row>
    <row r="46" spans="1:14" ht="12.75" customHeight="1">
      <c r="A46" s="122" t="s">
        <v>212</v>
      </c>
      <c r="B46" s="177"/>
      <c r="C46" s="177"/>
      <c r="D46" s="177"/>
      <c r="E46" s="177"/>
      <c r="F46" s="177"/>
      <c r="G46" s="177"/>
      <c r="I46" s="269"/>
      <c r="J46" s="177"/>
      <c r="K46" s="177"/>
      <c r="L46" s="177"/>
      <c r="M46" s="269"/>
      <c r="N46" s="270"/>
    </row>
    <row r="47" spans="1:14" s="122" customFormat="1" ht="12.75" customHeight="1">
      <c r="A47" s="271"/>
      <c r="B47" s="272"/>
      <c r="C47" s="272"/>
      <c r="D47" s="272"/>
      <c r="E47" s="273"/>
      <c r="F47" s="1384"/>
      <c r="G47" s="273"/>
      <c r="H47" s="273"/>
      <c r="I47" s="273"/>
      <c r="J47" s="273"/>
      <c r="K47" s="273"/>
      <c r="L47" s="273"/>
      <c r="M47" s="273"/>
      <c r="N47" s="130"/>
    </row>
    <row r="48" spans="1:14" s="122" customFormat="1" ht="11.25" customHeight="1">
      <c r="A48" s="271"/>
      <c r="B48" s="272"/>
      <c r="C48" s="274"/>
      <c r="D48" s="272"/>
      <c r="E48" s="275"/>
      <c r="F48" s="276"/>
      <c r="G48" s="276"/>
      <c r="H48" s="276"/>
      <c r="I48" s="276"/>
      <c r="J48" s="276"/>
      <c r="K48" s="272"/>
      <c r="L48" s="276"/>
      <c r="M48" s="277"/>
      <c r="N48" s="130"/>
    </row>
    <row r="49" spans="1:13" ht="11.25" customHeight="1">
      <c r="A49" s="278"/>
      <c r="B49" s="122"/>
      <c r="C49" s="129"/>
      <c r="D49" s="122"/>
      <c r="E49" s="279"/>
      <c r="F49" s="280"/>
      <c r="G49" s="280"/>
      <c r="H49" s="280"/>
      <c r="I49" s="280"/>
      <c r="J49" s="280"/>
      <c r="K49" s="122"/>
      <c r="L49" s="276"/>
      <c r="M49" s="281"/>
    </row>
  </sheetData>
  <sheetProtection formatCells="0" formatColumns="0" formatRows="0"/>
  <mergeCells count="49">
    <mergeCell ref="I39:I40"/>
    <mergeCell ref="E36:E37"/>
    <mergeCell ref="G45:M45"/>
    <mergeCell ref="M39:M40"/>
    <mergeCell ref="L42:L43"/>
    <mergeCell ref="L39:L40"/>
    <mergeCell ref="K42:K43"/>
    <mergeCell ref="F42:F43"/>
    <mergeCell ref="G42:G43"/>
    <mergeCell ref="G39:G40"/>
    <mergeCell ref="M42:M43"/>
    <mergeCell ref="H42:H43"/>
    <mergeCell ref="D36:D37"/>
    <mergeCell ref="J42:J43"/>
    <mergeCell ref="K36:K37"/>
    <mergeCell ref="L36:L37"/>
    <mergeCell ref="D39:D40"/>
    <mergeCell ref="F36:F37"/>
    <mergeCell ref="G36:G37"/>
    <mergeCell ref="H36:H37"/>
    <mergeCell ref="I42:I43"/>
    <mergeCell ref="D42:D43"/>
    <mergeCell ref="E42:E43"/>
    <mergeCell ref="J39:J40"/>
    <mergeCell ref="K39:K40"/>
    <mergeCell ref="H39:H40"/>
    <mergeCell ref="E39:E40"/>
    <mergeCell ref="F39:F40"/>
    <mergeCell ref="B1:E1"/>
    <mergeCell ref="D23:D24"/>
    <mergeCell ref="D7:D8"/>
    <mergeCell ref="D9:D10"/>
    <mergeCell ref="D25:D26"/>
    <mergeCell ref="M23:M24"/>
    <mergeCell ref="I36:I37"/>
    <mergeCell ref="M1:N1"/>
    <mergeCell ref="M9:M10"/>
    <mergeCell ref="M7:M8"/>
    <mergeCell ref="L7:L8"/>
    <mergeCell ref="L23:L24"/>
    <mergeCell ref="L25:L26"/>
    <mergeCell ref="M25:M26"/>
    <mergeCell ref="L9:L10"/>
    <mergeCell ref="K7:K8"/>
    <mergeCell ref="K9:K10"/>
    <mergeCell ref="K23:K24"/>
    <mergeCell ref="K25:K26"/>
    <mergeCell ref="J36:J37"/>
    <mergeCell ref="M36:M37"/>
  </mergeCells>
  <hyperlinks>
    <hyperlink ref="C12" location="Page1l4" display="4."/>
    <hyperlink ref="C17" location="Page1l9" display="9."/>
    <hyperlink ref="C38" location="Page1l27" display="27."/>
    <hyperlink ref="C40" location="Page1l28" display="28."/>
    <hyperlink ref="C41" location="Page1l29" display="29."/>
  </hyperlinks>
  <printOptions horizontalCentered="1"/>
  <pageMargins left="0.25" right="0.25" top="0.25" bottom="0.25" header="0" footer="0.25"/>
  <pageSetup paperSize="5" orientation="landscape" r:id="rId1"/>
  <headerFooter alignWithMargins="0">
    <oddFooter>&amp;L&amp;"Times New Roman,Bold"&amp;9Rev. 5/23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Z49"/>
  <sheetViews>
    <sheetView showGridLines="0" tabSelected="1" topLeftCell="A5" workbookViewId="0">
      <selection activeCell="S31" sqref="S31"/>
    </sheetView>
  </sheetViews>
  <sheetFormatPr defaultColWidth="9.90625" defaultRowHeight="15.6"/>
  <cols>
    <col min="1" max="1" width="3.90625" style="125" customWidth="1"/>
    <col min="2" max="2" width="11.90625" style="125" customWidth="1"/>
    <col min="3" max="3" width="5.90625" style="125" customWidth="1"/>
    <col min="4" max="4" width="7.90625" style="125" customWidth="1"/>
    <col min="5" max="8" width="8.90625" style="125" customWidth="1"/>
    <col min="9" max="9" width="3" style="125" customWidth="1"/>
    <col min="10" max="10" width="9.90625" style="125" customWidth="1"/>
    <col min="11" max="11" width="2.90625" style="125" customWidth="1"/>
    <col min="12" max="12" width="8.90625" style="125" customWidth="1"/>
    <col min="13" max="13" width="10" style="125" customWidth="1"/>
    <col min="14" max="14" width="5" style="125" customWidth="1"/>
    <col min="15" max="15" width="11" style="125" customWidth="1"/>
    <col min="16" max="16" width="4.453125" style="125" customWidth="1"/>
    <col min="17" max="17" width="3.453125" style="125" customWidth="1"/>
    <col min="18" max="19" width="10" style="125" customWidth="1"/>
    <col min="20" max="20" width="3" style="125" customWidth="1"/>
    <col min="21" max="22" width="9.90625" style="125" customWidth="1"/>
    <col min="23" max="16384" width="9.90625" style="125"/>
  </cols>
  <sheetData>
    <row r="1" spans="1:26" ht="15" customHeight="1">
      <c r="A1" s="1473" t="s">
        <v>71</v>
      </c>
      <c r="B1" s="1474"/>
      <c r="C1" s="1456" t="str">
        <f>DistrictName</f>
        <v>MADISON ELEMENTARY SCHOOL DISTRICT</v>
      </c>
      <c r="D1" s="1457"/>
      <c r="E1" s="1457"/>
      <c r="F1" s="1457"/>
      <c r="H1" s="123" t="s">
        <v>72</v>
      </c>
      <c r="I1" s="1471" t="str">
        <f>Cover!H1</f>
        <v>MARICOPA</v>
      </c>
      <c r="J1" s="1472"/>
      <c r="K1" s="172"/>
      <c r="N1" s="123" t="s">
        <v>73</v>
      </c>
      <c r="O1" s="188" t="str">
        <f>CTD</f>
        <v>070438000</v>
      </c>
      <c r="Q1" s="123" t="s">
        <v>74</v>
      </c>
      <c r="R1" s="210" t="str">
        <f>Cover!C8</f>
        <v>Adopted</v>
      </c>
      <c r="T1" s="214"/>
    </row>
    <row r="2" spans="1:26" ht="12" customHeight="1">
      <c r="A2" s="215"/>
      <c r="H2" s="282"/>
      <c r="I2" s="283"/>
      <c r="J2" s="283"/>
      <c r="K2" s="283"/>
      <c r="R2" s="282"/>
    </row>
    <row r="3" spans="1:26" ht="11.25" customHeight="1">
      <c r="M3" s="284"/>
      <c r="N3" s="284"/>
      <c r="O3" s="285"/>
      <c r="T3" s="177"/>
    </row>
    <row r="4" spans="1:26" ht="12" customHeight="1">
      <c r="A4" s="286" t="s">
        <v>213</v>
      </c>
      <c r="B4" s="286"/>
      <c r="C4" s="286"/>
      <c r="D4" s="286"/>
      <c r="E4" s="286"/>
      <c r="F4" s="286"/>
      <c r="G4" s="286"/>
      <c r="I4" s="283" t="s">
        <v>53</v>
      </c>
      <c r="J4" s="283" t="s">
        <v>53</v>
      </c>
      <c r="K4" s="283"/>
      <c r="L4" s="284"/>
      <c r="M4" s="284"/>
      <c r="N4" s="285"/>
      <c r="O4" s="285"/>
      <c r="P4" s="285"/>
      <c r="Q4" s="177"/>
    </row>
    <row r="5" spans="1:26" ht="12" customHeight="1">
      <c r="B5" s="177"/>
      <c r="C5" s="177"/>
      <c r="D5" s="177"/>
      <c r="E5" s="285"/>
      <c r="F5" s="285"/>
      <c r="G5" s="285"/>
      <c r="H5" s="285"/>
      <c r="J5" s="177"/>
      <c r="K5" s="177"/>
      <c r="L5" s="177"/>
      <c r="M5" s="177"/>
      <c r="N5" s="177"/>
      <c r="O5" s="285"/>
      <c r="P5" s="285"/>
      <c r="Q5" s="285"/>
      <c r="R5" s="177"/>
    </row>
    <row r="6" spans="1:26" ht="15" customHeight="1" thickBot="1">
      <c r="A6" s="177" t="s">
        <v>214</v>
      </c>
      <c r="B6" s="177"/>
      <c r="C6" s="177"/>
      <c r="D6" s="177"/>
      <c r="E6" s="285"/>
      <c r="F6" s="285" t="s">
        <v>215</v>
      </c>
      <c r="G6" s="285" t="s">
        <v>216</v>
      </c>
      <c r="L6" s="177"/>
      <c r="M6" s="177"/>
      <c r="N6" s="189"/>
      <c r="O6" s="287"/>
      <c r="P6" s="287"/>
      <c r="Q6" s="287"/>
      <c r="R6" s="288"/>
    </row>
    <row r="7" spans="1:26" ht="12.75" customHeight="1">
      <c r="A7" s="289" t="s">
        <v>6</v>
      </c>
      <c r="B7" s="177" t="s">
        <v>217</v>
      </c>
      <c r="C7" s="290"/>
      <c r="D7" s="290"/>
      <c r="E7" s="291"/>
      <c r="F7" s="292">
        <f>[1]!F001P200Subtotal</f>
        <v>6540300</v>
      </c>
      <c r="G7" s="58">
        <f>8349300-1095000</f>
        <v>7254300</v>
      </c>
      <c r="H7" s="293" t="s">
        <v>6</v>
      </c>
      <c r="J7" s="294"/>
      <c r="K7" s="295" t="s">
        <v>218</v>
      </c>
      <c r="L7" s="296"/>
      <c r="M7" s="296"/>
      <c r="N7" s="296"/>
      <c r="O7" s="297"/>
      <c r="Y7" s="298"/>
      <c r="Z7" s="298"/>
    </row>
    <row r="8" spans="1:26" ht="12.75" customHeight="1">
      <c r="A8" s="299" t="s">
        <v>9</v>
      </c>
      <c r="B8" s="177" t="s">
        <v>219</v>
      </c>
      <c r="C8" s="177"/>
      <c r="D8" s="177"/>
      <c r="E8" s="300"/>
      <c r="F8" s="301">
        <f>[1]!SPEDGiftedEdBudgFY</f>
        <v>675000</v>
      </c>
      <c r="G8" s="59">
        <v>695000</v>
      </c>
      <c r="H8" s="293" t="s">
        <v>9</v>
      </c>
      <c r="J8" s="294"/>
      <c r="K8" s="177" t="s">
        <v>220</v>
      </c>
      <c r="N8" s="302">
        <v>6350</v>
      </c>
      <c r="O8" s="46">
        <f>53000-10600</f>
        <v>42400</v>
      </c>
      <c r="Y8" s="298"/>
      <c r="Z8" s="298"/>
    </row>
    <row r="9" spans="1:26" ht="12.75" customHeight="1">
      <c r="A9" s="299" t="s">
        <v>24</v>
      </c>
      <c r="B9" s="177" t="s">
        <v>221</v>
      </c>
      <c r="C9" s="177"/>
      <c r="D9" s="177"/>
      <c r="E9" s="300"/>
      <c r="F9" s="301">
        <f>[1]!SPEDRemedialEdBudgFY</f>
        <v>0</v>
      </c>
      <c r="G9" s="59">
        <v>0</v>
      </c>
      <c r="H9" s="293" t="s">
        <v>24</v>
      </c>
      <c r="J9" s="294"/>
      <c r="K9" s="177" t="s">
        <v>222</v>
      </c>
      <c r="N9" s="303">
        <v>6330</v>
      </c>
      <c r="O9" s="46">
        <v>10600</v>
      </c>
      <c r="Y9" s="298"/>
      <c r="Z9" s="298"/>
    </row>
    <row r="10" spans="1:26" ht="12.75" customHeight="1">
      <c r="A10" s="304" t="s">
        <v>51</v>
      </c>
      <c r="B10" s="177" t="s">
        <v>223</v>
      </c>
      <c r="C10" s="177"/>
      <c r="D10" s="177"/>
      <c r="E10" s="300"/>
      <c r="F10" s="301">
        <f>[1]!SPEDELLIncCostBudgFY</f>
        <v>499000</v>
      </c>
      <c r="G10" s="59">
        <v>400000</v>
      </c>
      <c r="H10" s="293" t="s">
        <v>51</v>
      </c>
      <c r="J10" s="294"/>
      <c r="K10" s="177"/>
      <c r="Y10" s="298"/>
      <c r="Z10" s="298"/>
    </row>
    <row r="11" spans="1:26" ht="12.75" customHeight="1">
      <c r="A11" s="289" t="s">
        <v>166</v>
      </c>
      <c r="B11" s="177" t="s">
        <v>224</v>
      </c>
      <c r="C11" s="177"/>
      <c r="D11" s="177"/>
      <c r="E11" s="300"/>
      <c r="F11" s="301">
        <f>[1]!SPEDELLCompInstrBudgFY</f>
        <v>0</v>
      </c>
      <c r="G11" s="59">
        <v>0</v>
      </c>
      <c r="H11" s="305" t="s">
        <v>166</v>
      </c>
      <c r="J11" s="294"/>
      <c r="L11" s="177"/>
      <c r="M11" s="306"/>
      <c r="N11" s="287"/>
      <c r="O11" s="177"/>
      <c r="P11" s="177"/>
      <c r="Q11" s="177"/>
      <c r="R11" s="177"/>
      <c r="Y11" s="298"/>
      <c r="Z11" s="298"/>
    </row>
    <row r="12" spans="1:26" ht="12.75" customHeight="1">
      <c r="A12" s="307" t="s">
        <v>168</v>
      </c>
      <c r="B12" s="177" t="s">
        <v>225</v>
      </c>
      <c r="E12" s="300"/>
      <c r="F12" s="301">
        <f>[1]!SPEDVocTechEdBudgFY</f>
        <v>0</v>
      </c>
      <c r="G12" s="59">
        <v>0</v>
      </c>
      <c r="H12" s="293" t="s">
        <v>168</v>
      </c>
      <c r="J12" s="294"/>
      <c r="K12" s="284" t="s">
        <v>226</v>
      </c>
      <c r="N12" s="177"/>
      <c r="O12" s="306"/>
      <c r="P12" s="287"/>
      <c r="Q12" s="177"/>
      <c r="R12" s="177"/>
      <c r="Y12" s="298"/>
      <c r="Z12" s="298"/>
    </row>
    <row r="13" spans="1:26" ht="12.75" customHeight="1">
      <c r="A13" s="307" t="s">
        <v>170</v>
      </c>
      <c r="B13" s="177" t="s">
        <v>227</v>
      </c>
      <c r="C13" s="177"/>
      <c r="D13" s="177"/>
      <c r="E13" s="300"/>
      <c r="F13" s="308">
        <f>[1]!SPEDCareerEdBudgFY</f>
        <v>0</v>
      </c>
      <c r="G13" s="60">
        <v>0</v>
      </c>
      <c r="H13" s="309" t="s">
        <v>170</v>
      </c>
      <c r="J13" s="294"/>
      <c r="K13" s="177" t="s">
        <v>228</v>
      </c>
      <c r="Q13" s="306"/>
      <c r="R13" s="30">
        <v>0</v>
      </c>
      <c r="Y13" s="298"/>
      <c r="Z13" s="298"/>
    </row>
    <row r="14" spans="1:26" ht="12.75" customHeight="1" thickBot="1">
      <c r="A14" s="307" t="s">
        <v>172</v>
      </c>
      <c r="B14" s="310" t="s">
        <v>229</v>
      </c>
      <c r="C14" s="310"/>
      <c r="D14" s="310"/>
      <c r="E14" s="311"/>
      <c r="F14" s="308">
        <f>[1]!JTEDBudgFY</f>
        <v>0</v>
      </c>
      <c r="G14" s="62">
        <v>0</v>
      </c>
      <c r="H14" s="309" t="s">
        <v>172</v>
      </c>
      <c r="I14" s="1483" t="str">
        <f>IF(SUM(G7:G14)=SUM('Page 1'!L34:L34),"","Invalid. The amount should equal the total budgeted amount reported on line 24, page 1.")</f>
        <v/>
      </c>
      <c r="J14" s="1483"/>
      <c r="K14" s="177"/>
      <c r="Q14" s="306"/>
      <c r="R14" s="312"/>
      <c r="Y14" s="298"/>
      <c r="Z14" s="298"/>
    </row>
    <row r="15" spans="1:26" ht="12.75" customHeight="1">
      <c r="A15" s="313" t="s">
        <v>174</v>
      </c>
      <c r="B15" s="177" t="s">
        <v>230</v>
      </c>
      <c r="C15" s="177"/>
      <c r="D15" s="177"/>
      <c r="E15" s="1469"/>
      <c r="F15" s="1466">
        <f>SUM(F7:F14)</f>
        <v>7714300</v>
      </c>
      <c r="G15" s="1466">
        <f>SUM(G7:G14)</f>
        <v>8349300</v>
      </c>
      <c r="H15" s="293"/>
      <c r="I15" s="1483"/>
      <c r="J15" s="1483"/>
      <c r="K15" s="314" t="s">
        <v>231</v>
      </c>
      <c r="Q15" s="315"/>
      <c r="R15" s="177"/>
      <c r="Y15" s="298"/>
      <c r="Z15" s="298"/>
    </row>
    <row r="16" spans="1:26" ht="12.75" customHeight="1" thickBot="1">
      <c r="A16" s="316"/>
      <c r="B16" s="177" t="s">
        <v>232</v>
      </c>
      <c r="C16" s="177"/>
      <c r="D16" s="177"/>
      <c r="E16" s="1470"/>
      <c r="F16" s="1467"/>
      <c r="G16" s="1478"/>
      <c r="H16" s="318" t="s">
        <v>174</v>
      </c>
      <c r="I16" s="1483"/>
      <c r="J16" s="1483"/>
      <c r="Y16" s="298"/>
      <c r="Z16" s="298"/>
    </row>
    <row r="17" spans="1:26" ht="12.75" customHeight="1" thickTop="1">
      <c r="A17" s="316"/>
      <c r="B17" s="177"/>
      <c r="C17" s="177"/>
      <c r="D17" s="177"/>
      <c r="E17" s="177"/>
      <c r="F17" s="177"/>
      <c r="G17" s="177"/>
      <c r="H17" s="270"/>
      <c r="I17" s="1483"/>
      <c r="J17" s="1483"/>
      <c r="L17" s="177"/>
      <c r="N17" s="306"/>
      <c r="O17" s="129"/>
      <c r="P17" s="287"/>
      <c r="Q17" s="177"/>
      <c r="Y17" s="298"/>
      <c r="Z17" s="298"/>
    </row>
    <row r="18" spans="1:26" ht="12.75" customHeight="1">
      <c r="A18" s="313" t="s">
        <v>176</v>
      </c>
      <c r="B18" s="319" t="s">
        <v>233</v>
      </c>
      <c r="C18" s="319"/>
      <c r="D18" s="319"/>
      <c r="E18" s="319"/>
      <c r="F18" s="319"/>
      <c r="G18" s="319"/>
      <c r="H18" s="320"/>
      <c r="I18" s="1483"/>
      <c r="J18" s="1483"/>
      <c r="K18" s="295" t="s">
        <v>234</v>
      </c>
      <c r="L18" s="295"/>
      <c r="M18" s="296"/>
      <c r="N18" s="296"/>
      <c r="O18" s="296"/>
      <c r="P18" s="321"/>
      <c r="Q18" s="321"/>
      <c r="R18" s="321"/>
      <c r="Y18" s="298"/>
      <c r="Z18" s="298"/>
    </row>
    <row r="19" spans="1:26" ht="12.75" customHeight="1">
      <c r="A19" s="320"/>
      <c r="B19" s="319" t="s">
        <v>235</v>
      </c>
      <c r="C19" s="319"/>
      <c r="D19" s="319"/>
      <c r="E19" s="320"/>
      <c r="F19" s="322">
        <f t="array" ref="F19">[1]!IEPTransportCosts</f>
        <v>328000</v>
      </c>
      <c r="G19" s="97">
        <v>328000</v>
      </c>
      <c r="H19" s="323" t="s">
        <v>176</v>
      </c>
      <c r="J19" s="294"/>
      <c r="K19" s="324" t="s">
        <v>236</v>
      </c>
      <c r="L19" s="173"/>
      <c r="M19" s="173"/>
      <c r="N19" s="173"/>
      <c r="O19" s="173"/>
      <c r="P19" s="173"/>
      <c r="Q19" s="325"/>
      <c r="R19" s="31">
        <v>165775</v>
      </c>
      <c r="Y19" s="298"/>
      <c r="Z19" s="298"/>
    </row>
    <row r="20" spans="1:26" ht="12.75" customHeight="1">
      <c r="E20" s="326"/>
      <c r="K20" s="173" t="s">
        <v>237</v>
      </c>
      <c r="L20" s="173"/>
      <c r="M20" s="173"/>
      <c r="N20" s="173"/>
      <c r="O20" s="173"/>
      <c r="P20" s="173"/>
      <c r="Q20" s="321"/>
      <c r="R20" s="321"/>
      <c r="Y20" s="298"/>
      <c r="Z20" s="298"/>
    </row>
    <row r="21" spans="1:26" ht="12.75" customHeight="1">
      <c r="K21" s="173" t="s">
        <v>238</v>
      </c>
      <c r="L21" s="173"/>
      <c r="M21" s="173"/>
      <c r="N21" s="173"/>
      <c r="O21" s="173"/>
      <c r="P21" s="173"/>
      <c r="Q21" s="321"/>
      <c r="R21" s="321"/>
      <c r="Y21" s="298"/>
      <c r="Z21" s="298"/>
    </row>
    <row r="22" spans="1:26" ht="12" customHeight="1">
      <c r="A22" s="327" t="s">
        <v>239</v>
      </c>
      <c r="C22" s="269"/>
      <c r="D22" s="269"/>
      <c r="E22" s="269"/>
      <c r="F22" s="328"/>
      <c r="G22" s="177"/>
      <c r="H22" s="177"/>
      <c r="I22" s="152"/>
      <c r="O22" s="177"/>
      <c r="P22" s="177"/>
      <c r="Q22" s="177"/>
      <c r="Y22" s="298"/>
      <c r="Z22" s="298"/>
    </row>
    <row r="23" spans="1:26" ht="12.75" customHeight="1">
      <c r="A23" s="329" t="s">
        <v>240</v>
      </c>
      <c r="C23" s="269"/>
      <c r="D23" s="269"/>
      <c r="F23" s="306" t="s">
        <v>241</v>
      </c>
      <c r="G23" s="330">
        <f>SPEDTeacher</f>
        <v>15</v>
      </c>
      <c r="H23" s="177"/>
      <c r="K23" s="284"/>
      <c r="O23" s="177"/>
      <c r="P23" s="331"/>
      <c r="Q23" s="315"/>
      <c r="R23" s="177"/>
      <c r="S23" s="177"/>
      <c r="Y23" s="298"/>
      <c r="Z23" s="298"/>
    </row>
    <row r="24" spans="1:26" ht="12.75" customHeight="1">
      <c r="F24" s="306" t="s">
        <v>242</v>
      </c>
      <c r="G24" s="332">
        <f>SPEDStaff</f>
        <v>10</v>
      </c>
      <c r="H24" s="177"/>
      <c r="K24" s="1482"/>
      <c r="L24" s="1482"/>
      <c r="M24" s="1482"/>
      <c r="N24" s="1482"/>
      <c r="O24" s="1482"/>
      <c r="P24" s="1482"/>
      <c r="Q24" s="333"/>
      <c r="R24" s="334"/>
      <c r="Y24" s="298"/>
      <c r="Z24" s="298"/>
    </row>
    <row r="25" spans="1:26" ht="12.75" customHeight="1">
      <c r="F25" s="177"/>
      <c r="G25" s="177"/>
      <c r="H25" s="177"/>
      <c r="K25" s="1475"/>
      <c r="L25" s="1475"/>
      <c r="M25" s="1475"/>
      <c r="N25" s="1475"/>
      <c r="O25" s="1475"/>
      <c r="P25" s="335"/>
      <c r="Q25" s="336"/>
      <c r="R25" s="336"/>
      <c r="Y25" s="298"/>
      <c r="Z25" s="298"/>
    </row>
    <row r="26" spans="1:26" ht="13.5" customHeight="1">
      <c r="A26" s="1468" t="s">
        <v>243</v>
      </c>
      <c r="B26" s="1468"/>
      <c r="C26" s="1468"/>
      <c r="D26" s="1468"/>
      <c r="G26" s="177"/>
      <c r="H26" s="177"/>
      <c r="J26" s="337"/>
      <c r="K26" s="338"/>
      <c r="L26" s="310"/>
      <c r="M26" s="310"/>
      <c r="N26" s="310"/>
      <c r="O26" s="310"/>
      <c r="P26" s="336"/>
      <c r="Q26" s="336"/>
      <c r="R26" s="339"/>
      <c r="Y26" s="298"/>
      <c r="Z26" s="298"/>
    </row>
    <row r="27" spans="1:26" ht="12.75" customHeight="1">
      <c r="A27" s="329" t="s">
        <v>244</v>
      </c>
      <c r="C27" s="283"/>
      <c r="F27" s="340" t="s">
        <v>215</v>
      </c>
      <c r="G27" s="340" t="s">
        <v>216</v>
      </c>
      <c r="K27" s="338"/>
      <c r="L27" s="310"/>
      <c r="M27" s="310"/>
      <c r="N27" s="310"/>
      <c r="O27" s="310"/>
      <c r="P27" s="336"/>
      <c r="Q27" s="336"/>
      <c r="R27" s="339"/>
      <c r="S27" s="270"/>
      <c r="Y27" s="298"/>
      <c r="Z27" s="298"/>
    </row>
    <row r="28" spans="1:26" ht="13.5" customHeight="1">
      <c r="C28" s="283"/>
      <c r="E28" s="306" t="s">
        <v>245</v>
      </c>
      <c r="F28" s="341">
        <f>[1]!EstimatedFTECertified</f>
        <v>354.2</v>
      </c>
      <c r="G28" s="61">
        <v>360</v>
      </c>
      <c r="K28" s="338"/>
      <c r="L28" s="342"/>
      <c r="M28" s="343"/>
      <c r="N28" s="343"/>
      <c r="O28" s="344"/>
      <c r="P28" s="336"/>
      <c r="Q28" s="336"/>
      <c r="R28" s="345"/>
      <c r="S28" s="270"/>
      <c r="Y28" s="298"/>
      <c r="Z28" s="298"/>
    </row>
    <row r="29" spans="1:26" ht="15" customHeight="1">
      <c r="B29" s="336"/>
      <c r="C29" s="336"/>
      <c r="D29" s="336"/>
      <c r="E29" s="346" t="s">
        <v>246</v>
      </c>
      <c r="F29" s="347"/>
      <c r="G29" s="85">
        <v>5</v>
      </c>
      <c r="K29" s="338"/>
      <c r="L29" s="342"/>
      <c r="M29" s="343"/>
      <c r="N29" s="343"/>
      <c r="O29" s="344"/>
      <c r="P29" s="336"/>
      <c r="Q29" s="336"/>
      <c r="R29" s="345"/>
      <c r="S29" s="270"/>
      <c r="Y29" s="1476"/>
      <c r="Z29" s="1476"/>
    </row>
    <row r="30" spans="1:26" ht="13.5" customHeight="1">
      <c r="B30" s="177"/>
      <c r="D30" s="177"/>
      <c r="E30" s="306"/>
      <c r="F30" s="177"/>
      <c r="K30" s="338"/>
      <c r="L30" s="342"/>
      <c r="M30" s="310"/>
      <c r="N30" s="310"/>
      <c r="O30" s="346"/>
      <c r="P30" s="336"/>
      <c r="Q30" s="336"/>
      <c r="R30" s="345"/>
      <c r="S30" s="270"/>
      <c r="Y30" s="1477"/>
      <c r="Z30" s="1477"/>
    </row>
    <row r="31" spans="1:26" ht="12.75" customHeight="1">
      <c r="A31" s="284"/>
      <c r="C31" s="269"/>
      <c r="D31" s="269"/>
      <c r="F31" s="348"/>
      <c r="I31" s="177"/>
      <c r="K31" s="349"/>
      <c r="L31" s="310"/>
      <c r="M31" s="310"/>
      <c r="N31" s="310"/>
      <c r="O31" s="346"/>
      <c r="P31" s="336"/>
      <c r="Q31" s="336"/>
      <c r="R31" s="345"/>
      <c r="S31" s="270"/>
    </row>
    <row r="32" spans="1:26" ht="12.75" customHeight="1">
      <c r="A32" s="270"/>
      <c r="B32" s="350"/>
      <c r="C32" s="350"/>
      <c r="D32" s="350"/>
      <c r="E32" s="350"/>
      <c r="F32" s="351"/>
      <c r="G32" s="352"/>
      <c r="I32" s="284"/>
      <c r="K32" s="338"/>
      <c r="L32" s="310"/>
      <c r="M32" s="310"/>
      <c r="N32" s="310"/>
      <c r="O32" s="346"/>
      <c r="P32" s="336"/>
      <c r="Q32" s="336"/>
      <c r="R32" s="345"/>
      <c r="S32" s="270"/>
    </row>
    <row r="33" spans="1:19" ht="13.5" customHeight="1">
      <c r="A33" s="1479"/>
      <c r="B33" s="1480"/>
      <c r="C33" s="1480"/>
      <c r="D33" s="1480"/>
      <c r="E33" s="1480"/>
      <c r="F33" s="1480"/>
      <c r="G33" s="1481"/>
      <c r="I33" s="177"/>
      <c r="K33" s="338"/>
      <c r="L33" s="310"/>
      <c r="M33" s="310"/>
      <c r="N33" s="310"/>
      <c r="O33" s="346"/>
      <c r="P33" s="336"/>
      <c r="Q33" s="336"/>
      <c r="R33" s="345"/>
      <c r="S33" s="270"/>
    </row>
    <row r="34" spans="1:19" ht="12.75" customHeight="1">
      <c r="E34" s="354"/>
      <c r="I34" s="177"/>
      <c r="K34" s="349"/>
      <c r="L34" s="342"/>
      <c r="M34" s="310"/>
      <c r="N34" s="310"/>
      <c r="O34" s="346"/>
      <c r="P34" s="336"/>
      <c r="Q34" s="336"/>
      <c r="R34" s="345"/>
      <c r="S34" s="270"/>
    </row>
    <row r="35" spans="1:19" ht="12.75" customHeight="1">
      <c r="I35" s="177"/>
      <c r="K35" s="336"/>
      <c r="L35" s="310"/>
      <c r="M35" s="310"/>
      <c r="N35" s="310"/>
      <c r="O35" s="310"/>
      <c r="P35" s="310"/>
      <c r="Q35" s="336"/>
      <c r="R35" s="310"/>
      <c r="S35" s="270"/>
    </row>
    <row r="36" spans="1:19" ht="12.75" customHeight="1">
      <c r="I36" s="177"/>
      <c r="L36" s="177"/>
      <c r="M36" s="177"/>
      <c r="N36" s="177"/>
      <c r="O36" s="177"/>
      <c r="P36" s="177"/>
      <c r="R36" s="177"/>
      <c r="S36" s="270"/>
    </row>
    <row r="37" spans="1:19" ht="12.75" customHeight="1">
      <c r="L37" s="305"/>
      <c r="M37" s="177"/>
      <c r="N37" s="177"/>
      <c r="O37" s="177"/>
      <c r="P37" s="177"/>
      <c r="R37" s="355"/>
    </row>
    <row r="38" spans="1:19" ht="12.75" customHeight="1">
      <c r="L38" s="305"/>
      <c r="M38" s="177"/>
      <c r="N38" s="177"/>
      <c r="O38" s="177"/>
      <c r="P38" s="177"/>
      <c r="R38" s="355"/>
    </row>
    <row r="39" spans="1:19" ht="12.75" customHeight="1">
      <c r="K39" s="177"/>
      <c r="L39" s="177"/>
      <c r="M39" s="177"/>
      <c r="N39" s="177"/>
      <c r="O39" s="177"/>
      <c r="P39" s="177"/>
    </row>
    <row r="40" spans="1:19" ht="12.75" customHeight="1">
      <c r="K40" s="177"/>
      <c r="L40" s="177"/>
      <c r="M40" s="177"/>
      <c r="N40" s="177"/>
      <c r="O40" s="177"/>
      <c r="P40" s="177"/>
    </row>
    <row r="41" spans="1:19" ht="13.5" customHeight="1">
      <c r="K41" s="177"/>
    </row>
    <row r="42" spans="1:19" ht="12.75" customHeight="1">
      <c r="I42" s="177"/>
      <c r="J42" s="356"/>
      <c r="S42" s="177"/>
    </row>
    <row r="43" spans="1:19" ht="13.5" hidden="1" customHeight="1"/>
    <row r="44" spans="1:19" ht="13.5" customHeight="1"/>
    <row r="45" spans="1:19" ht="13.5" customHeight="1">
      <c r="I45" s="177"/>
    </row>
    <row r="46" spans="1:19" ht="13.5" customHeight="1">
      <c r="I46" s="284"/>
    </row>
    <row r="47" spans="1:19" ht="6" customHeight="1">
      <c r="I47" s="177"/>
      <c r="J47" s="177"/>
    </row>
    <row r="48" spans="1:19" ht="12" customHeight="1">
      <c r="J48" s="177"/>
    </row>
    <row r="49" spans="19:20" ht="12.75" customHeight="1">
      <c r="S49" s="177"/>
      <c r="T49" s="306"/>
    </row>
  </sheetData>
  <sheetProtection formatCells="0" formatColumns="0" formatRows="0"/>
  <mergeCells count="13">
    <mergeCell ref="K25:O25"/>
    <mergeCell ref="Y29:Y30"/>
    <mergeCell ref="Z29:Z30"/>
    <mergeCell ref="G15:G16"/>
    <mergeCell ref="A33:G33"/>
    <mergeCell ref="K24:P24"/>
    <mergeCell ref="I14:J18"/>
    <mergeCell ref="C1:F1"/>
    <mergeCell ref="F15:F16"/>
    <mergeCell ref="A26:D26"/>
    <mergeCell ref="E15:E16"/>
    <mergeCell ref="I1:J1"/>
    <mergeCell ref="A1:B1"/>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formula1>R31*0.115</formula1>
    </dataValidation>
  </dataValidations>
  <hyperlinks>
    <hyperlink ref="A10" location="Page2l45" display="4."/>
    <hyperlink ref="A11" location="Page2l45" display="5."/>
    <hyperlink ref="A26:D26" location="Page2n2" display="Estimated FTE Certified Employees"/>
    <hyperlink ref="A4:F4" location="Page2n1" display="SPECIAL EDUCATION PROGRAMS BY TYPE (M&amp;O Fund Program 200)"/>
    <hyperlink ref="A7" location="Page2n1" display="1."/>
    <hyperlink ref="K7:N7" location="AuditServices" display="Expenditures Budgeted for Audit Services"/>
    <hyperlink ref="K18:O18" location="MOFoodService" display="Expenditures Budgeted in the M&amp;O Fund for Food Service"/>
  </hyperlinks>
  <printOptions horizontalCentered="1"/>
  <pageMargins left="0.2" right="0.2" top="0.25" bottom="0.25" header="0" footer="0.25"/>
  <pageSetup paperSize="5" orientation="landscape" r:id="rId1"/>
  <headerFooter alignWithMargins="0">
    <oddFooter>&amp;L&amp;"Times New Roman,Bold"&amp;9Rev. 5/23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tabSelected="1" topLeftCell="A12" workbookViewId="0">
      <selection activeCell="S31" sqref="S31"/>
    </sheetView>
  </sheetViews>
  <sheetFormatPr defaultColWidth="8.90625" defaultRowHeight="15"/>
  <cols>
    <col min="1" max="1" width="24.453125" customWidth="1"/>
    <col min="2" max="2" width="6.90625" customWidth="1"/>
    <col min="3" max="3" width="3.54296875" customWidth="1"/>
    <col min="4" max="11" width="11.90625" customWidth="1"/>
    <col min="12" max="12" width="6.90625" customWidth="1"/>
    <col min="13" max="13" width="3.90625" customWidth="1"/>
    <col min="14" max="14" width="2" customWidth="1"/>
    <col min="15" max="15" width="14" customWidth="1"/>
    <col min="16" max="16" width="7.453125" customWidth="1"/>
    <col min="17" max="17" width="8.90625" customWidth="1"/>
    <col min="18" max="18" width="20.90625" customWidth="1"/>
    <col min="19" max="25" width="8.90625" customWidth="1"/>
  </cols>
  <sheetData>
    <row r="1" spans="1:25" ht="16.5" customHeight="1">
      <c r="A1" s="123" t="s">
        <v>71</v>
      </c>
      <c r="B1" s="1456" t="str">
        <f>DistrictName</f>
        <v>MADISON ELEMENTARY SCHOOL DISTRICT</v>
      </c>
      <c r="C1" s="1484"/>
      <c r="D1" s="1484"/>
      <c r="E1" s="1484"/>
      <c r="F1" s="123" t="s">
        <v>72</v>
      </c>
      <c r="G1" s="357" t="str">
        <f>Cover!H1</f>
        <v>MARICOPA</v>
      </c>
      <c r="J1" s="302" t="s">
        <v>73</v>
      </c>
      <c r="K1" s="126" t="str">
        <f>Cover!S1</f>
        <v>070438000</v>
      </c>
      <c r="M1" s="123" t="s">
        <v>74</v>
      </c>
      <c r="N1" s="358" t="str">
        <f>Cover!C8</f>
        <v>Adopted</v>
      </c>
      <c r="O1" s="359"/>
    </row>
    <row r="2" spans="1:25" ht="22.5" customHeight="1">
      <c r="A2" s="360" t="s">
        <v>247</v>
      </c>
      <c r="B2" s="361"/>
      <c r="C2" s="361"/>
      <c r="D2" s="1485" t="s">
        <v>248</v>
      </c>
      <c r="E2" s="1485"/>
      <c r="F2" s="1485"/>
      <c r="G2" s="1485"/>
      <c r="H2" s="1485"/>
      <c r="I2" s="1485"/>
      <c r="J2" s="1485"/>
      <c r="K2" s="1485"/>
      <c r="L2" s="1485"/>
      <c r="M2" s="122"/>
      <c r="N2" s="122"/>
    </row>
    <row r="3" spans="1:25" ht="11.25" customHeight="1">
      <c r="A3" s="362"/>
      <c r="B3" s="363"/>
      <c r="C3" s="364"/>
      <c r="D3" s="365"/>
      <c r="E3" s="366"/>
      <c r="F3" s="367"/>
      <c r="G3" s="368"/>
      <c r="H3" s="369"/>
      <c r="I3" s="370" t="s">
        <v>249</v>
      </c>
      <c r="J3" s="1486" t="s">
        <v>141</v>
      </c>
      <c r="K3" s="1487"/>
      <c r="L3" s="369" t="s">
        <v>150</v>
      </c>
      <c r="M3" s="130"/>
      <c r="N3" s="130"/>
    </row>
    <row r="4" spans="1:25" ht="11.25" customHeight="1">
      <c r="A4" s="371" t="s">
        <v>151</v>
      </c>
      <c r="B4" s="372"/>
      <c r="C4" s="373"/>
      <c r="D4" s="374" t="s">
        <v>143</v>
      </c>
      <c r="E4" s="375" t="s">
        <v>250</v>
      </c>
      <c r="F4" s="376" t="s">
        <v>251</v>
      </c>
      <c r="G4" s="377" t="s">
        <v>146</v>
      </c>
      <c r="H4" s="376" t="s">
        <v>252</v>
      </c>
      <c r="I4" s="376" t="s">
        <v>253</v>
      </c>
      <c r="J4" s="369" t="s">
        <v>215</v>
      </c>
      <c r="K4" s="369" t="s">
        <v>216</v>
      </c>
      <c r="L4" s="375" t="s">
        <v>153</v>
      </c>
      <c r="M4" s="130"/>
      <c r="N4" s="130"/>
    </row>
    <row r="5" spans="1:25" ht="11.25" customHeight="1">
      <c r="A5" s="378"/>
      <c r="B5" s="379"/>
      <c r="C5" s="380"/>
      <c r="D5" s="381" t="s">
        <v>154</v>
      </c>
      <c r="E5" s="382" t="s">
        <v>155</v>
      </c>
      <c r="F5" s="383" t="s">
        <v>254</v>
      </c>
      <c r="G5" s="384">
        <v>6600</v>
      </c>
      <c r="H5" s="376">
        <v>6700</v>
      </c>
      <c r="I5" s="376">
        <v>6800</v>
      </c>
      <c r="J5" s="385">
        <v>2023</v>
      </c>
      <c r="K5" s="385">
        <v>2024</v>
      </c>
      <c r="L5" s="385" t="s">
        <v>158</v>
      </c>
      <c r="M5" s="130"/>
      <c r="N5" s="130"/>
    </row>
    <row r="6" spans="1:25" ht="10.5" customHeight="1">
      <c r="A6" s="386" t="s">
        <v>255</v>
      </c>
      <c r="B6" s="354"/>
      <c r="C6" s="387" t="s">
        <v>6</v>
      </c>
      <c r="D6" s="37">
        <f>7000+6100000-1000</f>
        <v>6106000</v>
      </c>
      <c r="E6" s="37">
        <f>(7200*0.05*300)+(0.24*D6)+41572+260</f>
        <v>1615272</v>
      </c>
      <c r="F6" s="87">
        <v>0</v>
      </c>
      <c r="G6" s="94">
        <v>0</v>
      </c>
      <c r="H6" s="23">
        <v>0</v>
      </c>
      <c r="I6" s="23">
        <v>0</v>
      </c>
      <c r="J6" s="390">
        <f t="array" ref="J6">[1]!F010F1000</f>
        <v>6857969</v>
      </c>
      <c r="K6" s="391">
        <f t="shared" ref="K6:K13" si="0">SUM(D6:I6)</f>
        <v>7721272</v>
      </c>
      <c r="L6" s="392">
        <f t="shared" ref="L6:L11" si="1">IF(J6=K6,0,IF(J6&gt;0,(K6-J6)/J6,""))</f>
        <v>0.126</v>
      </c>
      <c r="M6" s="393" t="s">
        <v>6</v>
      </c>
      <c r="N6" s="235"/>
    </row>
    <row r="7" spans="1:25" ht="10.5" customHeight="1">
      <c r="A7" s="386" t="s">
        <v>256</v>
      </c>
      <c r="B7" s="354"/>
      <c r="C7" s="387" t="s">
        <v>9</v>
      </c>
      <c r="D7" s="20">
        <v>670000</v>
      </c>
      <c r="E7" s="37">
        <f>(7200*0.05*20)+(0.24*D7)</f>
        <v>168000</v>
      </c>
      <c r="F7" s="20">
        <v>0</v>
      </c>
      <c r="G7" s="20">
        <v>0</v>
      </c>
      <c r="H7" s="20">
        <v>0</v>
      </c>
      <c r="I7" s="20">
        <v>0</v>
      </c>
      <c r="J7" s="390">
        <f t="array" ref="J7">[1]!F010F2100</f>
        <v>744000</v>
      </c>
      <c r="K7" s="391">
        <f t="shared" si="0"/>
        <v>838000</v>
      </c>
      <c r="L7" s="392">
        <f t="shared" si="1"/>
        <v>0.126</v>
      </c>
      <c r="M7" s="394" t="s">
        <v>9</v>
      </c>
      <c r="N7" s="395"/>
      <c r="O7" s="354"/>
      <c r="P7" s="354"/>
      <c r="Q7" s="356"/>
      <c r="R7" s="354"/>
      <c r="S7" s="396"/>
      <c r="T7" s="397"/>
      <c r="U7" s="397"/>
      <c r="V7" s="397"/>
      <c r="W7" s="397"/>
      <c r="X7" s="397"/>
      <c r="Y7" s="397"/>
    </row>
    <row r="8" spans="1:25" ht="10.5" customHeight="1">
      <c r="A8" s="386" t="s">
        <v>257</v>
      </c>
      <c r="B8" s="354"/>
      <c r="C8" s="387" t="s">
        <v>24</v>
      </c>
      <c r="D8" s="21">
        <v>275000</v>
      </c>
      <c r="E8" s="21">
        <f>D8*0.3</f>
        <v>82500</v>
      </c>
      <c r="F8" s="95">
        <v>0</v>
      </c>
      <c r="G8" s="95">
        <v>0</v>
      </c>
      <c r="H8" s="399"/>
      <c r="I8" s="95">
        <v>0</v>
      </c>
      <c r="J8" s="390">
        <f t="array" ref="J8">[1]!F010F2200</f>
        <v>310000</v>
      </c>
      <c r="K8" s="391">
        <f t="shared" si="0"/>
        <v>357500</v>
      </c>
      <c r="L8" s="392">
        <f t="shared" si="1"/>
        <v>0.153</v>
      </c>
      <c r="M8" s="394" t="s">
        <v>24</v>
      </c>
      <c r="N8" s="235"/>
      <c r="O8" s="354"/>
    </row>
    <row r="9" spans="1:25" s="200" customFormat="1" ht="10.5" customHeight="1">
      <c r="A9" s="400" t="s">
        <v>258</v>
      </c>
      <c r="B9" s="401"/>
      <c r="C9" s="402" t="s">
        <v>51</v>
      </c>
      <c r="D9" s="403"/>
      <c r="E9" s="403"/>
      <c r="F9" s="23">
        <v>0</v>
      </c>
      <c r="G9" s="403"/>
      <c r="H9" s="403"/>
      <c r="I9" s="403"/>
      <c r="J9" s="404">
        <f t="array" ref="J9">[1]!F010F2310</f>
        <v>0</v>
      </c>
      <c r="K9" s="391">
        <f t="shared" si="0"/>
        <v>0</v>
      </c>
      <c r="L9" s="405">
        <f t="shared" si="1"/>
        <v>0</v>
      </c>
      <c r="M9" s="393" t="s">
        <v>51</v>
      </c>
      <c r="N9" s="406"/>
    </row>
    <row r="10" spans="1:25" ht="10.5" customHeight="1">
      <c r="A10" s="400" t="s">
        <v>259</v>
      </c>
      <c r="B10" s="354"/>
      <c r="C10" s="387" t="s">
        <v>166</v>
      </c>
      <c r="D10" s="407"/>
      <c r="E10" s="407"/>
      <c r="F10" s="407"/>
      <c r="G10" s="408"/>
      <c r="H10" s="409"/>
      <c r="I10" s="96">
        <v>0</v>
      </c>
      <c r="J10" s="404">
        <f t="array" ref="J10">[1]!F010F2510</f>
        <v>0</v>
      </c>
      <c r="K10" s="391">
        <f t="shared" si="0"/>
        <v>0</v>
      </c>
      <c r="L10" s="410">
        <f t="shared" si="1"/>
        <v>0</v>
      </c>
      <c r="M10" s="393" t="s">
        <v>166</v>
      </c>
      <c r="N10" s="235"/>
    </row>
    <row r="11" spans="1:25" ht="10.5" customHeight="1">
      <c r="A11" s="411" t="s">
        <v>260</v>
      </c>
      <c r="B11" s="354"/>
      <c r="C11" s="387" t="s">
        <v>168</v>
      </c>
      <c r="D11" s="23">
        <v>0</v>
      </c>
      <c r="E11" s="23">
        <v>0</v>
      </c>
      <c r="F11" s="23">
        <v>0</v>
      </c>
      <c r="G11" s="407"/>
      <c r="H11" s="408"/>
      <c r="I11" s="409"/>
      <c r="J11" s="412">
        <f t="array" ref="J11">[1]!F010F3300</f>
        <v>0</v>
      </c>
      <c r="K11" s="412">
        <f t="shared" si="0"/>
        <v>0</v>
      </c>
      <c r="L11" s="413">
        <f t="shared" si="1"/>
        <v>0</v>
      </c>
      <c r="M11" s="393" t="s">
        <v>168</v>
      </c>
      <c r="N11" s="235"/>
    </row>
    <row r="12" spans="1:25" ht="10.5" customHeight="1">
      <c r="A12" s="411" t="s">
        <v>261</v>
      </c>
      <c r="C12" s="387" t="s">
        <v>170</v>
      </c>
      <c r="D12" s="414"/>
      <c r="E12" s="414"/>
      <c r="F12" s="414"/>
      <c r="G12" s="414"/>
      <c r="H12" s="107">
        <v>0</v>
      </c>
      <c r="I12" s="414"/>
      <c r="J12" s="389">
        <f t="array" ref="J12">[1]!F010F4000</f>
        <v>0</v>
      </c>
      <c r="K12" s="389">
        <f t="shared" si="0"/>
        <v>0</v>
      </c>
      <c r="L12" s="414"/>
      <c r="M12" s="393" t="s">
        <v>170</v>
      </c>
    </row>
    <row r="13" spans="1:25" ht="10.5" customHeight="1">
      <c r="A13" s="411" t="s">
        <v>262</v>
      </c>
      <c r="C13" s="387" t="s">
        <v>172</v>
      </c>
      <c r="D13" s="414"/>
      <c r="E13" s="414"/>
      <c r="F13" s="414"/>
      <c r="G13" s="414"/>
      <c r="H13" s="414"/>
      <c r="I13" s="96">
        <v>0</v>
      </c>
      <c r="J13" s="389">
        <f t="array" ref="J13">[1]!F010F5000</f>
        <v>0</v>
      </c>
      <c r="K13" s="389">
        <f t="shared" si="0"/>
        <v>0</v>
      </c>
      <c r="L13" s="414"/>
      <c r="M13" s="393" t="s">
        <v>172</v>
      </c>
    </row>
    <row r="14" spans="1:25" ht="11.25" customHeight="1">
      <c r="A14" s="415" t="s">
        <v>263</v>
      </c>
      <c r="B14" s="416"/>
      <c r="C14" s="417" t="s">
        <v>174</v>
      </c>
      <c r="D14" s="418">
        <f t="shared" ref="D14:I14" si="2">SUM(D6:D13)</f>
        <v>7051000</v>
      </c>
      <c r="E14" s="418">
        <f t="shared" si="2"/>
        <v>1865772</v>
      </c>
      <c r="F14" s="418">
        <f t="shared" si="2"/>
        <v>0</v>
      </c>
      <c r="G14" s="418">
        <f t="shared" si="2"/>
        <v>0</v>
      </c>
      <c r="H14" s="418">
        <f t="shared" si="2"/>
        <v>0</v>
      </c>
      <c r="I14" s="418">
        <f t="shared" si="2"/>
        <v>0</v>
      </c>
      <c r="J14" s="419">
        <f t="array" ref="J14">[1]!F010TotalExp</f>
        <v>7911969</v>
      </c>
      <c r="K14" s="420">
        <f>SUM(D14:I14)</f>
        <v>8916772</v>
      </c>
      <c r="L14" s="392">
        <f>IF(J14=K14,0,IF(J14&gt;0,(K14-J14)/J14,""))</f>
        <v>0.127</v>
      </c>
      <c r="M14" s="393" t="s">
        <v>174</v>
      </c>
      <c r="O14" s="421"/>
      <c r="P14" s="421"/>
      <c r="Q14" s="421"/>
      <c r="R14" s="421"/>
      <c r="S14" s="155"/>
      <c r="T14" s="155"/>
      <c r="U14" s="155"/>
      <c r="V14" s="155"/>
      <c r="W14" s="155"/>
      <c r="X14" s="155"/>
    </row>
    <row r="16" spans="1:25">
      <c r="L16" s="422"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72" customFormat="1">
      <c r="A30" s="1488" t="s">
        <v>264</v>
      </c>
      <c r="B30" s="1488"/>
      <c r="C30" s="1488"/>
      <c r="D30" s="1488"/>
      <c r="F30" s="177"/>
      <c r="H30"/>
      <c r="K30"/>
      <c r="N30" s="122"/>
      <c r="O30" s="122"/>
      <c r="P30" s="122"/>
      <c r="Q30" s="122"/>
      <c r="R30" s="122"/>
      <c r="S30" s="122"/>
      <c r="T30" s="1489"/>
      <c r="U30" s="423"/>
      <c r="V30" s="424"/>
    </row>
    <row r="31" spans="1:22" s="172" customFormat="1" ht="25.5" customHeight="1">
      <c r="A31" s="1490" t="s">
        <v>265</v>
      </c>
      <c r="B31" s="1491"/>
      <c r="C31" s="425" t="s">
        <v>176</v>
      </c>
      <c r="D31" s="426">
        <f t="array" ref="D31">'[1]Page 3'!CSFBLBudgFY</f>
        <v>7911969</v>
      </c>
      <c r="E31"/>
      <c r="F31"/>
      <c r="G31"/>
      <c r="H31"/>
      <c r="K31"/>
      <c r="L31"/>
      <c r="N31" s="122"/>
      <c r="O31" s="1420"/>
      <c r="P31" s="1420"/>
      <c r="Q31" s="1420"/>
      <c r="R31" s="1420"/>
      <c r="S31" s="122"/>
      <c r="T31" s="1489"/>
      <c r="U31" s="427"/>
      <c r="V31" s="424"/>
    </row>
    <row r="32" spans="1:22" s="172" customFormat="1" ht="36" customHeight="1">
      <c r="A32" s="1492" t="s">
        <v>266</v>
      </c>
      <c r="B32" s="1493"/>
      <c r="C32" s="429" t="s">
        <v>178</v>
      </c>
      <c r="D32" s="1385">
        <v>3691000</v>
      </c>
      <c r="E32" s="430" t="str">
        <f>IF(AND(CSFBLCurrFY&lt;&gt;0,CSFActualCurrFY=""),"Please enter prior year CSF actual expenditures on line 11.","")</f>
        <v/>
      </c>
      <c r="F32"/>
      <c r="G32"/>
      <c r="H32"/>
      <c r="K32"/>
      <c r="L32"/>
      <c r="N32" s="122"/>
      <c r="O32" s="122"/>
      <c r="P32" s="122"/>
      <c r="Q32" s="122"/>
      <c r="R32" s="122"/>
      <c r="S32" s="122"/>
      <c r="T32" s="122"/>
      <c r="U32" s="122"/>
      <c r="V32" s="424"/>
    </row>
    <row r="33" spans="1:22" s="172" customFormat="1" ht="24" customHeight="1">
      <c r="A33" s="1497" t="s">
        <v>267</v>
      </c>
      <c r="B33" s="1498"/>
      <c r="C33" s="431" t="s">
        <v>180</v>
      </c>
      <c r="D33" s="432">
        <f>D31-D32</f>
        <v>4220969</v>
      </c>
      <c r="E33"/>
      <c r="F33"/>
      <c r="G33"/>
      <c r="H33"/>
      <c r="K33"/>
      <c r="L33"/>
      <c r="N33" s="154"/>
      <c r="O33" s="281"/>
      <c r="P33" s="281"/>
      <c r="Q33" s="281"/>
      <c r="R33" s="122"/>
      <c r="S33" s="122"/>
      <c r="T33" s="129"/>
      <c r="U33" s="122"/>
      <c r="V33" s="424"/>
    </row>
    <row r="34" spans="1:22" s="172" customFormat="1" ht="22.5" customHeight="1">
      <c r="A34" s="1492" t="s">
        <v>268</v>
      </c>
      <c r="B34" s="1493"/>
      <c r="C34" s="429" t="s">
        <v>182</v>
      </c>
      <c r="D34" s="432">
        <v>75000</v>
      </c>
      <c r="E34"/>
      <c r="F34"/>
      <c r="G34"/>
      <c r="H34"/>
      <c r="K34"/>
      <c r="L34"/>
      <c r="N34" s="122"/>
      <c r="O34" s="1420"/>
      <c r="P34" s="1420"/>
      <c r="Q34" s="1420"/>
      <c r="R34" s="1420"/>
      <c r="S34" s="122"/>
      <c r="T34" s="122"/>
      <c r="U34" s="122"/>
      <c r="V34" s="424"/>
    </row>
    <row r="35" spans="1:22" s="433" customFormat="1" ht="25.5" customHeight="1">
      <c r="A35" s="1499" t="s">
        <v>269</v>
      </c>
      <c r="B35" s="1500"/>
      <c r="C35" s="429" t="s">
        <v>184</v>
      </c>
      <c r="D35" s="432">
        <f>6096.0457*758</f>
        <v>4620803</v>
      </c>
      <c r="E35" s="430" t="str">
        <f>IF(AND(CSFBLCurrFY&lt;&gt;0,CSFAllocBudgFY=""),"Please enter the total current year CSF allocation on line 14.","")</f>
        <v/>
      </c>
      <c r="F35"/>
      <c r="G35"/>
      <c r="H35"/>
      <c r="K35"/>
      <c r="L35"/>
      <c r="N35" s="434"/>
      <c r="O35" s="1501"/>
      <c r="P35" s="1501"/>
      <c r="Q35" s="1501"/>
      <c r="R35" s="1501"/>
      <c r="S35" s="434"/>
      <c r="T35" s="435"/>
      <c r="U35" s="436"/>
      <c r="V35" s="437"/>
    </row>
    <row r="36" spans="1:22" s="172" customFormat="1" ht="22.5" customHeight="1">
      <c r="A36" s="1492" t="s">
        <v>270</v>
      </c>
      <c r="B36" s="1493"/>
      <c r="C36" s="429" t="s">
        <v>186</v>
      </c>
      <c r="D36" s="432">
        <v>0</v>
      </c>
      <c r="E36"/>
      <c r="F36"/>
      <c r="G36"/>
      <c r="H36"/>
      <c r="K36"/>
      <c r="L36"/>
      <c r="N36" s="154"/>
      <c r="O36" s="130"/>
      <c r="P36" s="122"/>
      <c r="Q36" s="122"/>
      <c r="R36" s="122"/>
      <c r="S36" s="122"/>
      <c r="T36" s="129"/>
      <c r="U36" s="427"/>
      <c r="V36" s="424"/>
    </row>
    <row r="37" spans="1:22" s="172" customFormat="1" ht="9.75" customHeight="1">
      <c r="A37" s="438"/>
      <c r="B37" s="439"/>
      <c r="C37" s="439"/>
      <c r="D37" s="440"/>
      <c r="E37"/>
      <c r="F37"/>
      <c r="G37"/>
      <c r="H37"/>
      <c r="K37"/>
      <c r="L37"/>
      <c r="N37" s="154"/>
      <c r="O37" s="122"/>
      <c r="P37" s="1420"/>
      <c r="Q37" s="1420"/>
      <c r="R37" s="1420"/>
      <c r="S37" s="122"/>
      <c r="T37" s="129"/>
      <c r="U37" s="427"/>
      <c r="V37" s="424"/>
    </row>
    <row r="38" spans="1:22" s="172" customFormat="1" ht="26.25" customHeight="1">
      <c r="A38" s="1494" t="s">
        <v>271</v>
      </c>
      <c r="B38" s="1495"/>
      <c r="C38" s="441" t="s">
        <v>187</v>
      </c>
      <c r="D38" s="432">
        <f>SUM(D33:D36)</f>
        <v>8916772</v>
      </c>
      <c r="E38"/>
      <c r="F38"/>
      <c r="G38"/>
      <c r="H38"/>
      <c r="K38"/>
      <c r="L38"/>
      <c r="N38" s="150"/>
      <c r="P38" s="150"/>
      <c r="Q38" s="150"/>
      <c r="R38" s="122"/>
      <c r="S38" s="122"/>
      <c r="T38" s="129"/>
      <c r="U38" s="427"/>
      <c r="V38" s="424"/>
    </row>
    <row r="39" spans="1:22" s="172" customFormat="1" ht="8.25" customHeight="1">
      <c r="A39" s="177"/>
      <c r="K39" s="352"/>
      <c r="N39" s="281"/>
      <c r="O39" s="122"/>
      <c r="P39" s="122"/>
      <c r="Q39" s="122"/>
      <c r="R39" s="129"/>
      <c r="S39" s="427"/>
      <c r="T39" s="1496"/>
      <c r="U39" s="1496"/>
      <c r="V39" s="442"/>
    </row>
    <row r="40" spans="1:22" s="172" customFormat="1" ht="13.2">
      <c r="A40" s="443" t="s">
        <v>272</v>
      </c>
      <c r="C40" s="290"/>
      <c r="N40" s="122"/>
      <c r="O40" s="444"/>
      <c r="P40" s="444"/>
      <c r="Q40" s="444"/>
      <c r="R40" s="122"/>
      <c r="S40" s="122"/>
      <c r="T40" s="122"/>
      <c r="U40" s="122"/>
      <c r="V40" s="442"/>
    </row>
    <row r="41" spans="1:22" s="172" customFormat="1" ht="13.2">
      <c r="A41" s="445" t="s">
        <v>273</v>
      </c>
      <c r="N41" s="122"/>
      <c r="O41" s="122"/>
      <c r="P41" s="122"/>
      <c r="Q41" s="122"/>
      <c r="R41" s="122"/>
      <c r="S41" s="122"/>
      <c r="T41" s="122"/>
      <c r="U41" s="122"/>
      <c r="V41" s="442"/>
    </row>
    <row r="42" spans="1:22" s="172" customFormat="1" ht="15.6">
      <c r="A42" s="446"/>
      <c r="B42" s="350"/>
      <c r="C42" s="350"/>
      <c r="D42" s="350"/>
      <c r="E42" s="350"/>
      <c r="F42" s="350"/>
      <c r="G42" s="350"/>
      <c r="H42" s="350"/>
      <c r="I42" s="350"/>
      <c r="J42" s="350"/>
      <c r="K42" s="350"/>
      <c r="L42" s="350"/>
    </row>
  </sheetData>
  <sheetProtection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formula1>0</formula1>
    </dataValidation>
    <dataValidation type="whole" operator="lessThanOrEqual" allowBlank="1" showInputMessage="1" showErrorMessage="1" prompt="This amount must be negative." sqref="U31 U36">
      <formula1>0</formula1>
    </dataValidation>
  </dataValidations>
  <hyperlinks>
    <hyperlink ref="C14" location="Page3Line9" display="9."/>
    <hyperlink ref="M14" r:id="rId1" display="13."/>
    <hyperlink ref="C32" location="Page3Line11" display="11."/>
    <hyperlink ref="C34" location="Page3Line13" display="13."/>
    <hyperlink ref="C36" location="Page3Line15" display="15."/>
    <hyperlink ref="C9" location="Page3Line4" display="4."/>
    <hyperlink ref="C35" location="Page3Line14" display="14."/>
  </hyperlinks>
  <pageMargins left="0.75" right="0.75" top="0.5" bottom="0.1" header="0.1" footer="0"/>
  <pageSetup paperSize="5" scale="75" fitToHeight="0" orientation="landscape" r:id="rId2"/>
  <headerFooter alignWithMargins="0">
    <oddFooter>&amp;L&amp;"Times New Roman,Bold"&amp;9Rev. 5/23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showGridLines="0" tabSelected="1" topLeftCell="A10" workbookViewId="0">
      <selection activeCell="S31" sqref="S31"/>
    </sheetView>
  </sheetViews>
  <sheetFormatPr defaultColWidth="8.90625" defaultRowHeight="15"/>
  <cols>
    <col min="1" max="1" width="25.6328125" customWidth="1"/>
    <col min="2" max="2" width="10.54296875" customWidth="1"/>
    <col min="3" max="3" width="3" customWidth="1"/>
    <col min="4" max="9" width="10.90625" customWidth="1"/>
    <col min="10" max="11" width="12.90625" customWidth="1"/>
    <col min="12" max="14" width="10.90625" customWidth="1"/>
    <col min="15" max="15" width="3.453125" style="397" customWidth="1"/>
    <col min="16" max="16" width="3" customWidth="1"/>
    <col min="17" max="18" width="8.90625" customWidth="1"/>
  </cols>
  <sheetData>
    <row r="1" spans="1:16">
      <c r="A1" s="123" t="s">
        <v>71</v>
      </c>
      <c r="B1" s="1456" t="str">
        <f>DistrictName</f>
        <v>MADISON ELEMENTARY SCHOOL DISTRICT</v>
      </c>
      <c r="C1" s="1484"/>
      <c r="D1" s="1484"/>
      <c r="E1" s="1484"/>
      <c r="F1" s="447"/>
      <c r="G1" s="123" t="s">
        <v>72</v>
      </c>
      <c r="H1" s="357" t="str">
        <f>Cover!H1</f>
        <v>MARICOPA</v>
      </c>
      <c r="K1" s="302" t="s">
        <v>73</v>
      </c>
      <c r="L1" s="126" t="str">
        <f>Cover!S1</f>
        <v>070438000</v>
      </c>
      <c r="M1" s="123" t="s">
        <v>74</v>
      </c>
      <c r="N1" s="448" t="str">
        <f>Cover!C8</f>
        <v>Adopted</v>
      </c>
      <c r="O1" s="189"/>
      <c r="P1" s="189"/>
    </row>
    <row r="2" spans="1:16">
      <c r="A2" s="306"/>
      <c r="B2" s="177"/>
      <c r="C2" s="177"/>
      <c r="D2" s="177"/>
      <c r="E2" s="177"/>
      <c r="F2" s="177"/>
      <c r="G2" s="177"/>
      <c r="H2" s="306"/>
      <c r="I2" s="177"/>
      <c r="J2" s="177"/>
      <c r="K2" s="177"/>
      <c r="L2" s="177"/>
      <c r="M2" s="306"/>
      <c r="N2" s="177"/>
      <c r="O2" s="270"/>
      <c r="P2" s="177"/>
    </row>
    <row r="3" spans="1:16" ht="15.6">
      <c r="A3" s="449" t="s">
        <v>274</v>
      </c>
      <c r="B3" s="450"/>
      <c r="C3" s="125"/>
      <c r="D3" s="1515" t="s">
        <v>275</v>
      </c>
      <c r="E3" s="1515"/>
      <c r="F3" s="1515"/>
      <c r="G3" s="1515"/>
      <c r="H3" s="1515"/>
      <c r="I3" s="1515"/>
      <c r="J3" s="1515"/>
      <c r="K3" s="1515"/>
      <c r="L3" s="1515"/>
      <c r="M3" s="1515"/>
      <c r="N3" s="214"/>
      <c r="O3" s="215"/>
      <c r="P3" s="125"/>
    </row>
    <row r="4" spans="1:16" ht="24.6">
      <c r="A4" s="216"/>
      <c r="B4" s="127"/>
      <c r="C4" s="127"/>
      <c r="D4" s="1510" t="s">
        <v>276</v>
      </c>
      <c r="E4" s="452" t="s">
        <v>277</v>
      </c>
      <c r="F4" s="1516" t="s">
        <v>1340</v>
      </c>
      <c r="G4" s="1512" t="s">
        <v>278</v>
      </c>
      <c r="H4" s="1512" t="s">
        <v>279</v>
      </c>
      <c r="I4" s="1512" t="s">
        <v>280</v>
      </c>
      <c r="J4" s="453"/>
      <c r="K4" s="454" t="s">
        <v>141</v>
      </c>
      <c r="L4" s="455"/>
      <c r="M4" s="456"/>
      <c r="N4" s="215"/>
      <c r="O4"/>
    </row>
    <row r="5" spans="1:16" ht="12" customHeight="1">
      <c r="A5" s="134"/>
      <c r="B5" s="122"/>
      <c r="C5" s="122"/>
      <c r="D5" s="1511"/>
      <c r="E5" s="457" t="s">
        <v>281</v>
      </c>
      <c r="F5" s="1517"/>
      <c r="G5" s="1513"/>
      <c r="H5" s="1514"/>
      <c r="I5" s="1514"/>
      <c r="J5" s="458" t="s">
        <v>282</v>
      </c>
      <c r="K5" s="132" t="s">
        <v>148</v>
      </c>
      <c r="L5" s="218" t="s">
        <v>149</v>
      </c>
      <c r="M5" s="218" t="s">
        <v>150</v>
      </c>
      <c r="N5" s="215"/>
      <c r="O5"/>
    </row>
    <row r="6" spans="1:16" ht="12" customHeight="1">
      <c r="A6" s="223" t="s">
        <v>151</v>
      </c>
      <c r="B6" s="125"/>
      <c r="C6" s="122"/>
      <c r="D6" s="1511"/>
      <c r="E6" s="457" t="s">
        <v>283</v>
      </c>
      <c r="F6" s="1517"/>
      <c r="G6" s="1513"/>
      <c r="H6" s="1514"/>
      <c r="I6" s="1514"/>
      <c r="J6" s="458" t="s">
        <v>284</v>
      </c>
      <c r="K6" s="132" t="s">
        <v>3</v>
      </c>
      <c r="L6" s="218" t="s">
        <v>3</v>
      </c>
      <c r="M6" s="218" t="s">
        <v>153</v>
      </c>
      <c r="N6" s="215"/>
      <c r="O6"/>
    </row>
    <row r="7" spans="1:16" ht="24.6">
      <c r="A7" s="225"/>
      <c r="B7" s="226"/>
      <c r="C7" s="227"/>
      <c r="D7" s="228">
        <v>6440</v>
      </c>
      <c r="E7" s="228" t="s">
        <v>285</v>
      </c>
      <c r="F7" s="459">
        <v>6655</v>
      </c>
      <c r="G7" s="228">
        <v>6700</v>
      </c>
      <c r="H7" s="228" t="s">
        <v>286</v>
      </c>
      <c r="I7" s="460" t="s">
        <v>287</v>
      </c>
      <c r="J7" s="461" t="s">
        <v>288</v>
      </c>
      <c r="K7" s="229">
        <v>2023</v>
      </c>
      <c r="L7" s="228">
        <v>2024</v>
      </c>
      <c r="M7" s="228" t="s">
        <v>158</v>
      </c>
      <c r="N7" s="215"/>
      <c r="O7"/>
    </row>
    <row r="8" spans="1:16" ht="13.5" customHeight="1">
      <c r="A8" s="462" t="s">
        <v>289</v>
      </c>
      <c r="B8" s="463"/>
      <c r="C8" s="464" t="s">
        <v>6</v>
      </c>
      <c r="D8" s="1">
        <v>275000</v>
      </c>
      <c r="E8" s="1">
        <v>2500000</v>
      </c>
      <c r="F8" s="1">
        <v>300000</v>
      </c>
      <c r="G8" s="1">
        <v>131281</v>
      </c>
      <c r="H8" s="1">
        <v>0</v>
      </c>
      <c r="I8" s="1">
        <v>0</v>
      </c>
      <c r="J8" s="1">
        <v>375000</v>
      </c>
      <c r="K8" s="465">
        <f>[1]!F610Override</f>
        <v>3449646</v>
      </c>
      <c r="L8" s="466">
        <f>SUM(D8:J8)</f>
        <v>3581281</v>
      </c>
      <c r="M8" s="467">
        <f>IF(K8=L8,0,IF(K8&gt;0,(L8-K8)/K8,""))</f>
        <v>3.7999999999999999E-2</v>
      </c>
      <c r="N8" s="468" t="s">
        <v>6</v>
      </c>
      <c r="O8"/>
    </row>
    <row r="9" spans="1:16" ht="12" customHeight="1">
      <c r="A9" s="469" t="s">
        <v>290</v>
      </c>
      <c r="B9" s="284"/>
      <c r="C9" s="470"/>
      <c r="D9" s="471"/>
      <c r="E9" s="471"/>
      <c r="F9" s="1504"/>
      <c r="G9" s="472"/>
      <c r="H9" s="1504"/>
      <c r="I9" s="1502"/>
      <c r="J9" s="466"/>
      <c r="K9" s="1508">
        <f>[1]!F610F1000</f>
        <v>8276080</v>
      </c>
      <c r="L9" s="1507">
        <f>SUM(D10:J10)</f>
        <v>7510000</v>
      </c>
      <c r="M9" s="1454">
        <f>IF(K9=L9,0,IF(K9&gt;0,(L9-K9)/K9,""))</f>
        <v>-9.2999999999999999E-2</v>
      </c>
      <c r="N9" s="473"/>
      <c r="O9"/>
    </row>
    <row r="10" spans="1:16" ht="12" customHeight="1">
      <c r="A10" s="134" t="s">
        <v>291</v>
      </c>
      <c r="B10" s="122"/>
      <c r="C10" s="474" t="s">
        <v>9</v>
      </c>
      <c r="D10" s="39">
        <v>10000</v>
      </c>
      <c r="E10" s="39">
        <v>5500000</v>
      </c>
      <c r="F10" s="1505"/>
      <c r="G10" s="40">
        <v>2000000</v>
      </c>
      <c r="H10" s="1505"/>
      <c r="I10" s="1503"/>
      <c r="J10" s="1">
        <v>0</v>
      </c>
      <c r="K10" s="1509"/>
      <c r="L10" s="1459"/>
      <c r="M10" s="1506">
        <f t="shared" ref="M10:M12" si="0">IF(K10=L10,0,IF(K10&gt;0,(L10-K10)/K10,"--"))</f>
        <v>0</v>
      </c>
      <c r="N10" s="468" t="s">
        <v>9</v>
      </c>
      <c r="O10"/>
    </row>
    <row r="11" spans="1:16" ht="12" customHeight="1">
      <c r="A11" s="134" t="s">
        <v>292</v>
      </c>
      <c r="B11" s="122"/>
      <c r="D11" s="471"/>
      <c r="E11" s="471"/>
      <c r="F11" s="475"/>
      <c r="G11" s="476"/>
      <c r="H11" s="1504"/>
      <c r="I11" s="1502"/>
      <c r="J11" s="1386"/>
      <c r="K11" s="1507">
        <f>[1]!F610F21002200</f>
        <v>580000</v>
      </c>
      <c r="L11" s="1507">
        <f>SUM(D12:J12)</f>
        <v>880000</v>
      </c>
      <c r="M11" s="1454">
        <f>IF(K11=L11,0,IF(K11&gt;0,(L11-K11)/K11,""))</f>
        <v>0.51700000000000002</v>
      </c>
      <c r="N11" s="477"/>
      <c r="O11"/>
    </row>
    <row r="12" spans="1:16" ht="12" customHeight="1">
      <c r="A12" s="134" t="s">
        <v>293</v>
      </c>
      <c r="B12" s="122"/>
      <c r="C12" s="474" t="s">
        <v>24</v>
      </c>
      <c r="D12" s="10">
        <v>255000</v>
      </c>
      <c r="E12" s="10">
        <v>175000</v>
      </c>
      <c r="F12" s="110">
        <v>150000</v>
      </c>
      <c r="G12" s="41">
        <v>300000</v>
      </c>
      <c r="H12" s="1505"/>
      <c r="I12" s="1503"/>
      <c r="J12" s="1">
        <v>0</v>
      </c>
      <c r="K12" s="1463"/>
      <c r="L12" s="1459"/>
      <c r="M12" s="1506">
        <f t="shared" si="0"/>
        <v>0</v>
      </c>
      <c r="N12" s="468" t="s">
        <v>24</v>
      </c>
      <c r="O12"/>
    </row>
    <row r="13" spans="1:16" ht="12" customHeight="1">
      <c r="A13" s="134" t="s">
        <v>294</v>
      </c>
      <c r="B13" s="122"/>
      <c r="C13" s="474" t="s">
        <v>51</v>
      </c>
      <c r="D13" s="1">
        <v>0</v>
      </c>
      <c r="E13" s="479"/>
      <c r="F13" s="110">
        <v>150000</v>
      </c>
      <c r="G13" s="1">
        <f>-316+450000</f>
        <v>449684</v>
      </c>
      <c r="H13" s="479"/>
      <c r="I13" s="1">
        <v>0</v>
      </c>
      <c r="J13" s="1">
        <v>0</v>
      </c>
      <c r="K13" s="465">
        <f>[1]!F610F2300240025002900</f>
        <v>565022</v>
      </c>
      <c r="L13" s="466">
        <f t="shared" ref="L13:L18" si="1">SUM(D13:J13)</f>
        <v>599684</v>
      </c>
      <c r="M13" s="264">
        <f t="shared" ref="M13:M19" si="2">IF(K13=L13,0,IF(K13&gt;0,(L13-K13)/K13,""))</f>
        <v>6.0999999999999999E-2</v>
      </c>
      <c r="N13" s="468" t="s">
        <v>51</v>
      </c>
      <c r="O13"/>
    </row>
    <row r="14" spans="1:16" ht="12" customHeight="1">
      <c r="A14" s="134" t="s">
        <v>295</v>
      </c>
      <c r="B14" s="122"/>
      <c r="C14" s="474" t="s">
        <v>166</v>
      </c>
      <c r="D14" s="1">
        <v>10000</v>
      </c>
      <c r="E14" s="479"/>
      <c r="F14" s="110">
        <v>150000</v>
      </c>
      <c r="G14" s="1">
        <v>300000</v>
      </c>
      <c r="H14" s="479"/>
      <c r="I14" s="479"/>
      <c r="J14" s="1">
        <v>0</v>
      </c>
      <c r="K14" s="465">
        <f>[1]!F610F2600</f>
        <v>360000</v>
      </c>
      <c r="L14" s="466">
        <f t="shared" si="1"/>
        <v>460000</v>
      </c>
      <c r="M14" s="264">
        <f t="shared" si="2"/>
        <v>0.27800000000000002</v>
      </c>
      <c r="N14" s="468" t="s">
        <v>166</v>
      </c>
      <c r="O14"/>
    </row>
    <row r="15" spans="1:16" ht="12" customHeight="1">
      <c r="A15" s="134" t="s">
        <v>296</v>
      </c>
      <c r="B15" s="122"/>
      <c r="C15" s="474" t="s">
        <v>168</v>
      </c>
      <c r="D15" s="1">
        <v>0</v>
      </c>
      <c r="E15" s="479"/>
      <c r="F15" s="110">
        <v>50000</v>
      </c>
      <c r="G15" s="1">
        <v>208000</v>
      </c>
      <c r="H15" s="479"/>
      <c r="I15" s="479"/>
      <c r="J15" s="1">
        <v>0</v>
      </c>
      <c r="K15" s="480">
        <f>[1]!F610F2700</f>
        <v>213000</v>
      </c>
      <c r="L15" s="466">
        <f t="shared" si="1"/>
        <v>258000</v>
      </c>
      <c r="M15" s="264">
        <f t="shared" si="2"/>
        <v>0.21099999999999999</v>
      </c>
      <c r="N15" s="468" t="s">
        <v>168</v>
      </c>
      <c r="O15"/>
    </row>
    <row r="16" spans="1:16" ht="12" customHeight="1">
      <c r="A16" s="134" t="s">
        <v>297</v>
      </c>
      <c r="B16" s="122"/>
      <c r="C16" s="474" t="s">
        <v>170</v>
      </c>
      <c r="D16" s="1">
        <v>0</v>
      </c>
      <c r="E16" s="479"/>
      <c r="F16" s="110">
        <v>0</v>
      </c>
      <c r="G16" s="1">
        <v>250000</v>
      </c>
      <c r="H16" s="479"/>
      <c r="I16" s="479"/>
      <c r="J16" s="1">
        <v>0</v>
      </c>
      <c r="K16" s="480">
        <f>[1]!F610F3000</f>
        <v>250000</v>
      </c>
      <c r="L16" s="466">
        <f t="shared" si="1"/>
        <v>250000</v>
      </c>
      <c r="M16" s="264">
        <f t="shared" si="2"/>
        <v>0</v>
      </c>
      <c r="N16" s="468" t="s">
        <v>170</v>
      </c>
      <c r="O16"/>
    </row>
    <row r="17" spans="1:16" ht="12" customHeight="1">
      <c r="A17" s="134" t="s">
        <v>298</v>
      </c>
      <c r="B17" s="122"/>
      <c r="C17" s="474" t="s">
        <v>172</v>
      </c>
      <c r="D17" s="1">
        <v>0</v>
      </c>
      <c r="E17" s="479"/>
      <c r="F17" s="110">
        <v>0</v>
      </c>
      <c r="G17" s="1">
        <v>500000</v>
      </c>
      <c r="H17" s="479"/>
      <c r="I17" s="479"/>
      <c r="J17" s="1">
        <v>2500000</v>
      </c>
      <c r="K17" s="480">
        <f>[1]!F610F4000</f>
        <v>2051612</v>
      </c>
      <c r="L17" s="466">
        <f t="shared" si="1"/>
        <v>3000000</v>
      </c>
      <c r="M17" s="264">
        <f t="shared" si="2"/>
        <v>0.46200000000000002</v>
      </c>
      <c r="N17" s="468" t="s">
        <v>172</v>
      </c>
      <c r="O17"/>
    </row>
    <row r="18" spans="1:16" ht="12" customHeight="1">
      <c r="A18" s="134" t="s">
        <v>299</v>
      </c>
      <c r="B18" s="122"/>
      <c r="C18" s="474" t="s">
        <v>174</v>
      </c>
      <c r="D18" s="479"/>
      <c r="E18" s="479"/>
      <c r="F18" s="479"/>
      <c r="G18" s="479"/>
      <c r="H18" s="1">
        <v>0</v>
      </c>
      <c r="I18" s="1">
        <v>0</v>
      </c>
      <c r="J18" s="479"/>
      <c r="K18" s="480">
        <f>[1]!F610F5000</f>
        <v>0</v>
      </c>
      <c r="L18" s="466">
        <f t="shared" si="1"/>
        <v>0</v>
      </c>
      <c r="M18" s="264">
        <f t="shared" si="2"/>
        <v>0</v>
      </c>
      <c r="N18" s="468" t="s">
        <v>174</v>
      </c>
      <c r="O18"/>
    </row>
    <row r="19" spans="1:16" ht="12" customHeight="1">
      <c r="A19" s="255" t="s">
        <v>300</v>
      </c>
      <c r="B19" s="481"/>
      <c r="C19" s="482" t="s">
        <v>176</v>
      </c>
      <c r="D19" s="483">
        <f t="shared" ref="D19:J19" si="3">D10+SUM(D12:D18)</f>
        <v>275000</v>
      </c>
      <c r="E19" s="483">
        <f t="shared" si="3"/>
        <v>5675000</v>
      </c>
      <c r="F19" s="483">
        <f>F8+SUM(F11:F18)</f>
        <v>800000</v>
      </c>
      <c r="G19" s="483">
        <f t="shared" si="3"/>
        <v>4007684</v>
      </c>
      <c r="H19" s="483">
        <f t="shared" si="3"/>
        <v>0</v>
      </c>
      <c r="I19" s="483">
        <f t="shared" si="3"/>
        <v>0</v>
      </c>
      <c r="J19" s="483">
        <f t="shared" si="3"/>
        <v>2500000</v>
      </c>
      <c r="K19" s="483">
        <f>SUM(K9:K18)</f>
        <v>12295714</v>
      </c>
      <c r="L19" s="483">
        <f>SUM(L9:L18)</f>
        <v>12957684</v>
      </c>
      <c r="M19" s="484">
        <f t="shared" si="2"/>
        <v>5.3999999999999999E-2</v>
      </c>
      <c r="N19" s="468" t="s">
        <v>176</v>
      </c>
      <c r="O19"/>
    </row>
    <row r="20" spans="1:16" ht="12" customHeight="1">
      <c r="A20" s="122"/>
      <c r="B20" s="122"/>
      <c r="C20" s="485"/>
      <c r="D20" s="427"/>
      <c r="E20" s="427"/>
      <c r="F20" s="427"/>
      <c r="G20" s="427"/>
      <c r="H20" s="427"/>
      <c r="I20" s="427"/>
      <c r="J20" s="427"/>
      <c r="K20" s="427"/>
      <c r="L20" s="427"/>
      <c r="M20" s="486"/>
      <c r="N20" s="249"/>
      <c r="O20" s="487"/>
    </row>
    <row r="21" spans="1:16" ht="12" customHeight="1">
      <c r="A21" s="122"/>
      <c r="B21" s="122"/>
      <c r="C21" s="485"/>
      <c r="D21" s="427"/>
      <c r="F21" s="1518"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518"/>
      <c r="H21" s="1518"/>
      <c r="I21" s="1518"/>
      <c r="J21" s="1518"/>
      <c r="K21" s="1518"/>
      <c r="L21" s="1518"/>
      <c r="M21" s="1518"/>
      <c r="N21" s="488"/>
      <c r="O21" s="488"/>
      <c r="P21" s="488"/>
    </row>
    <row r="22" spans="1:16" ht="12" customHeight="1">
      <c r="O22" s="249"/>
      <c r="P22" s="474"/>
    </row>
    <row r="23" spans="1:16" ht="11.25" customHeight="1">
      <c r="A23" s="1522" t="s">
        <v>301</v>
      </c>
      <c r="B23" s="1523"/>
      <c r="C23" s="1523"/>
      <c r="D23" s="1523"/>
      <c r="E23" s="241" t="s">
        <v>302</v>
      </c>
      <c r="F23" s="153" t="s">
        <v>303</v>
      </c>
      <c r="G23" s="153"/>
      <c r="H23" s="153"/>
      <c r="I23" s="153"/>
      <c r="J23" s="153"/>
      <c r="K23" s="155"/>
      <c r="L23" s="132"/>
      <c r="M23" s="122"/>
      <c r="N23" s="132"/>
    </row>
    <row r="24" spans="1:16" ht="11.25" customHeight="1">
      <c r="A24" s="1523"/>
      <c r="B24" s="1523"/>
      <c r="C24" s="1523"/>
      <c r="D24" s="1523"/>
      <c r="G24" s="350"/>
      <c r="H24" s="350"/>
      <c r="I24" s="350"/>
      <c r="J24" s="350"/>
      <c r="K24" s="350"/>
      <c r="L24" s="132"/>
      <c r="M24" s="122"/>
      <c r="N24" s="132"/>
    </row>
    <row r="25" spans="1:16" ht="12.75" customHeight="1">
      <c r="A25" s="1523"/>
      <c r="B25" s="1523"/>
      <c r="C25" s="1523"/>
      <c r="D25" s="1523"/>
      <c r="F25" s="122" t="s">
        <v>304</v>
      </c>
      <c r="G25" s="122"/>
      <c r="H25" s="122"/>
      <c r="I25" s="122"/>
      <c r="J25" s="122"/>
      <c r="L25" s="122"/>
      <c r="M25" s="122"/>
      <c r="N25" s="122"/>
    </row>
    <row r="26" spans="1:16" ht="12" customHeight="1">
      <c r="A26" s="350"/>
      <c r="B26" s="350"/>
      <c r="C26" s="350"/>
      <c r="D26" s="350"/>
      <c r="F26" s="122" t="s">
        <v>305</v>
      </c>
      <c r="G26" s="122"/>
      <c r="H26" s="122"/>
      <c r="I26" s="122"/>
      <c r="J26" s="122"/>
      <c r="K26" s="29">
        <v>0</v>
      </c>
      <c r="M26" s="122"/>
      <c r="N26" s="490"/>
    </row>
    <row r="27" spans="1:16" ht="11.25" customHeight="1">
      <c r="A27" s="122" t="s">
        <v>306</v>
      </c>
      <c r="B27" s="122"/>
      <c r="C27" s="122"/>
      <c r="D27" s="122"/>
      <c r="E27" s="122"/>
      <c r="G27" s="122"/>
      <c r="H27" s="122"/>
      <c r="I27" s="122"/>
      <c r="J27" s="122"/>
      <c r="K27" s="122"/>
      <c r="L27" s="175"/>
      <c r="M27" s="175"/>
      <c r="N27" s="175"/>
    </row>
    <row r="28" spans="1:16" ht="11.25" customHeight="1">
      <c r="A28" s="122"/>
      <c r="B28" s="1520" t="s">
        <v>307</v>
      </c>
      <c r="C28" s="122"/>
      <c r="D28" s="1520"/>
      <c r="G28" s="488"/>
      <c r="H28" s="488"/>
      <c r="I28" s="488"/>
      <c r="J28" s="488"/>
      <c r="K28" s="488"/>
      <c r="L28" s="122"/>
    </row>
    <row r="29" spans="1:16" ht="11.25" customHeight="1">
      <c r="A29" s="122"/>
      <c r="B29" s="1521"/>
      <c r="C29" s="122"/>
      <c r="D29" s="1520"/>
      <c r="H29" s="488"/>
      <c r="I29" s="488"/>
      <c r="J29" s="488"/>
      <c r="K29" s="488"/>
    </row>
    <row r="30" spans="1:16" ht="11.25" customHeight="1">
      <c r="A30" s="122" t="s">
        <v>308</v>
      </c>
      <c r="B30" s="28">
        <v>175000</v>
      </c>
      <c r="C30" s="233"/>
      <c r="D30" s="423"/>
      <c r="E30" s="241" t="s">
        <v>309</v>
      </c>
      <c r="F30" s="1519" t="s">
        <v>310</v>
      </c>
      <c r="G30" s="1519"/>
      <c r="H30" s="1519"/>
      <c r="I30" s="1519"/>
      <c r="J30" s="1519"/>
      <c r="K30" s="488"/>
      <c r="L30" s="491"/>
      <c r="M30" s="488"/>
      <c r="N30" s="488"/>
      <c r="O30" s="130"/>
    </row>
    <row r="31" spans="1:16" ht="11.25" customHeight="1">
      <c r="A31" s="122" t="s">
        <v>311</v>
      </c>
      <c r="B31" s="17">
        <f>5500000-750000</f>
        <v>4750000</v>
      </c>
      <c r="C31" s="233"/>
      <c r="D31" s="423"/>
      <c r="F31" s="1519"/>
      <c r="G31" s="1519"/>
      <c r="H31" s="1519"/>
      <c r="I31" s="1519"/>
      <c r="J31" s="1519"/>
      <c r="K31" s="29">
        <v>0</v>
      </c>
      <c r="M31" s="488"/>
      <c r="N31" s="488"/>
    </row>
    <row r="32" spans="1:16" ht="11.25" customHeight="1">
      <c r="A32" s="122" t="s">
        <v>312</v>
      </c>
      <c r="B32" s="17">
        <v>750000</v>
      </c>
      <c r="C32" s="233"/>
      <c r="D32" s="423"/>
      <c r="G32" s="488"/>
      <c r="H32" s="488"/>
      <c r="I32" s="488"/>
      <c r="J32" s="488"/>
      <c r="K32" s="488"/>
      <c r="L32" s="488"/>
      <c r="M32" s="488"/>
      <c r="N32" s="488"/>
    </row>
    <row r="33" spans="1:16" ht="11.25" customHeight="1">
      <c r="A33" s="122" t="s">
        <v>313</v>
      </c>
      <c r="B33" s="25">
        <v>2007684</v>
      </c>
      <c r="C33" s="233"/>
      <c r="D33" s="423"/>
      <c r="G33" s="493"/>
      <c r="H33" s="493"/>
      <c r="I33" s="493"/>
      <c r="J33" s="493"/>
      <c r="K33" s="493"/>
      <c r="L33" s="494"/>
      <c r="M33" s="488"/>
      <c r="N33" s="488"/>
    </row>
    <row r="34" spans="1:16" ht="12" customHeight="1">
      <c r="A34" s="122" t="s">
        <v>314</v>
      </c>
      <c r="B34" s="17">
        <v>0</v>
      </c>
      <c r="C34" s="233"/>
      <c r="D34" s="423"/>
      <c r="E34" s="122"/>
      <c r="G34" s="493"/>
      <c r="H34" s="493"/>
      <c r="I34" s="493"/>
      <c r="J34" s="493"/>
      <c r="K34" s="493"/>
      <c r="M34" s="488"/>
      <c r="N34" s="488"/>
    </row>
    <row r="35" spans="1:16" s="498" customFormat="1" ht="10.5" customHeight="1">
      <c r="A35" s="122" t="s">
        <v>315</v>
      </c>
      <c r="B35" s="25">
        <v>2000000</v>
      </c>
      <c r="C35" s="495"/>
      <c r="D35" s="496"/>
      <c r="E35" s="497"/>
      <c r="F35"/>
      <c r="G35" s="495"/>
      <c r="H35" s="497"/>
      <c r="I35" s="497"/>
      <c r="J35" s="497"/>
      <c r="K35" s="497"/>
      <c r="L35" s="497"/>
    </row>
    <row r="36" spans="1:16" ht="10.5" customHeight="1">
      <c r="A36" s="122"/>
      <c r="B36" s="122"/>
      <c r="C36" s="233"/>
      <c r="D36" s="122"/>
      <c r="E36" s="122"/>
      <c r="G36" s="235"/>
      <c r="H36" s="122"/>
      <c r="I36" s="122"/>
      <c r="J36" s="122"/>
      <c r="K36" s="122"/>
      <c r="L36" s="122"/>
    </row>
    <row r="37" spans="1:16" ht="11.25" customHeight="1">
      <c r="A37" s="122" t="s">
        <v>316</v>
      </c>
      <c r="B37" s="122"/>
      <c r="C37" s="235"/>
      <c r="D37" s="34">
        <v>0</v>
      </c>
      <c r="E37" s="122" t="s">
        <v>317</v>
      </c>
      <c r="G37" s="34">
        <v>0</v>
      </c>
      <c r="H37" s="122" t="s">
        <v>318</v>
      </c>
      <c r="I37" s="122"/>
      <c r="J37" s="34">
        <v>0</v>
      </c>
      <c r="K37" t="s">
        <v>55</v>
      </c>
    </row>
    <row r="38" spans="1:16" ht="6" customHeight="1">
      <c r="A38" s="122"/>
      <c r="B38" s="122"/>
      <c r="C38" s="233"/>
      <c r="D38" s="122"/>
      <c r="E38" s="122"/>
      <c r="G38" s="122"/>
      <c r="H38" s="122"/>
      <c r="I38" s="122"/>
      <c r="J38" s="499"/>
    </row>
    <row r="39" spans="1:16" ht="11.25" customHeight="1">
      <c r="A39" s="122" t="s">
        <v>319</v>
      </c>
      <c r="B39" s="122"/>
      <c r="C39" s="235"/>
      <c r="D39" s="34">
        <v>0</v>
      </c>
      <c r="E39" s="122" t="s">
        <v>320</v>
      </c>
      <c r="G39" s="34">
        <v>0</v>
      </c>
      <c r="H39" s="122" t="s">
        <v>321</v>
      </c>
      <c r="I39" s="122"/>
      <c r="J39" s="34">
        <v>0</v>
      </c>
      <c r="K39" t="s">
        <v>55</v>
      </c>
    </row>
    <row r="40" spans="1:16" ht="11.25" customHeight="1">
      <c r="A40" s="122"/>
      <c r="B40" s="122"/>
      <c r="C40" s="233"/>
      <c r="G40" s="235"/>
    </row>
    <row r="41" spans="1:16" ht="11.25" customHeight="1">
      <c r="A41" s="122"/>
      <c r="B41" s="122"/>
      <c r="C41" s="233"/>
      <c r="G41" s="235"/>
    </row>
    <row r="42" spans="1:16" ht="11.25" customHeight="1">
      <c r="A42" s="122"/>
      <c r="B42" s="122"/>
      <c r="C42" s="233"/>
      <c r="G42" s="235"/>
      <c r="P42" s="474"/>
    </row>
  </sheetData>
  <sheetProtection sheet="1" formatCells="0" formatColumns="0" formatRows="0"/>
  <mergeCells count="23">
    <mergeCell ref="F21:M21"/>
    <mergeCell ref="F30:J31"/>
    <mergeCell ref="B28:B29"/>
    <mergeCell ref="D28:D29"/>
    <mergeCell ref="A23:D25"/>
    <mergeCell ref="B1:E1"/>
    <mergeCell ref="D4:D6"/>
    <mergeCell ref="G4:G6"/>
    <mergeCell ref="H4:H6"/>
    <mergeCell ref="I4:I6"/>
    <mergeCell ref="D3:M3"/>
    <mergeCell ref="F4:F6"/>
    <mergeCell ref="M11:M12"/>
    <mergeCell ref="K11:K12"/>
    <mergeCell ref="M9:M10"/>
    <mergeCell ref="L9:L10"/>
    <mergeCell ref="K9:K10"/>
    <mergeCell ref="L11:L12"/>
    <mergeCell ref="I11:I12"/>
    <mergeCell ref="H11:H12"/>
    <mergeCell ref="I9:I10"/>
    <mergeCell ref="H9:H10"/>
    <mergeCell ref="F9:F10"/>
  </mergeCells>
  <hyperlinks>
    <hyperlink ref="E23" location="Page4f5" display="(5)"/>
    <hyperlink ref="C19" location="Page4L10" display="10."/>
    <hyperlink ref="E30" location="DataEntryUSCSCAl7" display="(7)"/>
  </hyperlinks>
  <pageMargins left="0.25" right="0.25" top="0.25" bottom="0.25" header="0" footer="0.15"/>
  <pageSetup paperSize="5" scale="89" orientation="landscape" r:id="rId1"/>
  <headerFooter alignWithMargins="0">
    <oddFooter>&amp;L&amp;"Times New Roman,Bold"&amp;9Rev. 5/23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showGridLines="0" tabSelected="1" topLeftCell="A5" workbookViewId="0">
      <selection activeCell="S31" sqref="S31"/>
    </sheetView>
  </sheetViews>
  <sheetFormatPr defaultColWidth="8.90625" defaultRowHeight="15"/>
  <cols>
    <col min="1" max="1" width="20" customWidth="1"/>
    <col min="2" max="2" width="19.81640625" customWidth="1"/>
    <col min="3" max="3" width="3" customWidth="1"/>
    <col min="4" max="5" width="10.90625" customWidth="1"/>
    <col min="12" max="12" width="2.90625" customWidth="1"/>
    <col min="13" max="13" width="7.54296875" customWidth="1"/>
    <col min="14" max="14" width="11.90625" customWidth="1"/>
  </cols>
  <sheetData>
    <row r="1" spans="1:15">
      <c r="A1" s="123" t="s">
        <v>71</v>
      </c>
      <c r="B1" s="1456" t="str">
        <f>DistrictName</f>
        <v>MADISON ELEMENTARY SCHOOL DISTRICT</v>
      </c>
      <c r="C1" s="1472"/>
      <c r="D1" s="1472"/>
      <c r="E1" s="1472"/>
      <c r="F1" s="177"/>
      <c r="G1" s="123" t="s">
        <v>72</v>
      </c>
      <c r="H1" s="124" t="str">
        <f>Cover!H1</f>
        <v>MARICOPA</v>
      </c>
      <c r="I1" s="270"/>
      <c r="J1" s="123" t="s">
        <v>73</v>
      </c>
      <c r="K1" s="126" t="str">
        <f>Cover!S1</f>
        <v>070438000</v>
      </c>
      <c r="L1" s="189"/>
      <c r="M1" s="123" t="s">
        <v>74</v>
      </c>
      <c r="N1" s="210" t="str">
        <f>Cover!C8</f>
        <v>Adopted</v>
      </c>
    </row>
    <row r="2" spans="1:15" ht="15.6">
      <c r="A2" s="306"/>
      <c r="B2" s="177"/>
      <c r="C2" s="177"/>
      <c r="D2" s="177"/>
      <c r="E2" s="177"/>
      <c r="F2" s="177"/>
      <c r="G2" s="306"/>
      <c r="H2" s="177"/>
      <c r="I2" s="177"/>
      <c r="J2" s="177"/>
      <c r="K2" s="306"/>
      <c r="L2" s="177"/>
      <c r="O2" s="125"/>
    </row>
    <row r="3" spans="1:15" ht="15.6">
      <c r="A3" s="500" t="s">
        <v>322</v>
      </c>
      <c r="B3" s="500"/>
      <c r="C3" s="500"/>
      <c r="D3" s="500"/>
      <c r="E3" s="500"/>
      <c r="F3" s="500"/>
      <c r="G3" s="500"/>
      <c r="H3" s="500"/>
      <c r="I3" s="500"/>
      <c r="J3" s="372"/>
      <c r="K3" s="372"/>
      <c r="L3" s="132"/>
      <c r="M3" s="132"/>
      <c r="N3" s="132"/>
      <c r="O3" s="125"/>
    </row>
    <row r="4" spans="1:15" ht="15.6">
      <c r="A4" s="354"/>
      <c r="B4" s="354"/>
      <c r="C4" s="354"/>
      <c r="D4" s="372"/>
      <c r="E4" s="501"/>
      <c r="F4" s="502"/>
      <c r="G4" s="502"/>
      <c r="H4" s="502"/>
      <c r="I4" s="502"/>
      <c r="J4" s="502"/>
      <c r="K4" s="502"/>
      <c r="L4" s="132"/>
      <c r="M4" s="503"/>
      <c r="N4" s="503"/>
      <c r="O4" s="125"/>
    </row>
    <row r="5" spans="1:15">
      <c r="A5" s="504"/>
      <c r="B5" s="505"/>
      <c r="C5" s="506"/>
      <c r="D5" s="1533" t="s">
        <v>323</v>
      </c>
      <c r="E5" s="1534"/>
      <c r="F5" s="1535" t="s">
        <v>324</v>
      </c>
      <c r="G5" s="1535"/>
      <c r="H5" s="1535" t="s">
        <v>325</v>
      </c>
      <c r="I5" s="1535"/>
      <c r="J5" s="1524" t="s">
        <v>326</v>
      </c>
      <c r="K5" s="1525"/>
      <c r="L5" s="507"/>
      <c r="M5" s="233"/>
    </row>
    <row r="6" spans="1:15">
      <c r="A6" s="508" t="s">
        <v>151</v>
      </c>
      <c r="B6" s="509"/>
      <c r="C6" s="510"/>
      <c r="D6" s="1528" t="s">
        <v>327</v>
      </c>
      <c r="E6" s="1529"/>
      <c r="F6" s="1530" t="s">
        <v>328</v>
      </c>
      <c r="G6" s="1530"/>
      <c r="H6" s="1530" t="s">
        <v>329</v>
      </c>
      <c r="I6" s="1530"/>
      <c r="J6" s="1526" t="s">
        <v>330</v>
      </c>
      <c r="K6" s="1527"/>
      <c r="L6" s="423"/>
    </row>
    <row r="7" spans="1:15">
      <c r="A7" s="511"/>
      <c r="B7" s="512"/>
      <c r="C7" s="513"/>
      <c r="D7" s="381" t="s">
        <v>215</v>
      </c>
      <c r="E7" s="514" t="s">
        <v>216</v>
      </c>
      <c r="F7" s="381" t="s">
        <v>215</v>
      </c>
      <c r="G7" s="514" t="s">
        <v>216</v>
      </c>
      <c r="H7" s="381" t="s">
        <v>215</v>
      </c>
      <c r="I7" s="514" t="s">
        <v>216</v>
      </c>
      <c r="J7" s="515" t="s">
        <v>215</v>
      </c>
      <c r="K7" s="516" t="s">
        <v>216</v>
      </c>
      <c r="L7" s="122"/>
      <c r="M7" s="235"/>
    </row>
    <row r="8" spans="1:15" ht="13.5" customHeight="1">
      <c r="A8" s="517" t="s">
        <v>331</v>
      </c>
      <c r="B8" s="518"/>
      <c r="C8" s="519" t="s">
        <v>6</v>
      </c>
      <c r="D8" s="520">
        <f>F610TotalCurrFY</f>
        <v>12295714</v>
      </c>
      <c r="E8" s="521">
        <f>F610TotalBudgFY</f>
        <v>12957684</v>
      </c>
      <c r="F8" s="521">
        <f>[1]!F630TotalBudgFY</f>
        <v>81000000</v>
      </c>
      <c r="G8" s="119">
        <v>52000000</v>
      </c>
      <c r="H8" s="521">
        <f>[1]!F695TotalBudgFY</f>
        <v>0</v>
      </c>
      <c r="I8" s="119">
        <v>0</v>
      </c>
      <c r="J8" s="522">
        <f>[1]!F620TotalBudgFY</f>
        <v>2030594</v>
      </c>
      <c r="K8" s="63">
        <v>2060000</v>
      </c>
      <c r="L8" s="523" t="s">
        <v>6</v>
      </c>
      <c r="M8" s="233"/>
    </row>
    <row r="9" spans="1:15" ht="13.5" customHeight="1">
      <c r="A9" s="524" t="s">
        <v>332</v>
      </c>
      <c r="B9" s="505"/>
      <c r="C9" s="519"/>
      <c r="D9" s="388"/>
      <c r="E9" s="525"/>
      <c r="F9" s="525"/>
      <c r="G9" s="526"/>
      <c r="H9" s="525"/>
      <c r="I9" s="526"/>
      <c r="J9" s="527"/>
      <c r="K9" s="528"/>
      <c r="L9" s="523"/>
      <c r="M9" s="235"/>
    </row>
    <row r="10" spans="1:15" ht="13.5" customHeight="1">
      <c r="A10" s="529" t="s">
        <v>333</v>
      </c>
      <c r="B10" s="356"/>
      <c r="C10" s="530" t="s">
        <v>9</v>
      </c>
      <c r="D10" s="521">
        <f>[1]!F610BudgFYO6150</f>
        <v>0</v>
      </c>
      <c r="E10" s="44">
        <v>0</v>
      </c>
      <c r="F10" s="521">
        <f>[1]!F630BudgFYO6150</f>
        <v>115000</v>
      </c>
      <c r="G10" s="44">
        <v>120000</v>
      </c>
      <c r="H10" s="521">
        <f>[1]!F695BudgFYO6150</f>
        <v>0</v>
      </c>
      <c r="I10" s="44">
        <v>0</v>
      </c>
      <c r="J10" s="521">
        <f>[1]!F620BudgFYO6150</f>
        <v>0</v>
      </c>
      <c r="K10" s="55">
        <v>0</v>
      </c>
      <c r="L10" s="445" t="s">
        <v>9</v>
      </c>
      <c r="M10" s="235"/>
    </row>
    <row r="11" spans="1:15" ht="13.5" customHeight="1">
      <c r="A11" s="529" t="s">
        <v>334</v>
      </c>
      <c r="B11" s="356"/>
      <c r="C11" s="530" t="s">
        <v>24</v>
      </c>
      <c r="D11" s="531">
        <f>[1]!F610BudgFYO6200</f>
        <v>0</v>
      </c>
      <c r="E11" s="45">
        <v>0</v>
      </c>
      <c r="F11" s="398">
        <f>[1]!F630BudgFYO6200</f>
        <v>34800</v>
      </c>
      <c r="G11" s="45">
        <f>(120000*0.24)+7200</f>
        <v>36000</v>
      </c>
      <c r="H11" s="398">
        <f>[1]!F695BudgFYO6200</f>
        <v>0</v>
      </c>
      <c r="I11" s="45">
        <v>0</v>
      </c>
      <c r="J11" s="398">
        <f>[1]!F620BudgFYO6200</f>
        <v>0</v>
      </c>
      <c r="K11" s="23">
        <v>0</v>
      </c>
      <c r="L11" s="445" t="s">
        <v>24</v>
      </c>
      <c r="M11" s="249"/>
    </row>
    <row r="12" spans="1:15" ht="13.5" customHeight="1">
      <c r="A12" s="529" t="s">
        <v>335</v>
      </c>
      <c r="B12" s="356"/>
      <c r="C12" s="530" t="s">
        <v>51</v>
      </c>
      <c r="D12" s="531">
        <f>[1]!F610BudgFYO6450</f>
        <v>0</v>
      </c>
      <c r="E12" s="45">
        <v>2500000</v>
      </c>
      <c r="F12" s="398">
        <f>[1]!F630BudgFYO6450</f>
        <v>60000000</v>
      </c>
      <c r="G12" s="45">
        <f>52000000-6656000</f>
        <v>45344000</v>
      </c>
      <c r="H12" s="398">
        <f>[1]!F695BudgFYO6450</f>
        <v>0</v>
      </c>
      <c r="I12" s="45">
        <v>0</v>
      </c>
      <c r="J12" s="398">
        <f>[1]!F620BudgFYO6450</f>
        <v>2030594</v>
      </c>
      <c r="K12" s="23">
        <v>2060000</v>
      </c>
      <c r="L12" s="445" t="s">
        <v>51</v>
      </c>
      <c r="M12" s="249"/>
    </row>
    <row r="13" spans="1:15" ht="13.5" customHeight="1">
      <c r="A13" s="529" t="s">
        <v>336</v>
      </c>
      <c r="B13" s="356"/>
      <c r="C13" s="530" t="s">
        <v>166</v>
      </c>
      <c r="D13" s="531">
        <f>[1]!F610BudgFYO6710</f>
        <v>0</v>
      </c>
      <c r="E13" s="45">
        <v>0</v>
      </c>
      <c r="F13" s="398">
        <f>[1]!F630BudgFYO6710</f>
        <v>0</v>
      </c>
      <c r="G13" s="45">
        <v>0</v>
      </c>
      <c r="H13" s="398">
        <f>[1]!F695BudgFYO6710</f>
        <v>0</v>
      </c>
      <c r="I13" s="45">
        <v>0</v>
      </c>
      <c r="J13" s="398">
        <f>[1]!F620BudgFYO6710</f>
        <v>0</v>
      </c>
      <c r="K13" s="23">
        <v>0</v>
      </c>
      <c r="L13" s="445" t="s">
        <v>166</v>
      </c>
      <c r="M13" s="249"/>
    </row>
    <row r="14" spans="1:15" ht="13.5" customHeight="1">
      <c r="A14" s="529" t="s">
        <v>337</v>
      </c>
      <c r="B14" s="356"/>
      <c r="C14" s="530" t="s">
        <v>168</v>
      </c>
      <c r="D14" s="531">
        <f>[1]!F610BudgFYO6720</f>
        <v>0</v>
      </c>
      <c r="E14" s="45">
        <v>0</v>
      </c>
      <c r="F14" s="398">
        <f>[1]!F630BudgFYO6720</f>
        <v>0</v>
      </c>
      <c r="G14" s="45">
        <v>0</v>
      </c>
      <c r="H14" s="398">
        <f>[1]!F695BudgFYO6720</f>
        <v>0</v>
      </c>
      <c r="I14" s="45">
        <v>0</v>
      </c>
      <c r="J14" s="398">
        <f>[1]!F620BudgFYO6720</f>
        <v>0</v>
      </c>
      <c r="K14" s="23">
        <v>0</v>
      </c>
      <c r="L14" s="445" t="s">
        <v>168</v>
      </c>
      <c r="M14" s="235"/>
    </row>
    <row r="15" spans="1:15" ht="13.5" customHeight="1">
      <c r="A15" s="529" t="s">
        <v>338</v>
      </c>
      <c r="B15" s="356"/>
      <c r="C15" s="530" t="s">
        <v>170</v>
      </c>
      <c r="D15" s="531">
        <f>[1]!F610BudgFYO6731</f>
        <v>1600000</v>
      </c>
      <c r="E15" s="398">
        <f>F610O6731</f>
        <v>2007684</v>
      </c>
      <c r="F15" s="398">
        <f>[1]!F630BudgFYO6731</f>
        <v>3000000</v>
      </c>
      <c r="G15" s="45">
        <v>2500000</v>
      </c>
      <c r="H15" s="398">
        <f>[1]!F695BudgFYO6731</f>
        <v>0</v>
      </c>
      <c r="I15" s="45">
        <v>0</v>
      </c>
      <c r="J15" s="398">
        <f>[1]!F620BudgFYO6731</f>
        <v>0</v>
      </c>
      <c r="K15" s="23">
        <v>0</v>
      </c>
      <c r="L15" s="445" t="s">
        <v>170</v>
      </c>
      <c r="M15" s="235"/>
    </row>
    <row r="16" spans="1:15" ht="13.5" customHeight="1">
      <c r="A16" s="529" t="s">
        <v>339</v>
      </c>
      <c r="B16" s="356"/>
      <c r="C16" s="530" t="s">
        <v>172</v>
      </c>
      <c r="D16" s="531">
        <f>[1]!F610BudgFYO6734</f>
        <v>0</v>
      </c>
      <c r="E16" s="398">
        <f>F610O6734</f>
        <v>0</v>
      </c>
      <c r="F16" s="398">
        <f>[1]!F630BudgFYO6734</f>
        <v>1000000</v>
      </c>
      <c r="G16" s="45">
        <v>1500000</v>
      </c>
      <c r="H16" s="398">
        <f>[1]!F695BudgFYO6734</f>
        <v>0</v>
      </c>
      <c r="I16" s="45">
        <v>0</v>
      </c>
      <c r="J16" s="398">
        <f>[1]!F620BudgFYO6734</f>
        <v>0</v>
      </c>
      <c r="K16" s="23">
        <v>0</v>
      </c>
      <c r="L16" s="445" t="s">
        <v>172</v>
      </c>
      <c r="M16" s="235"/>
    </row>
    <row r="17" spans="1:15" ht="13.5" customHeight="1">
      <c r="A17" s="529" t="s">
        <v>340</v>
      </c>
      <c r="B17" s="356"/>
      <c r="C17" s="530" t="s">
        <v>174</v>
      </c>
      <c r="D17" s="531">
        <f>[1]!F610BudgFYO6737</f>
        <v>3035621</v>
      </c>
      <c r="E17" s="398">
        <f>F610O6737</f>
        <v>2000000</v>
      </c>
      <c r="F17" s="398">
        <f>[1]!F630BudgFYO6737</f>
        <v>2500000</v>
      </c>
      <c r="G17" s="45">
        <v>2500000</v>
      </c>
      <c r="H17" s="398">
        <f>[1]!F695BudgFYO6737</f>
        <v>0</v>
      </c>
      <c r="I17" s="45">
        <v>0</v>
      </c>
      <c r="J17" s="398">
        <f>[1]!F620BudgFYO6737</f>
        <v>0</v>
      </c>
      <c r="K17" s="22">
        <v>0</v>
      </c>
      <c r="L17" s="532" t="s">
        <v>174</v>
      </c>
      <c r="M17" s="235"/>
    </row>
    <row r="18" spans="1:15" ht="13.5" customHeight="1">
      <c r="A18" s="529" t="s">
        <v>341</v>
      </c>
      <c r="B18" s="356"/>
      <c r="C18" s="530" t="s">
        <v>176</v>
      </c>
      <c r="D18" s="531">
        <f>[1]!F610BudgFYO6831</f>
        <v>0</v>
      </c>
      <c r="E18" s="45">
        <v>0</v>
      </c>
      <c r="F18" s="398">
        <f>[1]!F630BudgFYO6831</f>
        <v>0</v>
      </c>
      <c r="G18" s="45">
        <v>0</v>
      </c>
      <c r="H18" s="398">
        <f>[1]!F695BudgFYO6831</f>
        <v>0</v>
      </c>
      <c r="I18" s="45">
        <v>0</v>
      </c>
      <c r="J18" s="398">
        <f>[1]!F620BudgFYO6831</f>
        <v>0</v>
      </c>
      <c r="K18" s="22">
        <v>0</v>
      </c>
      <c r="L18" s="532" t="s">
        <v>176</v>
      </c>
      <c r="M18" s="235"/>
    </row>
    <row r="19" spans="1:15" ht="13.5" customHeight="1">
      <c r="A19" s="533" t="s">
        <v>342</v>
      </c>
      <c r="B19" s="534"/>
      <c r="C19" s="530" t="s">
        <v>178</v>
      </c>
      <c r="D19" s="519">
        <f>[1]!F610BudgFYO6841</f>
        <v>0</v>
      </c>
      <c r="E19" s="48">
        <v>0</v>
      </c>
      <c r="F19" s="535">
        <f>[1]!F630BudgFYO6841</f>
        <v>0</v>
      </c>
      <c r="G19" s="48">
        <v>0</v>
      </c>
      <c r="H19" s="535">
        <f>[1]!F695BudgFYO6841</f>
        <v>0</v>
      </c>
      <c r="I19" s="48">
        <v>0</v>
      </c>
      <c r="J19" s="398">
        <f>[1]!F620BudgFYO6841</f>
        <v>0</v>
      </c>
      <c r="K19" s="56">
        <v>0</v>
      </c>
      <c r="L19" s="532" t="s">
        <v>178</v>
      </c>
      <c r="M19" s="235"/>
    </row>
    <row r="20" spans="1:15" ht="13.5" customHeight="1">
      <c r="A20" s="529" t="s">
        <v>343</v>
      </c>
      <c r="B20" s="356"/>
      <c r="C20" s="536" t="s">
        <v>180</v>
      </c>
      <c r="D20" s="389">
        <f t="shared" ref="D20:K20" si="0">SUM(D10:D19)</f>
        <v>4635621</v>
      </c>
      <c r="E20" s="389">
        <f t="shared" si="0"/>
        <v>6507684</v>
      </c>
      <c r="F20" s="389">
        <f t="shared" si="0"/>
        <v>66649800</v>
      </c>
      <c r="G20" s="389">
        <f t="shared" si="0"/>
        <v>52000000</v>
      </c>
      <c r="H20" s="389">
        <f t="shared" si="0"/>
        <v>0</v>
      </c>
      <c r="I20" s="389">
        <f t="shared" si="0"/>
        <v>0</v>
      </c>
      <c r="J20" s="389">
        <f t="shared" si="0"/>
        <v>2030594</v>
      </c>
      <c r="K20" s="389">
        <f t="shared" si="0"/>
        <v>2060000</v>
      </c>
      <c r="L20" s="445" t="s">
        <v>180</v>
      </c>
      <c r="M20" s="235"/>
    </row>
    <row r="21" spans="1:15" ht="13.5" customHeight="1">
      <c r="A21" s="400" t="s">
        <v>344</v>
      </c>
      <c r="C21" s="388"/>
      <c r="D21" s="537"/>
      <c r="E21" s="538"/>
      <c r="F21" s="537"/>
      <c r="G21" s="537"/>
      <c r="H21" s="537"/>
      <c r="I21" s="539"/>
      <c r="J21" s="416"/>
      <c r="K21" s="540"/>
      <c r="L21" s="354"/>
      <c r="M21" s="235"/>
    </row>
    <row r="22" spans="1:15" ht="13.5" customHeight="1">
      <c r="A22" s="529" t="s">
        <v>345</v>
      </c>
      <c r="B22" s="356"/>
      <c r="C22" s="530" t="s">
        <v>182</v>
      </c>
      <c r="D22" s="531">
        <f>[1]!F610BudgFYRenovation</f>
        <v>835621</v>
      </c>
      <c r="E22" s="45">
        <v>2007684</v>
      </c>
      <c r="F22" s="398">
        <f>[1]!F630BudgFYRenovation</f>
        <v>9000000</v>
      </c>
      <c r="G22" s="45">
        <v>4500000</v>
      </c>
      <c r="H22" s="541"/>
      <c r="I22" s="541"/>
      <c r="J22" s="398">
        <f>[1]!F620BudgFYRenovation</f>
        <v>250000</v>
      </c>
      <c r="K22" s="27">
        <v>0</v>
      </c>
      <c r="L22" s="532" t="s">
        <v>182</v>
      </c>
      <c r="M22" s="235"/>
    </row>
    <row r="23" spans="1:15" ht="13.5" customHeight="1">
      <c r="A23" s="529" t="s">
        <v>346</v>
      </c>
      <c r="B23" s="356"/>
      <c r="C23" s="530" t="s">
        <v>184</v>
      </c>
      <c r="D23" s="531">
        <f>[1]!F610BudgFYNewConstruction</f>
        <v>800000</v>
      </c>
      <c r="E23" s="45">
        <v>2500000</v>
      </c>
      <c r="F23" s="398">
        <f>[1]!F630BudgFYNewConstruction</f>
        <v>51000000</v>
      </c>
      <c r="G23" s="45">
        <v>30000000</v>
      </c>
      <c r="H23" s="398">
        <f>[1]!F695BudgFYNewConstruction</f>
        <v>0</v>
      </c>
      <c r="I23" s="45">
        <v>0</v>
      </c>
      <c r="J23" s="398">
        <f>[1]!F620BudgFYNewConstruction</f>
        <v>1780594</v>
      </c>
      <c r="K23" s="22">
        <v>2060000</v>
      </c>
      <c r="L23" s="532" t="s">
        <v>184</v>
      </c>
      <c r="M23" s="235"/>
    </row>
    <row r="24" spans="1:15" ht="13.5" customHeight="1">
      <c r="A24" s="529" t="s">
        <v>347</v>
      </c>
      <c r="B24" s="356"/>
      <c r="C24" s="530" t="s">
        <v>186</v>
      </c>
      <c r="D24" s="531">
        <f>[1]!F610BudgFYOther</f>
        <v>3000000</v>
      </c>
      <c r="E24" s="45">
        <v>2000000</v>
      </c>
      <c r="F24" s="398">
        <f>[1]!F630BudgFYOther</f>
        <v>6649800</v>
      </c>
      <c r="G24" s="45">
        <f>52000000-34500000</f>
        <v>17500000</v>
      </c>
      <c r="H24" s="398">
        <f>[1]!F695BudgFYOther</f>
        <v>0</v>
      </c>
      <c r="I24" s="45">
        <v>0</v>
      </c>
      <c r="J24" s="398">
        <f>[1]!F620BudgFYOther</f>
        <v>0</v>
      </c>
      <c r="K24" s="22">
        <v>0</v>
      </c>
      <c r="L24" s="532" t="s">
        <v>186</v>
      </c>
      <c r="M24" s="235"/>
    </row>
    <row r="25" spans="1:15" ht="13.5" customHeight="1">
      <c r="A25" s="511" t="s">
        <v>348</v>
      </c>
      <c r="B25" s="512"/>
      <c r="C25" s="542" t="s">
        <v>187</v>
      </c>
      <c r="D25" s="531">
        <f>SUM(D22:D24)</f>
        <v>4635621</v>
      </c>
      <c r="E25" s="398">
        <f>SUM(E22:E24)</f>
        <v>6507684</v>
      </c>
      <c r="F25" s="398">
        <f>SUM(F22:F24)</f>
        <v>66649800</v>
      </c>
      <c r="G25" s="398">
        <f>SUM(G22:G24)</f>
        <v>52000000</v>
      </c>
      <c r="H25" s="398">
        <f>SUM(H23:H24)</f>
        <v>0</v>
      </c>
      <c r="I25" s="398">
        <f>SUM(I23:I24)</f>
        <v>0</v>
      </c>
      <c r="J25" s="398">
        <f>SUM(J22:J24)</f>
        <v>2030594</v>
      </c>
      <c r="K25" s="398">
        <f>SUM(K22:K24)</f>
        <v>2060000</v>
      </c>
      <c r="L25" s="445" t="s">
        <v>187</v>
      </c>
      <c r="M25" s="235"/>
    </row>
    <row r="26" spans="1:15">
      <c r="A26" s="122"/>
      <c r="B26" s="122"/>
      <c r="C26" s="233"/>
      <c r="D26" s="543"/>
      <c r="E26" s="544" t="str">
        <f>IF(SUM(E22:E24)=E20,"","Check line 12")</f>
        <v/>
      </c>
      <c r="F26" s="543"/>
      <c r="G26" s="544" t="str">
        <f>IF(SUM(G22:G24)=G20,"","Check line 12")</f>
        <v/>
      </c>
      <c r="H26" s="543"/>
      <c r="I26" s="544" t="str">
        <f>IF(SUM(I23:I24)=I20,"","Check line 12")</f>
        <v/>
      </c>
      <c r="J26" s="545"/>
      <c r="K26" s="546" t="str">
        <f>IF(SUM(K22:K24)=K20,"","Check line 12")</f>
        <v/>
      </c>
      <c r="L26" s="547"/>
      <c r="M26" s="129"/>
      <c r="N26" s="129"/>
      <c r="O26" s="235"/>
    </row>
    <row r="27" spans="1:15">
      <c r="A27" s="354" t="s">
        <v>349</v>
      </c>
      <c r="B27" s="122"/>
      <c r="C27" s="233"/>
      <c r="D27" s="543"/>
      <c r="E27" s="543"/>
      <c r="F27" s="543"/>
      <c r="G27" s="543"/>
      <c r="H27" s="543"/>
      <c r="I27" s="543"/>
      <c r="J27" s="545"/>
      <c r="K27" s="545"/>
      <c r="L27" s="547"/>
      <c r="M27" s="427"/>
      <c r="N27" s="427"/>
      <c r="O27" s="235"/>
    </row>
    <row r="28" spans="1:15">
      <c r="A28" s="445" t="s">
        <v>350</v>
      </c>
      <c r="B28" s="122"/>
      <c r="E28" s="64">
        <v>0</v>
      </c>
      <c r="F28" s="545"/>
      <c r="G28" s="545"/>
      <c r="H28" s="545"/>
      <c r="I28" s="545"/>
      <c r="J28" s="545"/>
      <c r="K28" s="545"/>
      <c r="L28" s="547"/>
      <c r="M28" s="427"/>
      <c r="N28" s="427"/>
      <c r="O28" s="235"/>
    </row>
    <row r="29" spans="1:15">
      <c r="A29" s="548" t="str">
        <f>IF((E28&gt;0),"Districts that are levying any amount for adjacent ways must fill in the Truth in Taxation Worksheet and follow the requirements of A.R.S. Sec. 15-905.01. The amount reported in footnote 2 above pulls to the Truth in Taxation Worksheet, Line 12.","")</f>
        <v/>
      </c>
      <c r="B29" s="122"/>
      <c r="C29" s="233"/>
      <c r="D29" s="545"/>
      <c r="E29" s="545"/>
      <c r="F29" s="246"/>
      <c r="G29" s="545"/>
      <c r="H29" s="545"/>
      <c r="I29" s="246"/>
      <c r="J29" s="545"/>
      <c r="K29" s="545"/>
      <c r="L29" s="547"/>
      <c r="M29" s="427"/>
      <c r="N29" s="427"/>
      <c r="O29" s="397"/>
    </row>
    <row r="30" spans="1:15">
      <c r="A30" s="122"/>
      <c r="B30" s="122"/>
      <c r="C30" s="233"/>
      <c r="D30" s="545"/>
      <c r="E30" s="545"/>
      <c r="F30" s="246"/>
      <c r="G30" s="545"/>
      <c r="H30" s="545"/>
      <c r="I30" s="246"/>
      <c r="J30" s="545"/>
      <c r="K30" s="246"/>
      <c r="L30" s="547"/>
      <c r="M30" s="129"/>
      <c r="N30" s="129"/>
      <c r="O30" s="235"/>
    </row>
    <row r="31" spans="1:15">
      <c r="A31" s="122"/>
      <c r="B31" s="122"/>
      <c r="D31" s="1532"/>
      <c r="E31" s="1532"/>
      <c r="F31" s="246"/>
      <c r="G31" s="1532"/>
      <c r="H31" s="1532"/>
      <c r="I31" s="246"/>
      <c r="J31" s="1532"/>
      <c r="K31" s="1532"/>
      <c r="L31" s="1536"/>
      <c r="M31" s="1531"/>
      <c r="N31" s="1531"/>
      <c r="O31" s="397"/>
    </row>
    <row r="32" spans="1:15">
      <c r="A32" s="122"/>
      <c r="B32" s="122"/>
      <c r="C32" s="233"/>
      <c r="D32" s="1474"/>
      <c r="E32" s="1474"/>
      <c r="F32" s="246"/>
      <c r="G32" s="1532"/>
      <c r="H32" s="1532"/>
      <c r="I32" s="246"/>
      <c r="J32" s="1474"/>
      <c r="K32" s="1537"/>
      <c r="L32" s="1536"/>
      <c r="M32" s="1489"/>
      <c r="N32" s="1489"/>
      <c r="O32" s="235"/>
    </row>
    <row r="33" spans="1:15">
      <c r="A33" s="122"/>
      <c r="B33" s="284"/>
      <c r="C33" s="233"/>
      <c r="D33" s="545"/>
      <c r="E33" s="545"/>
      <c r="F33" s="545"/>
      <c r="G33" s="545"/>
      <c r="H33" s="545"/>
      <c r="I33" s="545"/>
      <c r="J33" s="545"/>
      <c r="K33" s="545"/>
      <c r="L33" s="547"/>
      <c r="M33" s="129"/>
      <c r="N33" s="129"/>
      <c r="O33" s="235"/>
    </row>
    <row r="34" spans="1:15">
      <c r="A34" s="122"/>
      <c r="B34" s="122"/>
      <c r="C34" s="233"/>
      <c r="D34" s="545"/>
      <c r="E34" s="545"/>
      <c r="F34" s="545"/>
      <c r="G34" s="545"/>
      <c r="H34" s="545"/>
      <c r="I34" s="545"/>
      <c r="J34" s="545"/>
      <c r="K34" s="545"/>
      <c r="L34" s="547"/>
      <c r="M34" s="129"/>
      <c r="N34" s="129"/>
      <c r="O34" s="235"/>
    </row>
    <row r="35" spans="1:15">
      <c r="A35" s="122"/>
      <c r="B35" s="122"/>
      <c r="C35" s="233"/>
      <c r="D35" s="545"/>
      <c r="E35" s="545"/>
      <c r="F35" s="545"/>
      <c r="G35" s="545"/>
      <c r="H35" s="545"/>
      <c r="I35" s="545"/>
      <c r="J35" s="545"/>
      <c r="K35" s="545"/>
      <c r="L35" s="547"/>
      <c r="M35" s="129"/>
      <c r="N35" s="129"/>
      <c r="O35" s="235"/>
    </row>
    <row r="36" spans="1:15">
      <c r="A36" s="122"/>
      <c r="B36" s="122"/>
      <c r="C36" s="233"/>
      <c r="D36" s="545"/>
      <c r="E36" s="545"/>
      <c r="F36" s="545"/>
      <c r="G36" s="545"/>
      <c r="H36" s="545"/>
      <c r="I36" s="545"/>
      <c r="J36" s="545"/>
      <c r="K36" s="545"/>
      <c r="L36" s="547"/>
      <c r="M36" s="129"/>
      <c r="N36" s="129"/>
      <c r="O36" s="235"/>
    </row>
    <row r="37" spans="1:15">
      <c r="A37" s="122"/>
      <c r="B37" s="122"/>
      <c r="C37" s="233"/>
      <c r="D37" s="545"/>
      <c r="E37" s="545"/>
      <c r="F37" s="545"/>
      <c r="G37" s="545"/>
      <c r="H37" s="545"/>
      <c r="I37" s="545"/>
      <c r="J37" s="545"/>
      <c r="K37" s="545"/>
      <c r="L37" s="547"/>
      <c r="M37" s="129"/>
      <c r="N37" s="129"/>
      <c r="O37" s="235"/>
    </row>
    <row r="38" spans="1:15">
      <c r="A38" s="122"/>
      <c r="B38" s="122"/>
      <c r="C38" s="233"/>
      <c r="D38" s="545"/>
      <c r="E38" s="545"/>
      <c r="F38" s="545"/>
      <c r="G38" s="545"/>
      <c r="H38" s="545"/>
      <c r="I38" s="545"/>
      <c r="J38" s="545"/>
      <c r="K38" s="545"/>
      <c r="L38" s="547"/>
      <c r="M38" s="129"/>
      <c r="N38" s="129"/>
      <c r="O38" s="235"/>
    </row>
    <row r="39" spans="1:15">
      <c r="A39" s="122"/>
      <c r="B39" s="122"/>
      <c r="C39" s="233"/>
      <c r="D39" s="545"/>
      <c r="E39" s="545"/>
      <c r="F39" s="545"/>
      <c r="G39" s="545"/>
      <c r="H39" s="545"/>
      <c r="I39" s="545"/>
      <c r="J39" s="545"/>
      <c r="K39" s="545"/>
      <c r="L39" s="547"/>
      <c r="M39" s="427"/>
      <c r="N39" s="427"/>
      <c r="O39" s="235"/>
    </row>
    <row r="40" spans="1:15">
      <c r="B40" s="122"/>
      <c r="C40" s="233"/>
    </row>
  </sheetData>
  <sheetProtection formatCells="0" formatColumns="0" formatRows="0"/>
  <mergeCells count="18">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 ref="E31:E32"/>
    <mergeCell ref="G31:G32"/>
  </mergeCells>
  <hyperlinks>
    <hyperlink ref="A9" location="Page5SelectExp" display="Select Object Codes Detail (1)"/>
    <hyperlink ref="J5:K6" location="AdjacentWays" display="ADJACENT WAYS"/>
  </hyperlinks>
  <pageMargins left="0.7" right="0.7" top="0.75" bottom="0.75" header="0.3" footer="0.3"/>
  <pageSetup paperSize="5" scale="96" orientation="landscape" r:id="rId1"/>
  <headerFooter>
    <oddFooter>&amp;L&amp;"Times New Roman,Bold"&amp;8Rev. 5/23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U49"/>
  <sheetViews>
    <sheetView showGridLines="0" tabSelected="1" topLeftCell="A7" workbookViewId="0">
      <selection activeCell="S31" sqref="S31"/>
    </sheetView>
  </sheetViews>
  <sheetFormatPr defaultColWidth="9.90625" defaultRowHeight="15"/>
  <cols>
    <col min="1" max="1" width="3" customWidth="1"/>
    <col min="2" max="2" width="1" customWidth="1"/>
    <col min="4" max="4" width="28" customWidth="1"/>
    <col min="5" max="5" width="4.90625" customWidth="1"/>
    <col min="6" max="6" width="7.90625" customWidth="1"/>
    <col min="7" max="7" width="5.90625" customWidth="1"/>
    <col min="8" max="8" width="2.90625" customWidth="1"/>
    <col min="9" max="9" width="10.90625" customWidth="1"/>
    <col min="10" max="10" width="11" customWidth="1"/>
    <col min="11" max="11" width="2.90625" customWidth="1"/>
    <col min="12" max="12" width="4.90625" customWidth="1"/>
    <col min="13" max="13" width="2.90625" customWidth="1"/>
    <col min="14" max="14" width="1.90625" customWidth="1"/>
    <col min="16" max="16" width="9.90625" customWidth="1"/>
    <col min="17" max="17" width="8.453125" customWidth="1"/>
    <col min="18" max="18" width="4.90625" customWidth="1"/>
    <col min="21" max="21" width="3" customWidth="1"/>
  </cols>
  <sheetData>
    <row r="1" spans="1:21" ht="15" customHeight="1">
      <c r="A1" s="177"/>
      <c r="B1" s="177"/>
      <c r="C1" s="123" t="s">
        <v>71</v>
      </c>
      <c r="D1" s="1456" t="str">
        <f>DistrictName</f>
        <v>MADISON ELEMENTARY SCHOOL DISTRICT</v>
      </c>
      <c r="E1" s="1456"/>
      <c r="F1" s="1456"/>
      <c r="H1" s="177"/>
      <c r="I1" s="123" t="s">
        <v>72</v>
      </c>
      <c r="J1" s="1471" t="str">
        <f>Cover!H1</f>
        <v>MARICOPA</v>
      </c>
      <c r="K1" s="1472"/>
      <c r="L1" s="1472"/>
      <c r="M1" s="177"/>
      <c r="N1" s="177"/>
      <c r="O1" s="123" t="s">
        <v>73</v>
      </c>
      <c r="P1" s="1558" t="str">
        <f>Cover!S1</f>
        <v>070438000</v>
      </c>
      <c r="Q1" s="1472"/>
      <c r="R1" s="177"/>
      <c r="S1" s="123" t="s">
        <v>74</v>
      </c>
      <c r="T1" s="210" t="str">
        <f>Cover!C8</f>
        <v>Adopted</v>
      </c>
      <c r="U1" s="177"/>
    </row>
    <row r="2" spans="1:21" ht="8.25" customHeight="1">
      <c r="A2" s="177"/>
      <c r="B2" s="177"/>
      <c r="C2" s="177"/>
      <c r="D2" s="177"/>
      <c r="E2" s="177"/>
      <c r="F2" s="177"/>
      <c r="G2" s="177"/>
      <c r="H2" s="177"/>
      <c r="I2" s="177"/>
      <c r="J2" s="177"/>
      <c r="K2" s="177"/>
      <c r="L2" s="177"/>
      <c r="M2" s="177"/>
      <c r="N2" s="177"/>
      <c r="O2" s="177"/>
      <c r="P2" s="177"/>
      <c r="Q2" s="177"/>
      <c r="R2" s="177"/>
      <c r="S2" s="177"/>
      <c r="T2" s="177"/>
      <c r="U2" s="177"/>
    </row>
    <row r="3" spans="1:21" ht="12" customHeight="1">
      <c r="B3" s="549" t="s">
        <v>351</v>
      </c>
      <c r="C3" s="550"/>
      <c r="D3" s="551"/>
      <c r="E3" s="550"/>
      <c r="F3" s="552" t="s">
        <v>53</v>
      </c>
      <c r="G3" s="1563"/>
      <c r="H3" s="1564"/>
      <c r="I3" s="553"/>
      <c r="J3" s="554"/>
      <c r="K3" s="555"/>
      <c r="L3" s="555"/>
      <c r="M3" s="150" t="s">
        <v>352</v>
      </c>
      <c r="N3" s="150"/>
      <c r="O3" s="150"/>
      <c r="P3" s="150"/>
      <c r="Q3" s="150"/>
      <c r="R3" s="150"/>
      <c r="U3" s="130"/>
    </row>
    <row r="4" spans="1:21" ht="12" customHeight="1">
      <c r="A4" s="556"/>
      <c r="B4" s="557"/>
      <c r="C4" s="550"/>
      <c r="D4" s="551"/>
      <c r="E4" s="550"/>
      <c r="F4" s="558"/>
      <c r="G4" s="559"/>
      <c r="H4" s="560"/>
      <c r="I4" s="561"/>
      <c r="J4" s="562"/>
      <c r="K4" s="555"/>
      <c r="L4" s="555"/>
      <c r="S4" s="285" t="s">
        <v>215</v>
      </c>
      <c r="T4" s="285" t="s">
        <v>216</v>
      </c>
    </row>
    <row r="5" spans="1:21" ht="12" customHeight="1">
      <c r="A5" s="563"/>
      <c r="B5" s="563"/>
      <c r="C5" s="550"/>
      <c r="D5" s="550"/>
      <c r="E5" s="563"/>
      <c r="F5" s="1565" t="s">
        <v>142</v>
      </c>
      <c r="G5" s="1566"/>
      <c r="H5" s="1567"/>
      <c r="I5" s="564" t="s">
        <v>353</v>
      </c>
      <c r="J5" s="565"/>
      <c r="K5" s="555"/>
      <c r="L5" s="555"/>
      <c r="M5" s="566" t="s">
        <v>6</v>
      </c>
      <c r="N5" s="129"/>
      <c r="O5" s="122" t="s">
        <v>354</v>
      </c>
      <c r="Q5" s="150"/>
      <c r="R5" s="122"/>
      <c r="S5" s="567">
        <f>[1]!F050BudgFY</f>
        <v>0</v>
      </c>
      <c r="T5" s="9">
        <v>0</v>
      </c>
      <c r="U5" s="569" t="s">
        <v>6</v>
      </c>
    </row>
    <row r="6" spans="1:21" ht="12" customHeight="1">
      <c r="A6" s="570" t="s">
        <v>355</v>
      </c>
      <c r="B6" s="555"/>
      <c r="C6" s="571"/>
      <c r="D6" s="571"/>
      <c r="E6" s="571"/>
      <c r="F6" s="572" t="s">
        <v>215</v>
      </c>
      <c r="G6" s="1568" t="s">
        <v>216</v>
      </c>
      <c r="H6" s="1569"/>
      <c r="I6" s="573" t="s">
        <v>215</v>
      </c>
      <c r="J6" s="574" t="s">
        <v>216</v>
      </c>
      <c r="K6" s="555"/>
      <c r="L6" s="555"/>
      <c r="M6" s="575" t="s">
        <v>9</v>
      </c>
      <c r="N6" s="129"/>
      <c r="O6" s="122" t="s">
        <v>356</v>
      </c>
      <c r="R6" s="122"/>
      <c r="S6" s="568">
        <f>F071CurrFY</f>
        <v>0</v>
      </c>
      <c r="T6" s="568">
        <f>F071BudgFY</f>
        <v>0</v>
      </c>
      <c r="U6" s="569" t="s">
        <v>9</v>
      </c>
    </row>
    <row r="7" spans="1:21" ht="12" customHeight="1">
      <c r="A7" s="566" t="s">
        <v>6</v>
      </c>
      <c r="B7" s="555"/>
      <c r="C7" s="563" t="s">
        <v>357</v>
      </c>
      <c r="D7" s="563"/>
      <c r="E7" s="566"/>
      <c r="F7" s="576">
        <f>[1]!F100130Personnel</f>
        <v>10</v>
      </c>
      <c r="G7" s="1540">
        <v>10</v>
      </c>
      <c r="H7" s="1541"/>
      <c r="I7" s="577">
        <f>[1]!F100130BudgFY</f>
        <v>1002571</v>
      </c>
      <c r="J7" s="6">
        <v>800000</v>
      </c>
      <c r="K7" s="569" t="s">
        <v>6</v>
      </c>
      <c r="L7" s="555"/>
      <c r="M7" s="575" t="s">
        <v>24</v>
      </c>
      <c r="N7" s="129"/>
      <c r="O7" s="122" t="s">
        <v>358</v>
      </c>
      <c r="R7" s="122"/>
      <c r="S7" s="568">
        <f>F072CurrFY</f>
        <v>0</v>
      </c>
      <c r="T7" s="568">
        <f>F072BudgFY</f>
        <v>0</v>
      </c>
      <c r="U7" s="569" t="s">
        <v>24</v>
      </c>
    </row>
    <row r="8" spans="1:21" ht="12" customHeight="1">
      <c r="A8" s="566" t="s">
        <v>9</v>
      </c>
      <c r="B8" s="555"/>
      <c r="C8" s="563" t="s">
        <v>359</v>
      </c>
      <c r="D8" s="563"/>
      <c r="E8" s="566"/>
      <c r="F8" s="576">
        <f>[1]!F140150Personnel</f>
        <v>0</v>
      </c>
      <c r="G8" s="1540">
        <v>0</v>
      </c>
      <c r="H8" s="1541"/>
      <c r="I8" s="577">
        <f>[1]!F140150BudgFY</f>
        <v>274081</v>
      </c>
      <c r="J8" s="6">
        <v>250000</v>
      </c>
      <c r="K8" s="569" t="s">
        <v>9</v>
      </c>
      <c r="L8" s="566"/>
      <c r="M8" s="578" t="s">
        <v>51</v>
      </c>
      <c r="N8" s="129"/>
      <c r="O8" s="579" t="s">
        <v>360</v>
      </c>
      <c r="R8" s="122"/>
      <c r="S8" s="568">
        <f>[1]!F500BudgFY</f>
        <v>1900000</v>
      </c>
      <c r="T8" s="9">
        <v>2500000</v>
      </c>
      <c r="U8" s="580" t="s">
        <v>51</v>
      </c>
    </row>
    <row r="9" spans="1:21" ht="12" customHeight="1">
      <c r="A9" s="566" t="s">
        <v>24</v>
      </c>
      <c r="B9" s="555"/>
      <c r="C9" s="563" t="s">
        <v>361</v>
      </c>
      <c r="D9" s="563"/>
      <c r="E9" s="566"/>
      <c r="F9" s="576">
        <f>[1]!F160Personnel</f>
        <v>0</v>
      </c>
      <c r="G9" s="1540">
        <v>0</v>
      </c>
      <c r="H9" s="1541"/>
      <c r="I9" s="577">
        <f>[1]!F160BudgFY</f>
        <v>0</v>
      </c>
      <c r="J9" s="6">
        <v>250000</v>
      </c>
      <c r="K9" s="569" t="s">
        <v>24</v>
      </c>
      <c r="L9" s="566"/>
      <c r="M9" s="581" t="s">
        <v>166</v>
      </c>
      <c r="N9" s="122"/>
      <c r="O9" s="122" t="s">
        <v>362</v>
      </c>
      <c r="P9" s="122"/>
      <c r="Q9" s="122"/>
      <c r="R9" s="566"/>
      <c r="S9" s="568">
        <f>[1]!F510BudgFY</f>
        <v>3800000</v>
      </c>
      <c r="T9" s="10">
        <v>3500000</v>
      </c>
      <c r="U9" s="580" t="s">
        <v>166</v>
      </c>
    </row>
    <row r="10" spans="1:21" ht="12" customHeight="1">
      <c r="A10" s="566" t="s">
        <v>51</v>
      </c>
      <c r="B10" s="555"/>
      <c r="C10" s="563" t="s">
        <v>363</v>
      </c>
      <c r="D10" s="563"/>
      <c r="E10" s="566"/>
      <c r="F10" s="576">
        <f>[1]!F170180Personnel</f>
        <v>0</v>
      </c>
      <c r="G10" s="1540">
        <v>0</v>
      </c>
      <c r="H10" s="1541"/>
      <c r="I10" s="577">
        <f>[1]!F170180BudgFY</f>
        <v>0</v>
      </c>
      <c r="J10" s="6">
        <v>0</v>
      </c>
      <c r="K10" s="569" t="s">
        <v>51</v>
      </c>
      <c r="L10" s="566"/>
      <c r="M10" s="581" t="s">
        <v>168</v>
      </c>
      <c r="N10" s="129"/>
      <c r="O10" s="122" t="s">
        <v>364</v>
      </c>
      <c r="P10" s="122"/>
      <c r="Q10" s="122"/>
      <c r="R10" s="566"/>
      <c r="S10" s="568">
        <f>[1]!F515BudgFY</f>
        <v>1600000</v>
      </c>
      <c r="T10" s="10">
        <v>1800000</v>
      </c>
      <c r="U10" s="580" t="s">
        <v>168</v>
      </c>
    </row>
    <row r="11" spans="1:21" ht="12" customHeight="1">
      <c r="A11" s="566" t="s">
        <v>166</v>
      </c>
      <c r="B11" s="555"/>
      <c r="C11" s="563" t="s">
        <v>365</v>
      </c>
      <c r="D11" s="563"/>
      <c r="E11" s="566"/>
      <c r="F11" s="576">
        <f>[1]!F190Personnel</f>
        <v>0</v>
      </c>
      <c r="G11" s="1540">
        <v>0</v>
      </c>
      <c r="H11" s="1541"/>
      <c r="I11" s="577">
        <f>[1]!F190BudgFY</f>
        <v>82978</v>
      </c>
      <c r="J11" s="6">
        <v>80000</v>
      </c>
      <c r="K11" s="569" t="s">
        <v>166</v>
      </c>
      <c r="L11" s="566"/>
      <c r="M11" s="581" t="s">
        <v>170</v>
      </c>
      <c r="N11" s="129"/>
      <c r="O11" s="122" t="s">
        <v>366</v>
      </c>
      <c r="P11" s="122"/>
      <c r="Q11" s="122"/>
      <c r="R11" s="566"/>
      <c r="S11" s="568">
        <f>[1]!F520BudgFY</f>
        <v>6700000</v>
      </c>
      <c r="T11" s="9">
        <v>6700000</v>
      </c>
      <c r="U11" s="580" t="s">
        <v>170</v>
      </c>
    </row>
    <row r="12" spans="1:21" ht="12" customHeight="1">
      <c r="A12" s="566" t="s">
        <v>168</v>
      </c>
      <c r="B12" s="555"/>
      <c r="C12" s="563" t="s">
        <v>367</v>
      </c>
      <c r="D12" s="563"/>
      <c r="E12" s="566"/>
      <c r="F12" s="576">
        <f>[1]!F200Personnel</f>
        <v>0</v>
      </c>
      <c r="G12" s="1540">
        <v>0</v>
      </c>
      <c r="H12" s="1541"/>
      <c r="I12" s="577">
        <f>[1]!F200BudgFY</f>
        <v>41086</v>
      </c>
      <c r="J12" s="6">
        <v>40000</v>
      </c>
      <c r="K12" s="569" t="s">
        <v>168</v>
      </c>
      <c r="L12" s="566"/>
      <c r="M12" s="581" t="s">
        <v>172</v>
      </c>
      <c r="N12" s="129"/>
      <c r="O12" s="122" t="s">
        <v>368</v>
      </c>
      <c r="P12" s="122"/>
      <c r="Q12" s="122"/>
      <c r="R12" s="122"/>
      <c r="S12" s="568">
        <f>[1]!F525BudgFY</f>
        <v>0</v>
      </c>
      <c r="T12" s="10">
        <v>0</v>
      </c>
      <c r="U12" s="580" t="s">
        <v>172</v>
      </c>
    </row>
    <row r="13" spans="1:21" ht="12" customHeight="1">
      <c r="A13" s="566" t="s">
        <v>170</v>
      </c>
      <c r="B13" s="555"/>
      <c r="C13" s="563" t="s">
        <v>369</v>
      </c>
      <c r="D13" s="563"/>
      <c r="E13" s="566"/>
      <c r="F13" s="576">
        <f>[1]!F210Personnel</f>
        <v>0</v>
      </c>
      <c r="G13" s="1540">
        <v>0</v>
      </c>
      <c r="H13" s="1541"/>
      <c r="I13" s="577">
        <f>[1]!F210BudgFY</f>
        <v>0</v>
      </c>
      <c r="J13" s="6">
        <v>0</v>
      </c>
      <c r="K13" s="569" t="s">
        <v>170</v>
      </c>
      <c r="L13" s="566"/>
      <c r="M13" s="581" t="s">
        <v>174</v>
      </c>
      <c r="N13" s="129"/>
      <c r="O13" s="122" t="s">
        <v>370</v>
      </c>
      <c r="P13" s="122"/>
      <c r="Q13" s="122"/>
      <c r="R13" s="566"/>
      <c r="S13" s="568">
        <f>[1]!F526BudgFY</f>
        <v>900000</v>
      </c>
      <c r="T13" s="10">
        <v>900000</v>
      </c>
      <c r="U13" s="580" t="s">
        <v>174</v>
      </c>
    </row>
    <row r="14" spans="1:21" ht="12" customHeight="1">
      <c r="A14" s="566" t="s">
        <v>172</v>
      </c>
      <c r="B14" s="555"/>
      <c r="C14" s="563" t="s">
        <v>371</v>
      </c>
      <c r="D14" s="563"/>
      <c r="E14" s="566"/>
      <c r="F14" s="576">
        <f>[1]!F220Personnel</f>
        <v>8</v>
      </c>
      <c r="G14" s="1540">
        <v>8</v>
      </c>
      <c r="H14" s="1541"/>
      <c r="I14" s="577">
        <f>[1]!F220BudgFY</f>
        <v>1691234</v>
      </c>
      <c r="J14" s="6">
        <v>1578000</v>
      </c>
      <c r="K14" s="569" t="s">
        <v>172</v>
      </c>
      <c r="L14" s="566"/>
      <c r="M14" s="581" t="s">
        <v>176</v>
      </c>
      <c r="N14" s="129"/>
      <c r="O14" s="122" t="s">
        <v>372</v>
      </c>
      <c r="R14" s="566"/>
      <c r="S14" s="568">
        <f>[1]!F530BudgFY</f>
        <v>175000</v>
      </c>
      <c r="T14" s="10">
        <v>175000</v>
      </c>
      <c r="U14" s="580" t="s">
        <v>176</v>
      </c>
    </row>
    <row r="15" spans="1:21" ht="12" customHeight="1">
      <c r="A15" s="566" t="s">
        <v>174</v>
      </c>
      <c r="B15" s="555"/>
      <c r="C15" s="563" t="s">
        <v>373</v>
      </c>
      <c r="D15" s="563"/>
      <c r="E15" s="566"/>
      <c r="F15" s="576">
        <f>[1]!F230Personnel</f>
        <v>0</v>
      </c>
      <c r="G15" s="1540">
        <v>0</v>
      </c>
      <c r="H15" s="1541"/>
      <c r="I15" s="577">
        <f>[1]!F230BudgFY</f>
        <v>55805</v>
      </c>
      <c r="J15" s="6">
        <v>50000</v>
      </c>
      <c r="K15" s="569" t="s">
        <v>174</v>
      </c>
      <c r="L15" s="566"/>
      <c r="M15" s="581" t="s">
        <v>178</v>
      </c>
      <c r="N15" s="129"/>
      <c r="O15" s="273" t="s">
        <v>374</v>
      </c>
      <c r="P15" s="122"/>
      <c r="Q15" s="122"/>
      <c r="R15" s="566"/>
      <c r="S15" s="568">
        <f>[1]!F535BudgFY</f>
        <v>0</v>
      </c>
      <c r="T15" s="9">
        <v>0</v>
      </c>
      <c r="U15" s="580" t="s">
        <v>178</v>
      </c>
    </row>
    <row r="16" spans="1:21" ht="12" customHeight="1">
      <c r="A16" s="566" t="s">
        <v>176</v>
      </c>
      <c r="B16" s="555"/>
      <c r="C16" s="563" t="s">
        <v>375</v>
      </c>
      <c r="D16" s="563"/>
      <c r="E16" s="566"/>
      <c r="F16" s="576">
        <f>[1]!F240Personnel</f>
        <v>0</v>
      </c>
      <c r="G16" s="1540">
        <v>0</v>
      </c>
      <c r="H16" s="1541"/>
      <c r="I16" s="577">
        <f>[1]!F240BudgFY</f>
        <v>0</v>
      </c>
      <c r="J16" s="6">
        <v>0</v>
      </c>
      <c r="K16" s="569" t="s">
        <v>176</v>
      </c>
      <c r="L16" s="566"/>
      <c r="M16" s="581" t="s">
        <v>180</v>
      </c>
      <c r="N16" s="129"/>
      <c r="O16" s="130" t="s">
        <v>376</v>
      </c>
      <c r="P16" s="122"/>
      <c r="Q16" s="122"/>
      <c r="R16" s="566"/>
      <c r="S16" s="568">
        <f>[1]!F540BudgFY</f>
        <v>0</v>
      </c>
      <c r="T16" s="9">
        <v>1200</v>
      </c>
      <c r="U16" s="580" t="s">
        <v>180</v>
      </c>
    </row>
    <row r="17" spans="1:21" ht="12" customHeight="1">
      <c r="A17" s="566" t="s">
        <v>178</v>
      </c>
      <c r="B17" s="555"/>
      <c r="C17" s="563" t="s">
        <v>377</v>
      </c>
      <c r="D17" s="563"/>
      <c r="E17" s="566"/>
      <c r="F17" s="576">
        <f>[1]!F250Personnel</f>
        <v>0</v>
      </c>
      <c r="G17" s="1540">
        <v>0</v>
      </c>
      <c r="H17" s="1541"/>
      <c r="I17" s="577">
        <f>[1]!F250BudgFY</f>
        <v>0</v>
      </c>
      <c r="J17" s="6">
        <v>0</v>
      </c>
      <c r="K17" s="569" t="s">
        <v>178</v>
      </c>
      <c r="L17" s="566"/>
      <c r="M17" s="581" t="s">
        <v>182</v>
      </c>
      <c r="N17" s="129"/>
      <c r="O17" s="130" t="s">
        <v>378</v>
      </c>
      <c r="P17" s="122"/>
      <c r="Q17" s="122"/>
      <c r="R17" s="566"/>
      <c r="S17" s="568">
        <f>[1]!F545BudgFY</f>
        <v>0</v>
      </c>
      <c r="T17" s="10">
        <v>0</v>
      </c>
      <c r="U17" s="580" t="s">
        <v>182</v>
      </c>
    </row>
    <row r="18" spans="1:21" ht="12" customHeight="1">
      <c r="A18" s="566" t="s">
        <v>180</v>
      </c>
      <c r="B18" s="555"/>
      <c r="C18" s="563" t="s">
        <v>379</v>
      </c>
      <c r="D18" s="563"/>
      <c r="E18" s="566"/>
      <c r="F18" s="576">
        <f>[1]!F260270Personnel</f>
        <v>0</v>
      </c>
      <c r="G18" s="1540">
        <v>0</v>
      </c>
      <c r="H18" s="1541"/>
      <c r="I18" s="577">
        <f>[1]!F260270BudgFY</f>
        <v>0</v>
      </c>
      <c r="J18" s="6">
        <v>0</v>
      </c>
      <c r="K18" s="569" t="s">
        <v>180</v>
      </c>
      <c r="L18" s="566"/>
      <c r="M18" s="581" t="s">
        <v>184</v>
      </c>
      <c r="N18" s="129"/>
      <c r="O18" s="122" t="s">
        <v>380</v>
      </c>
      <c r="P18" s="122"/>
      <c r="Q18" s="122"/>
      <c r="R18" s="566"/>
      <c r="S18" s="568">
        <f>[1]!F550BudgFY</f>
        <v>90000</v>
      </c>
      <c r="T18" s="9">
        <v>112000</v>
      </c>
      <c r="U18" s="580" t="s">
        <v>184</v>
      </c>
    </row>
    <row r="19" spans="1:21" ht="12" customHeight="1">
      <c r="A19" s="566" t="s">
        <v>182</v>
      </c>
      <c r="B19" s="555"/>
      <c r="C19" s="563" t="s">
        <v>381</v>
      </c>
      <c r="D19" s="563"/>
      <c r="E19" s="566"/>
      <c r="F19" s="576">
        <f>[1]!F280Personnel</f>
        <v>0</v>
      </c>
      <c r="G19" s="1540">
        <v>0</v>
      </c>
      <c r="H19" s="1541"/>
      <c r="I19" s="577">
        <f>[1]!F280BudgFY</f>
        <v>0</v>
      </c>
      <c r="J19" s="6">
        <v>0</v>
      </c>
      <c r="K19" s="569" t="s">
        <v>182</v>
      </c>
      <c r="L19" s="566"/>
      <c r="M19" s="581" t="s">
        <v>186</v>
      </c>
      <c r="N19" s="129"/>
      <c r="O19" s="122" t="s">
        <v>382</v>
      </c>
      <c r="P19" s="122"/>
      <c r="Q19" s="122"/>
      <c r="R19" s="566"/>
      <c r="S19" s="568">
        <f>[1]!F555BudgFY</f>
        <v>24000</v>
      </c>
      <c r="T19" s="10">
        <v>25000</v>
      </c>
      <c r="U19" s="580" t="s">
        <v>186</v>
      </c>
    </row>
    <row r="20" spans="1:21" ht="12" customHeight="1">
      <c r="A20" s="566" t="s">
        <v>184</v>
      </c>
      <c r="B20" s="555"/>
      <c r="C20" s="563" t="s">
        <v>383</v>
      </c>
      <c r="D20" s="563"/>
      <c r="E20" s="566"/>
      <c r="F20" s="576">
        <f>[1]!F290Personnel</f>
        <v>0</v>
      </c>
      <c r="G20" s="1540">
        <v>0</v>
      </c>
      <c r="H20" s="1541"/>
      <c r="I20" s="577">
        <f>[1]!F290BudgFY</f>
        <v>500000</v>
      </c>
      <c r="J20" s="6">
        <v>500000</v>
      </c>
      <c r="K20" s="569" t="s">
        <v>184</v>
      </c>
      <c r="L20" s="566"/>
      <c r="M20" s="581" t="s">
        <v>187</v>
      </c>
      <c r="N20" s="129"/>
      <c r="O20" s="122" t="s">
        <v>384</v>
      </c>
      <c r="P20" s="122"/>
      <c r="Q20" s="122"/>
      <c r="R20" s="566"/>
      <c r="S20" s="568">
        <f>[1]!F565BudgFY</f>
        <v>900000</v>
      </c>
      <c r="T20" s="10">
        <v>85000</v>
      </c>
      <c r="U20" s="580" t="s">
        <v>187</v>
      </c>
    </row>
    <row r="21" spans="1:21" ht="12" customHeight="1">
      <c r="A21" s="154" t="s">
        <v>186</v>
      </c>
      <c r="B21" s="555"/>
      <c r="C21" s="563" t="s">
        <v>385</v>
      </c>
      <c r="D21" s="563"/>
      <c r="E21" s="566"/>
      <c r="F21" s="576">
        <f>[1]!F374Personnel</f>
        <v>0</v>
      </c>
      <c r="G21" s="1538">
        <v>0</v>
      </c>
      <c r="H21" s="1539"/>
      <c r="I21" s="577">
        <f>[1]!F374BudgFY</f>
        <v>375000</v>
      </c>
      <c r="J21" s="6">
        <v>375000</v>
      </c>
      <c r="K21" s="580" t="s">
        <v>186</v>
      </c>
      <c r="L21" s="566"/>
      <c r="M21" s="581" t="s">
        <v>188</v>
      </c>
      <c r="N21" s="582"/>
      <c r="O21" s="122" t="s">
        <v>386</v>
      </c>
      <c r="P21" s="122"/>
      <c r="Q21" s="122"/>
      <c r="R21" s="566"/>
      <c r="S21" s="568">
        <f>[1]!F570BudgFY</f>
        <v>800000</v>
      </c>
      <c r="T21" s="10">
        <v>800000</v>
      </c>
      <c r="U21" s="580" t="s">
        <v>188</v>
      </c>
    </row>
    <row r="22" spans="1:21" ht="12" customHeight="1">
      <c r="A22" s="578" t="s">
        <v>187</v>
      </c>
      <c r="B22" s="555"/>
      <c r="C22" s="563" t="s">
        <v>387</v>
      </c>
      <c r="D22" s="563"/>
      <c r="E22" s="566"/>
      <c r="F22" s="576">
        <f>[1]!F378Personnel</f>
        <v>0</v>
      </c>
      <c r="G22" s="1538">
        <v>0</v>
      </c>
      <c r="H22" s="1539"/>
      <c r="I22" s="577">
        <f>[1]!F378BudgFY</f>
        <v>0</v>
      </c>
      <c r="J22" s="6">
        <v>0</v>
      </c>
      <c r="K22" s="580" t="s">
        <v>187</v>
      </c>
      <c r="L22" s="566"/>
      <c r="M22" s="581" t="s">
        <v>189</v>
      </c>
      <c r="N22" s="129"/>
      <c r="O22" s="122" t="s">
        <v>388</v>
      </c>
      <c r="P22" s="122"/>
      <c r="Q22" s="122"/>
      <c r="R22" s="566"/>
      <c r="S22" s="568">
        <f>[1]!F575BudgFY</f>
        <v>28000</v>
      </c>
      <c r="T22" s="10">
        <v>28000</v>
      </c>
      <c r="U22" s="580" t="s">
        <v>189</v>
      </c>
    </row>
    <row r="23" spans="1:21" ht="12" customHeight="1">
      <c r="A23" s="578" t="s">
        <v>188</v>
      </c>
      <c r="B23" s="555" t="s">
        <v>53</v>
      </c>
      <c r="C23" s="563" t="s">
        <v>389</v>
      </c>
      <c r="D23" s="563"/>
      <c r="E23" s="566"/>
      <c r="F23" s="576">
        <f>[1]!F300399OtherPersonnel</f>
        <v>100</v>
      </c>
      <c r="G23" s="1540">
        <v>10</v>
      </c>
      <c r="H23" s="1541"/>
      <c r="I23" s="577">
        <f>[1]!F300399OtherBudgFY</f>
        <v>4014919</v>
      </c>
      <c r="J23" s="6">
        <v>3000000</v>
      </c>
      <c r="K23" s="580" t="s">
        <v>188</v>
      </c>
      <c r="L23" s="566"/>
      <c r="M23" s="154" t="s">
        <v>190</v>
      </c>
      <c r="N23" s="129"/>
      <c r="O23" s="122" t="s">
        <v>390</v>
      </c>
      <c r="P23" s="122"/>
      <c r="Q23" s="122"/>
      <c r="R23" s="566"/>
      <c r="S23" s="568">
        <f>[1]!F580BudgFY</f>
        <v>0</v>
      </c>
      <c r="T23" s="9">
        <v>0</v>
      </c>
      <c r="U23" s="583" t="s">
        <v>190</v>
      </c>
    </row>
    <row r="24" spans="1:21" ht="12" customHeight="1" thickBot="1">
      <c r="A24" s="581" t="s">
        <v>189</v>
      </c>
      <c r="B24" s="555"/>
      <c r="C24" s="563" t="s">
        <v>391</v>
      </c>
      <c r="D24" s="563"/>
      <c r="E24" s="563"/>
      <c r="F24" s="584">
        <f>SUM(F7:F23)</f>
        <v>118</v>
      </c>
      <c r="G24" s="1570">
        <f>SUM(G7:H23)</f>
        <v>28</v>
      </c>
      <c r="H24" s="1571"/>
      <c r="I24" s="585">
        <f>SUM(I7:I23)</f>
        <v>8037674</v>
      </c>
      <c r="J24" s="585">
        <f>SUM(J7:J23)</f>
        <v>6923000</v>
      </c>
      <c r="K24" s="580" t="s">
        <v>189</v>
      </c>
      <c r="L24" s="129"/>
      <c r="M24" s="129" t="s">
        <v>191</v>
      </c>
      <c r="N24" s="129"/>
      <c r="O24" s="122" t="s">
        <v>392</v>
      </c>
      <c r="P24" s="122"/>
      <c r="Q24" s="122"/>
      <c r="R24" s="566"/>
      <c r="S24" s="568">
        <f>[1]!F585BudgFY</f>
        <v>0</v>
      </c>
      <c r="T24" s="10">
        <v>0</v>
      </c>
      <c r="U24" s="130" t="s">
        <v>191</v>
      </c>
    </row>
    <row r="25" spans="1:21" ht="12" customHeight="1" thickTop="1">
      <c r="A25" s="571" t="s">
        <v>393</v>
      </c>
      <c r="B25" s="563"/>
      <c r="C25" s="563"/>
      <c r="D25" s="563"/>
      <c r="E25" s="563"/>
      <c r="F25" s="1559">
        <f>[1]!F400Personnel</f>
        <v>0</v>
      </c>
      <c r="G25" s="586"/>
      <c r="H25" s="587"/>
      <c r="I25" s="1561">
        <f>[1]!F400BudgFY</f>
        <v>0</v>
      </c>
      <c r="J25" s="588"/>
      <c r="K25" s="130"/>
      <c r="L25" s="129"/>
      <c r="M25" s="129" t="s">
        <v>192</v>
      </c>
      <c r="N25" s="582"/>
      <c r="O25" s="130" t="s">
        <v>394</v>
      </c>
      <c r="P25" s="122"/>
      <c r="Q25" s="122"/>
      <c r="R25" s="566"/>
      <c r="S25" s="568">
        <f>[1]!F590BudgFY</f>
        <v>0</v>
      </c>
      <c r="T25" s="10">
        <v>0</v>
      </c>
      <c r="U25" s="130" t="s">
        <v>192</v>
      </c>
    </row>
    <row r="26" spans="1:21" ht="12" customHeight="1">
      <c r="A26" s="129" t="s">
        <v>190</v>
      </c>
      <c r="B26" s="555"/>
      <c r="C26" s="563" t="s">
        <v>395</v>
      </c>
      <c r="D26" s="563"/>
      <c r="E26" s="566"/>
      <c r="F26" s="1560"/>
      <c r="G26" s="1542">
        <v>0</v>
      </c>
      <c r="H26" s="1543"/>
      <c r="I26" s="1562"/>
      <c r="J26" s="10">
        <v>0</v>
      </c>
      <c r="K26" s="583" t="s">
        <v>190</v>
      </c>
      <c r="L26" s="566"/>
      <c r="M26" s="129" t="s">
        <v>193</v>
      </c>
      <c r="N26" s="582"/>
      <c r="O26" s="122" t="s">
        <v>396</v>
      </c>
      <c r="R26" s="122"/>
      <c r="S26" s="471">
        <f>[1]!F595BudgFY</f>
        <v>34000</v>
      </c>
      <c r="T26" s="86">
        <v>35000</v>
      </c>
      <c r="U26" s="130" t="s">
        <v>193</v>
      </c>
    </row>
    <row r="27" spans="1:21" ht="12" customHeight="1">
      <c r="A27" s="129" t="s">
        <v>191</v>
      </c>
      <c r="B27" s="555"/>
      <c r="C27" s="563" t="s">
        <v>397</v>
      </c>
      <c r="D27" s="563"/>
      <c r="E27" s="566"/>
      <c r="F27" s="589">
        <f>[1]!F410Personnel</f>
        <v>0</v>
      </c>
      <c r="G27" s="1540">
        <v>0</v>
      </c>
      <c r="H27" s="1541"/>
      <c r="I27" s="590">
        <f>[1]!F410BudgFY</f>
        <v>0</v>
      </c>
      <c r="J27" s="7">
        <v>0</v>
      </c>
      <c r="K27" s="130" t="s">
        <v>191</v>
      </c>
      <c r="L27" s="566"/>
      <c r="M27" s="129" t="s">
        <v>194</v>
      </c>
      <c r="N27" s="582"/>
      <c r="O27" s="122" t="s">
        <v>398</v>
      </c>
      <c r="R27" s="122"/>
      <c r="S27" s="475">
        <f>[1]!F596BudgFY</f>
        <v>0</v>
      </c>
      <c r="T27" s="9">
        <v>0</v>
      </c>
      <c r="U27" s="130" t="s">
        <v>194</v>
      </c>
    </row>
    <row r="28" spans="1:21" ht="12" customHeight="1">
      <c r="A28" s="129" t="s">
        <v>192</v>
      </c>
      <c r="B28" s="555"/>
      <c r="C28" s="563" t="s">
        <v>399</v>
      </c>
      <c r="D28" s="563"/>
      <c r="E28" s="566"/>
      <c r="F28" s="589">
        <f>[1]!F420Personnel</f>
        <v>0</v>
      </c>
      <c r="G28" s="1540">
        <v>0</v>
      </c>
      <c r="H28" s="1541"/>
      <c r="I28" s="590">
        <f>[1]!F420BudgFY</f>
        <v>0</v>
      </c>
      <c r="J28" s="7">
        <v>0</v>
      </c>
      <c r="K28" s="130" t="s">
        <v>192</v>
      </c>
      <c r="L28" s="566"/>
      <c r="M28" s="578" t="s">
        <v>196</v>
      </c>
      <c r="N28" s="582"/>
      <c r="O28" s="273" t="s">
        <v>400</v>
      </c>
      <c r="R28" s="273"/>
      <c r="S28" s="568">
        <f>[1]!F597BudgFY</f>
        <v>0</v>
      </c>
      <c r="T28" s="35">
        <v>0</v>
      </c>
      <c r="U28" s="591">
        <v>24</v>
      </c>
    </row>
    <row r="29" spans="1:21" ht="12" customHeight="1">
      <c r="A29" s="129" t="s">
        <v>193</v>
      </c>
      <c r="B29" s="555"/>
      <c r="C29" s="569" t="s">
        <v>401</v>
      </c>
      <c r="D29" s="563"/>
      <c r="E29" s="566"/>
      <c r="F29" s="589">
        <f>[1]!F425Personnel</f>
        <v>0</v>
      </c>
      <c r="G29" s="1540">
        <v>0</v>
      </c>
      <c r="H29" s="1541"/>
      <c r="I29" s="590">
        <f>[1]!F425BudgFY</f>
        <v>0</v>
      </c>
      <c r="J29" s="7">
        <v>0</v>
      </c>
      <c r="K29" s="130" t="s">
        <v>193</v>
      </c>
      <c r="L29" s="566"/>
      <c r="M29" s="592" t="s">
        <v>198</v>
      </c>
      <c r="N29" s="122"/>
      <c r="O29" s="130" t="s">
        <v>402</v>
      </c>
      <c r="P29" s="130"/>
      <c r="Q29" s="130"/>
      <c r="R29" s="566"/>
      <c r="S29" s="478">
        <f>[1]!F639BudgFY</f>
        <v>0</v>
      </c>
      <c r="T29" s="9">
        <v>0</v>
      </c>
      <c r="U29" s="593" t="s">
        <v>198</v>
      </c>
    </row>
    <row r="30" spans="1:21" ht="12" customHeight="1">
      <c r="A30" s="129" t="s">
        <v>194</v>
      </c>
      <c r="B30" s="555"/>
      <c r="C30" s="563" t="s">
        <v>403</v>
      </c>
      <c r="D30" s="563"/>
      <c r="E30" s="566"/>
      <c r="F30" s="589">
        <f>[1]!F430Personnel</f>
        <v>0</v>
      </c>
      <c r="G30" s="1540">
        <v>0</v>
      </c>
      <c r="H30" s="1541"/>
      <c r="I30" s="590">
        <f>[1]!F430BudgFY</f>
        <v>0</v>
      </c>
      <c r="J30" s="7">
        <v>0</v>
      </c>
      <c r="K30" s="130" t="s">
        <v>194</v>
      </c>
      <c r="L30" s="566"/>
      <c r="M30" s="592" t="s">
        <v>201</v>
      </c>
      <c r="O30" s="130" t="s">
        <v>404</v>
      </c>
      <c r="P30" s="130"/>
      <c r="Q30" s="130"/>
      <c r="R30" s="566"/>
      <c r="S30" s="568">
        <f>[1]!F650BudgFY</f>
        <v>50000</v>
      </c>
      <c r="T30" s="9">
        <v>40000</v>
      </c>
      <c r="U30" s="593" t="s">
        <v>201</v>
      </c>
    </row>
    <row r="31" spans="1:21" ht="12" customHeight="1">
      <c r="A31" s="233" t="s">
        <v>196</v>
      </c>
      <c r="B31" s="555"/>
      <c r="C31" s="563" t="s">
        <v>405</v>
      </c>
      <c r="D31" s="563"/>
      <c r="E31" s="566"/>
      <c r="F31" s="589">
        <f>[1]!F435Personnel</f>
        <v>0</v>
      </c>
      <c r="G31" s="1540">
        <v>0</v>
      </c>
      <c r="H31" s="1541"/>
      <c r="I31" s="590">
        <f>[1]!F435BudgFY</f>
        <v>0</v>
      </c>
      <c r="J31" s="7">
        <v>0</v>
      </c>
      <c r="K31" s="235" t="s">
        <v>196</v>
      </c>
      <c r="L31" s="566"/>
      <c r="M31" s="592" t="s">
        <v>203</v>
      </c>
      <c r="N31" s="122"/>
      <c r="O31" s="130" t="s">
        <v>406</v>
      </c>
      <c r="P31" s="122"/>
      <c r="Q31" s="122"/>
      <c r="R31" s="122"/>
      <c r="S31" s="568">
        <f>[1]!F660BudgFY</f>
        <v>0</v>
      </c>
      <c r="T31" s="9">
        <v>0</v>
      </c>
      <c r="U31" s="593" t="s">
        <v>203</v>
      </c>
    </row>
    <row r="32" spans="1:21" ht="12" customHeight="1">
      <c r="A32" s="233" t="s">
        <v>198</v>
      </c>
      <c r="B32" s="555"/>
      <c r="C32" s="563" t="s">
        <v>407</v>
      </c>
      <c r="D32" s="563"/>
      <c r="E32" s="566"/>
      <c r="F32" s="589">
        <f>[1]!F450Personnel</f>
        <v>0</v>
      </c>
      <c r="G32" s="1540">
        <v>0</v>
      </c>
      <c r="H32" s="1541"/>
      <c r="I32" s="590">
        <f>[1]!F450BudgFY</f>
        <v>10000</v>
      </c>
      <c r="J32" s="7">
        <v>10000</v>
      </c>
      <c r="K32" s="235" t="s">
        <v>198</v>
      </c>
      <c r="L32" s="566"/>
      <c r="M32" s="592" t="s">
        <v>206</v>
      </c>
      <c r="N32" s="582"/>
      <c r="O32" s="130" t="s">
        <v>408</v>
      </c>
      <c r="P32" s="122"/>
      <c r="Q32" s="122"/>
      <c r="R32" s="122"/>
      <c r="S32" s="568">
        <f>[1]!F665BudgFY</f>
        <v>0</v>
      </c>
      <c r="T32" s="9">
        <v>12000</v>
      </c>
      <c r="U32" s="593" t="s">
        <v>206</v>
      </c>
    </row>
    <row r="33" spans="1:21" ht="12" customHeight="1">
      <c r="A33" s="578" t="s">
        <v>201</v>
      </c>
      <c r="B33" s="555"/>
      <c r="C33" s="594" t="s">
        <v>409</v>
      </c>
      <c r="D33" s="595"/>
      <c r="E33" s="566"/>
      <c r="F33" s="589">
        <f t="array" ref="F33">[1]!F456Personnel</f>
        <v>0</v>
      </c>
      <c r="G33" s="1538">
        <v>0</v>
      </c>
      <c r="H33" s="1539"/>
      <c r="I33" s="590">
        <f t="array" ref="I33">[1]!F456BudgFY</f>
        <v>0</v>
      </c>
      <c r="J33" s="7">
        <v>0</v>
      </c>
      <c r="K33" s="249" t="s">
        <v>201</v>
      </c>
      <c r="L33" s="129"/>
      <c r="M33" s="578" t="s">
        <v>208</v>
      </c>
      <c r="N33" s="122"/>
      <c r="O33" s="130" t="s">
        <v>410</v>
      </c>
      <c r="R33" s="122"/>
      <c r="S33" s="568">
        <f>[1]!F686BudgFY</f>
        <v>0</v>
      </c>
      <c r="T33" s="9">
        <v>0</v>
      </c>
      <c r="U33" s="596" t="s">
        <v>208</v>
      </c>
    </row>
    <row r="34" spans="1:21" ht="12" customHeight="1">
      <c r="A34" s="233" t="s">
        <v>203</v>
      </c>
      <c r="B34" s="555"/>
      <c r="C34" s="595" t="s">
        <v>411</v>
      </c>
      <c r="F34" s="589">
        <f>[1]!F460Personnel</f>
        <v>0</v>
      </c>
      <c r="G34" s="1540">
        <v>0</v>
      </c>
      <c r="H34" s="1541"/>
      <c r="I34" s="590">
        <f>[1]!F460BudgFY</f>
        <v>0</v>
      </c>
      <c r="J34" s="7">
        <v>0</v>
      </c>
      <c r="K34" s="249" t="s">
        <v>203</v>
      </c>
      <c r="L34" s="566"/>
      <c r="M34" s="597" t="s">
        <v>211</v>
      </c>
      <c r="N34" s="122"/>
      <c r="O34" s="130" t="s">
        <v>412</v>
      </c>
      <c r="R34" s="122"/>
      <c r="S34" s="568">
        <f>[1]!F691BudgFY</f>
        <v>360000</v>
      </c>
      <c r="T34" s="9">
        <v>150000</v>
      </c>
      <c r="U34" s="596" t="s">
        <v>211</v>
      </c>
    </row>
    <row r="35" spans="1:21" ht="12" customHeight="1" thickBot="1">
      <c r="A35" s="578" t="s">
        <v>206</v>
      </c>
      <c r="B35" s="555"/>
      <c r="C35" s="563" t="s">
        <v>413</v>
      </c>
      <c r="D35" s="595"/>
      <c r="E35" s="566"/>
      <c r="F35" s="598">
        <f>[1]!F465499Personnel</f>
        <v>0</v>
      </c>
      <c r="G35" s="1553">
        <v>8</v>
      </c>
      <c r="H35" s="1554"/>
      <c r="I35" s="599">
        <f>[1]!F465499BudgFY</f>
        <v>227401</v>
      </c>
      <c r="J35" s="8">
        <v>750000</v>
      </c>
      <c r="K35" s="249" t="s">
        <v>206</v>
      </c>
      <c r="L35" s="129"/>
      <c r="M35" s="600" t="s">
        <v>414</v>
      </c>
      <c r="O35" s="130" t="s">
        <v>415</v>
      </c>
      <c r="R35" s="122"/>
      <c r="S35" s="568">
        <f>[1]!F700BudgFY</f>
        <v>17500000</v>
      </c>
      <c r="T35" s="9">
        <v>16900000</v>
      </c>
      <c r="U35" s="596" t="s">
        <v>414</v>
      </c>
    </row>
    <row r="36" spans="1:21" ht="12" customHeight="1" thickBot="1">
      <c r="A36" s="474" t="s">
        <v>208</v>
      </c>
      <c r="B36" s="555"/>
      <c r="C36" s="563" t="s">
        <v>416</v>
      </c>
      <c r="D36" s="563"/>
      <c r="E36" s="566"/>
      <c r="F36" s="601">
        <f>SUM(F25:F35)</f>
        <v>0</v>
      </c>
      <c r="G36" s="1555">
        <f>SUM(G26:H35)</f>
        <v>8</v>
      </c>
      <c r="H36" s="1556"/>
      <c r="I36" s="585">
        <f>SUM(I25:I35)</f>
        <v>237401</v>
      </c>
      <c r="J36" s="585">
        <f>SUM(J26:J35)</f>
        <v>760000</v>
      </c>
      <c r="K36" s="249" t="s">
        <v>208</v>
      </c>
      <c r="L36" s="566"/>
      <c r="M36" s="592" t="s">
        <v>417</v>
      </c>
      <c r="N36" s="582"/>
      <c r="O36" s="130" t="s">
        <v>418</v>
      </c>
      <c r="R36" s="122"/>
      <c r="S36" s="568">
        <f>[1]!F720BudgFY</f>
        <v>0</v>
      </c>
      <c r="T36" s="9">
        <v>0</v>
      </c>
      <c r="U36" s="593" t="s">
        <v>417</v>
      </c>
    </row>
    <row r="37" spans="1:21" ht="12" customHeight="1" thickTop="1" thickBot="1">
      <c r="A37" s="474" t="s">
        <v>211</v>
      </c>
      <c r="B37" s="555"/>
      <c r="C37" s="563" t="s">
        <v>419</v>
      </c>
      <c r="D37" s="563"/>
      <c r="E37" s="563"/>
      <c r="F37" s="601">
        <f>F24+F36</f>
        <v>118</v>
      </c>
      <c r="G37" s="1555">
        <f>G24+G36</f>
        <v>36</v>
      </c>
      <c r="H37" s="1556"/>
      <c r="I37" s="602">
        <f>I24+I36</f>
        <v>8275075</v>
      </c>
      <c r="J37" s="585">
        <f>J24+J36</f>
        <v>7683000</v>
      </c>
      <c r="K37" s="249" t="s">
        <v>211</v>
      </c>
      <c r="L37" s="566"/>
      <c r="M37" s="578" t="s">
        <v>420</v>
      </c>
      <c r="N37" s="582"/>
      <c r="O37" s="591" t="s">
        <v>421</v>
      </c>
      <c r="R37" s="273"/>
      <c r="S37" s="568">
        <f>[1]!F850BudgFY</f>
        <v>80000</v>
      </c>
      <c r="T37" s="89">
        <v>80000</v>
      </c>
      <c r="U37" s="603" t="s">
        <v>420</v>
      </c>
    </row>
    <row r="38" spans="1:21" ht="12" customHeight="1" thickTop="1">
      <c r="A38" s="474"/>
      <c r="B38" s="555"/>
      <c r="D38" s="563"/>
      <c r="E38" s="563"/>
      <c r="K38" s="249"/>
      <c r="L38" s="566"/>
      <c r="M38" s="578" t="s">
        <v>422</v>
      </c>
      <c r="O38" s="13" t="s">
        <v>423</v>
      </c>
      <c r="R38" s="122"/>
      <c r="S38" s="478">
        <f>[1]!OtherFundsBudgFY</f>
        <v>0</v>
      </c>
      <c r="T38" s="9">
        <v>0</v>
      </c>
      <c r="U38" s="603" t="s">
        <v>422</v>
      </c>
    </row>
    <row r="39" spans="1:21" ht="12" customHeight="1">
      <c r="A39" s="1544" t="s">
        <v>424</v>
      </c>
      <c r="B39" s="1545"/>
      <c r="C39" s="1545"/>
      <c r="D39" s="1545"/>
      <c r="E39" s="1545"/>
      <c r="F39" s="1557" t="s">
        <v>215</v>
      </c>
      <c r="G39" s="1557"/>
      <c r="H39" s="1548" t="s">
        <v>216</v>
      </c>
      <c r="I39" s="1472"/>
      <c r="J39" s="604"/>
      <c r="K39" s="233"/>
      <c r="L39" s="566"/>
      <c r="O39" s="150" t="s">
        <v>425</v>
      </c>
      <c r="P39" s="122"/>
      <c r="Q39" s="122"/>
      <c r="R39" s="122"/>
      <c r="S39" s="122"/>
      <c r="T39" s="122"/>
    </row>
    <row r="40" spans="1:21" ht="12" customHeight="1">
      <c r="A40" s="566" t="s">
        <v>6</v>
      </c>
      <c r="C40" s="130" t="s">
        <v>426</v>
      </c>
      <c r="D40" s="397"/>
      <c r="F40" s="1551">
        <f>[1]!F020TeachCompIncrBudgFY</f>
        <v>265590</v>
      </c>
      <c r="G40" s="1552"/>
      <c r="H40" s="1549">
        <v>255000</v>
      </c>
      <c r="I40" s="1550"/>
      <c r="J40" s="605" t="s">
        <v>6</v>
      </c>
      <c r="K40" s="129"/>
      <c r="L40" s="122"/>
      <c r="M40" s="129" t="s">
        <v>6</v>
      </c>
      <c r="O40" s="18" t="s">
        <v>427</v>
      </c>
      <c r="P40" s="122"/>
      <c r="Q40" s="122"/>
      <c r="R40" s="122"/>
      <c r="S40" s="568">
        <f>[1]!F9__SelfInsBudgFY</f>
        <v>0</v>
      </c>
      <c r="T40" s="9">
        <v>0</v>
      </c>
      <c r="U40" s="583" t="s">
        <v>6</v>
      </c>
    </row>
    <row r="41" spans="1:21" ht="12" customHeight="1">
      <c r="A41" s="566" t="s">
        <v>9</v>
      </c>
      <c r="B41" s="122"/>
      <c r="C41" s="122" t="s">
        <v>428</v>
      </c>
      <c r="D41" s="122"/>
      <c r="E41" s="566"/>
      <c r="F41" s="1551">
        <f>[1]!F020ClassSizeRedBudgFY</f>
        <v>265590</v>
      </c>
      <c r="G41" s="1552"/>
      <c r="H41" s="1546">
        <v>255000</v>
      </c>
      <c r="I41" s="1547"/>
      <c r="J41" s="605" t="s">
        <v>9</v>
      </c>
      <c r="L41" s="122"/>
      <c r="M41" s="575" t="s">
        <v>9</v>
      </c>
      <c r="O41" s="130" t="s">
        <v>429</v>
      </c>
      <c r="P41" s="122"/>
      <c r="Q41" s="122"/>
      <c r="R41" s="566"/>
      <c r="S41" s="568">
        <f>[1]!F955BudgFY</f>
        <v>90000</v>
      </c>
      <c r="T41" s="10">
        <v>131000</v>
      </c>
      <c r="U41" s="249" t="s">
        <v>9</v>
      </c>
    </row>
    <row r="42" spans="1:21" ht="12" customHeight="1">
      <c r="A42" s="566" t="s">
        <v>24</v>
      </c>
      <c r="B42" s="122"/>
      <c r="C42" s="122" t="s">
        <v>430</v>
      </c>
      <c r="D42" s="122"/>
      <c r="E42" s="566"/>
      <c r="F42" s="1551">
        <f>[1]!F020DropPrevProgBudgFY</f>
        <v>0</v>
      </c>
      <c r="G42" s="1552"/>
      <c r="H42" s="1546">
        <v>0</v>
      </c>
      <c r="I42" s="1547"/>
      <c r="J42" s="605" t="s">
        <v>24</v>
      </c>
      <c r="L42" s="122"/>
      <c r="M42" s="154" t="s">
        <v>24</v>
      </c>
      <c r="O42" s="13" t="s">
        <v>431</v>
      </c>
      <c r="P42" s="122"/>
      <c r="Q42" s="122"/>
      <c r="R42" s="122"/>
      <c r="S42" s="568">
        <f>[1]!F9__OPEBBudgFY</f>
        <v>0</v>
      </c>
      <c r="T42" s="10">
        <v>0</v>
      </c>
      <c r="U42" s="468" t="s">
        <v>24</v>
      </c>
    </row>
    <row r="43" spans="1:21" ht="12" customHeight="1" thickBot="1">
      <c r="A43" s="566" t="s">
        <v>51</v>
      </c>
      <c r="B43" s="122"/>
      <c r="C43" s="122" t="s">
        <v>432</v>
      </c>
      <c r="D43" s="122"/>
      <c r="E43" s="566"/>
      <c r="F43" s="1581">
        <f>[1]!F020InstrImprProgBudgFY</f>
        <v>0</v>
      </c>
      <c r="G43" s="1582"/>
      <c r="H43" s="1579">
        <v>0</v>
      </c>
      <c r="I43" s="1580"/>
      <c r="J43" s="605" t="s">
        <v>51</v>
      </c>
      <c r="L43" s="122"/>
      <c r="M43" s="154" t="s">
        <v>51</v>
      </c>
      <c r="O43" s="18" t="s">
        <v>1415</v>
      </c>
      <c r="P43" s="122"/>
      <c r="Q43" s="122"/>
      <c r="R43" s="122"/>
      <c r="S43" s="568">
        <f>[1]!F9__OtherBudgFY</f>
        <v>150000</v>
      </c>
      <c r="T43" s="10">
        <v>190000</v>
      </c>
      <c r="U43" s="468" t="s">
        <v>51</v>
      </c>
    </row>
    <row r="44" spans="1:21" ht="12" customHeight="1" thickBot="1">
      <c r="A44" s="566" t="s">
        <v>166</v>
      </c>
      <c r="B44" s="122"/>
      <c r="C44" s="122" t="s">
        <v>433</v>
      </c>
      <c r="D44" s="122"/>
      <c r="E44" s="566"/>
      <c r="F44" s="1577">
        <f>SUM(F40:F43)</f>
        <v>531180</v>
      </c>
      <c r="G44" s="1578"/>
      <c r="H44" s="1575">
        <f>SUM(H40:H43)</f>
        <v>510000</v>
      </c>
      <c r="I44" s="1576"/>
      <c r="J44" s="605" t="s">
        <v>166</v>
      </c>
      <c r="L44" s="122"/>
      <c r="N44" s="582"/>
      <c r="O44" s="122"/>
      <c r="P44" s="122"/>
      <c r="Q44" s="122"/>
      <c r="R44" s="122"/>
      <c r="U44" s="235"/>
    </row>
    <row r="45" spans="1:21" ht="12.75" customHeight="1" thickTop="1">
      <c r="B45" s="122"/>
      <c r="E45" s="566"/>
      <c r="L45" s="122"/>
      <c r="N45" s="129"/>
      <c r="S45" s="606"/>
      <c r="T45" s="122"/>
    </row>
    <row r="46" spans="1:21" ht="12.75" customHeight="1">
      <c r="A46" s="122"/>
      <c r="B46" s="122"/>
      <c r="C46" s="122"/>
      <c r="D46" s="122"/>
      <c r="E46" s="122"/>
      <c r="F46" s="122"/>
      <c r="G46" s="122"/>
      <c r="H46" s="122"/>
      <c r="I46" s="122"/>
      <c r="J46" s="122"/>
      <c r="K46" s="122"/>
      <c r="M46" s="233" t="s">
        <v>434</v>
      </c>
      <c r="N46" s="122" t="s">
        <v>435</v>
      </c>
    </row>
    <row r="47" spans="1:21" ht="12.75" customHeight="1">
      <c r="A47" s="150"/>
      <c r="B47" s="150"/>
      <c r="C47" s="150"/>
      <c r="D47" s="150"/>
      <c r="E47" s="150"/>
      <c r="F47" s="1573"/>
      <c r="G47" s="1572"/>
      <c r="H47" s="1573"/>
      <c r="I47" s="1572"/>
      <c r="K47" s="122"/>
      <c r="M47" s="233" t="s">
        <v>436</v>
      </c>
      <c r="N47" s="122" t="s">
        <v>437</v>
      </c>
      <c r="S47" s="607">
        <v>500000</v>
      </c>
    </row>
    <row r="48" spans="1:21" ht="12.75" customHeight="1">
      <c r="A48" s="129"/>
      <c r="B48" s="129"/>
      <c r="C48" s="122"/>
      <c r="E48" s="122"/>
      <c r="F48" s="1574"/>
      <c r="G48" s="1572"/>
      <c r="H48" s="1496"/>
      <c r="I48" s="1572"/>
      <c r="J48" s="130"/>
      <c r="M48" s="233"/>
      <c r="N48" s="122"/>
    </row>
    <row r="49" spans="1:10">
      <c r="A49" s="608"/>
      <c r="B49" s="129"/>
      <c r="C49" s="122"/>
      <c r="E49" s="122"/>
      <c r="F49" s="1496"/>
      <c r="G49" s="1572"/>
      <c r="H49" s="1496"/>
      <c r="I49" s="1572"/>
      <c r="J49" s="130"/>
    </row>
  </sheetData>
  <sheetProtection formatCells="0" formatColumns="0" formatRows="0"/>
  <mergeCells count="57">
    <mergeCell ref="H44:I44"/>
    <mergeCell ref="F44:G44"/>
    <mergeCell ref="G7:H7"/>
    <mergeCell ref="G8:H8"/>
    <mergeCell ref="G16:H16"/>
    <mergeCell ref="G13:H13"/>
    <mergeCell ref="G14:H14"/>
    <mergeCell ref="G15:H15"/>
    <mergeCell ref="G27:H27"/>
    <mergeCell ref="G17:H17"/>
    <mergeCell ref="H43:I43"/>
    <mergeCell ref="F43:G43"/>
    <mergeCell ref="H42:I42"/>
    <mergeCell ref="G34:H34"/>
    <mergeCell ref="F41:G41"/>
    <mergeCell ref="F42:G42"/>
    <mergeCell ref="F49:G49"/>
    <mergeCell ref="H47:I47"/>
    <mergeCell ref="F47:G47"/>
    <mergeCell ref="H48:I48"/>
    <mergeCell ref="H49:I49"/>
    <mergeCell ref="F48:G48"/>
    <mergeCell ref="P1:Q1"/>
    <mergeCell ref="F25:F26"/>
    <mergeCell ref="I25:I26"/>
    <mergeCell ref="J1:L1"/>
    <mergeCell ref="G3:H3"/>
    <mergeCell ref="F5:H5"/>
    <mergeCell ref="G6:H6"/>
    <mergeCell ref="D1:F1"/>
    <mergeCell ref="G19:H19"/>
    <mergeCell ref="G9:H9"/>
    <mergeCell ref="G21:H21"/>
    <mergeCell ref="G22:H22"/>
    <mergeCell ref="G23:H23"/>
    <mergeCell ref="G24:H24"/>
    <mergeCell ref="A39:E39"/>
    <mergeCell ref="H41:I41"/>
    <mergeCell ref="G10:H10"/>
    <mergeCell ref="G11:H11"/>
    <mergeCell ref="G12:H12"/>
    <mergeCell ref="G18:H18"/>
    <mergeCell ref="H39:I39"/>
    <mergeCell ref="G20:H20"/>
    <mergeCell ref="H40:I40"/>
    <mergeCell ref="F40:G40"/>
    <mergeCell ref="G35:H35"/>
    <mergeCell ref="G36:H36"/>
    <mergeCell ref="F39:G39"/>
    <mergeCell ref="G29:H29"/>
    <mergeCell ref="G32:H32"/>
    <mergeCell ref="G37:H37"/>
    <mergeCell ref="G33:H33"/>
    <mergeCell ref="G31:H31"/>
    <mergeCell ref="G26:H26"/>
    <mergeCell ref="G30:H30"/>
    <mergeCell ref="G28:H28"/>
  </mergeCells>
  <hyperlinks>
    <hyperlink ref="A22" location="Page6l16" display="16."/>
    <hyperlink ref="M41" location="Page6l2" display="2."/>
    <hyperlink ref="M6" location="Page6l2and3" display="2."/>
    <hyperlink ref="M7" location="Page6l2and3" display="3."/>
    <hyperlink ref="M8" location="Page6l4" display="4."/>
    <hyperlink ref="A33" location="Page6F456" display="26."/>
    <hyperlink ref="M38" location="Page6l34" display="34."/>
    <hyperlink ref="M28" location="Page6l24" display="24."/>
    <hyperlink ref="M37" location="Page6l33" display="33."/>
    <hyperlink ref="A23" location="Page6l17" display="17."/>
    <hyperlink ref="M33" location="Page6l29" display="29."/>
    <hyperlink ref="M34" location="Page6l30" display="30."/>
    <hyperlink ref="A35" location="Page6l28" display="28."/>
  </hyperlinks>
  <printOptions horizontalCentered="1"/>
  <pageMargins left="0.25" right="0.25" top="0.25" bottom="0.25" header="0" footer="0.25"/>
  <pageSetup paperSize="5" scale="94" orientation="landscape" r:id="rId1"/>
  <headerFooter alignWithMargins="0">
    <oddFooter>&amp;L&amp;"Times New Roman,Bold"&amp;9Rev. 5/23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4"/>
  <sheetViews>
    <sheetView showGridLines="0" tabSelected="1" workbookViewId="0">
      <selection activeCell="S31" sqref="S31"/>
    </sheetView>
  </sheetViews>
  <sheetFormatPr defaultColWidth="8" defaultRowHeight="11.4"/>
  <cols>
    <col min="1" max="2" width="2.90625" style="442" customWidth="1"/>
    <col min="3" max="3" width="6" style="442" customWidth="1"/>
    <col min="4" max="4" width="15.90625" style="442" customWidth="1"/>
    <col min="5" max="5" width="2.90625" style="442" customWidth="1"/>
    <col min="6" max="6" width="8.90625" style="442" customWidth="1"/>
    <col min="7" max="7" width="3.90625" style="442" customWidth="1"/>
    <col min="8" max="8" width="12.90625" style="442" customWidth="1"/>
    <col min="9" max="9" width="6.54296875" style="442" customWidth="1"/>
    <col min="10" max="10" width="11.453125" style="442" customWidth="1"/>
    <col min="11" max="11" width="3.90625" style="442" customWidth="1"/>
    <col min="12" max="12" width="2.453125" style="442" customWidth="1"/>
    <col min="13" max="13" width="11.453125" style="442" customWidth="1"/>
    <col min="14" max="14" width="8" style="442" customWidth="1"/>
    <col min="15" max="15" width="1.90625" style="442" customWidth="1"/>
    <col min="16" max="16" width="4.90625" style="442" customWidth="1"/>
    <col min="17" max="17" width="18" style="442" customWidth="1"/>
    <col min="18" max="18" width="10.90625" style="442" customWidth="1"/>
    <col min="19" max="19" width="8" style="442" customWidth="1"/>
    <col min="20" max="20" width="2" style="442" customWidth="1"/>
    <col min="21" max="21" width="8" style="442" customWidth="1"/>
    <col min="22" max="22" width="1.54296875" style="442" customWidth="1"/>
    <col min="23" max="23" width="1.453125" style="442" customWidth="1"/>
    <col min="24" max="25" width="8" style="442" customWidth="1"/>
    <col min="26" max="16384" width="8" style="442"/>
  </cols>
  <sheetData>
    <row r="1" spans="1:19" ht="15">
      <c r="A1" s="609"/>
      <c r="B1" s="610"/>
      <c r="C1" s="611" t="s">
        <v>71</v>
      </c>
      <c r="D1" s="1602" t="str">
        <f>DistrictName</f>
        <v>MADISON ELEMENTARY SCHOOL DISTRICT</v>
      </c>
      <c r="E1" s="1472"/>
      <c r="F1" s="612" t="s">
        <v>1</v>
      </c>
      <c r="G1" s="1602" t="str">
        <f>Cover!H1</f>
        <v>MARICOPA</v>
      </c>
      <c r="H1" s="1472"/>
      <c r="I1" s="1472"/>
      <c r="K1" s="424"/>
      <c r="L1" s="613" t="s">
        <v>438</v>
      </c>
      <c r="M1" s="614" t="str">
        <f>Cover!S1</f>
        <v>070438000</v>
      </c>
    </row>
    <row r="2" spans="1:19" ht="15" customHeight="1">
      <c r="A2" s="615"/>
      <c r="B2" s="610"/>
      <c r="C2" s="610"/>
      <c r="D2" s="610"/>
      <c r="E2" s="610"/>
      <c r="F2" s="610"/>
      <c r="G2" s="610"/>
      <c r="H2" s="610"/>
      <c r="I2" s="610"/>
      <c r="J2" s="610"/>
      <c r="K2" s="122"/>
      <c r="L2" s="616" t="s">
        <v>74</v>
      </c>
      <c r="M2" s="617" t="str">
        <f>Cover!C8</f>
        <v>Adopted</v>
      </c>
    </row>
    <row r="3" spans="1:19" ht="12" customHeight="1">
      <c r="A3" s="1604" t="s">
        <v>439</v>
      </c>
      <c r="B3" s="1605"/>
      <c r="C3" s="1605"/>
      <c r="D3" s="1605"/>
      <c r="E3" s="1605"/>
      <c r="F3" s="1605"/>
      <c r="G3" s="1605"/>
      <c r="H3" s="1605"/>
      <c r="I3" s="1605"/>
      <c r="J3" s="1605"/>
      <c r="K3" s="1605"/>
      <c r="L3" s="1605"/>
      <c r="M3" s="1605"/>
    </row>
    <row r="4" spans="1:19" ht="12" customHeight="1">
      <c r="A4" s="618" t="s">
        <v>440</v>
      </c>
      <c r="B4" s="619"/>
      <c r="C4" s="619"/>
      <c r="D4" s="619"/>
      <c r="E4" s="619"/>
      <c r="F4" s="620"/>
      <c r="G4" s="620"/>
      <c r="H4" s="620"/>
      <c r="I4" s="620"/>
      <c r="J4" s="620"/>
      <c r="K4" s="619"/>
      <c r="L4" s="619"/>
      <c r="M4" s="621"/>
    </row>
    <row r="5" spans="1:19" ht="3" customHeight="1">
      <c r="A5" s="618"/>
      <c r="B5" s="619"/>
      <c r="C5" s="619"/>
      <c r="D5" s="619"/>
      <c r="E5" s="619"/>
      <c r="F5" s="619"/>
      <c r="G5" s="619"/>
      <c r="H5" s="619"/>
      <c r="I5" s="619"/>
      <c r="J5" s="619"/>
      <c r="K5" s="619"/>
      <c r="L5" s="619"/>
      <c r="M5" s="621"/>
    </row>
    <row r="6" spans="1:19" ht="9.75" customHeight="1">
      <c r="A6" s="622"/>
      <c r="B6" s="610"/>
      <c r="C6" s="610"/>
      <c r="D6" s="610"/>
      <c r="E6" s="610"/>
      <c r="F6" s="610"/>
      <c r="G6" s="610"/>
      <c r="H6" s="610"/>
      <c r="I6" s="610"/>
      <c r="J6" s="623" t="s">
        <v>441</v>
      </c>
      <c r="K6" s="619"/>
      <c r="L6" s="619"/>
      <c r="M6" s="624" t="s">
        <v>442</v>
      </c>
    </row>
    <row r="7" spans="1:19" ht="10.5" customHeight="1">
      <c r="A7" s="625" t="s">
        <v>53</v>
      </c>
      <c r="B7" s="619"/>
      <c r="C7" s="619"/>
      <c r="D7" s="619"/>
      <c r="E7" s="619"/>
      <c r="F7" s="619"/>
      <c r="G7" s="619"/>
      <c r="H7" s="619"/>
      <c r="I7" s="619"/>
      <c r="J7" s="623" t="s">
        <v>443</v>
      </c>
      <c r="K7" s="626"/>
      <c r="L7" s="610"/>
      <c r="M7" s="624" t="s">
        <v>444</v>
      </c>
    </row>
    <row r="8" spans="1:19" ht="10.5" customHeight="1">
      <c r="A8" s="625"/>
      <c r="B8" s="619"/>
      <c r="C8" s="619"/>
      <c r="D8" s="619"/>
      <c r="E8" s="619"/>
      <c r="F8" s="619"/>
      <c r="G8" s="619"/>
      <c r="H8" s="619"/>
      <c r="I8" s="619"/>
      <c r="J8" s="627" t="s">
        <v>445</v>
      </c>
      <c r="K8" s="626"/>
      <c r="L8" s="610"/>
      <c r="M8" s="628" t="s">
        <v>446</v>
      </c>
    </row>
    <row r="9" spans="1:19" ht="11.25" customHeight="1">
      <c r="A9" s="241" t="s">
        <v>447</v>
      </c>
      <c r="B9" s="629" t="s">
        <v>448</v>
      </c>
      <c r="C9" s="630"/>
      <c r="D9" s="620"/>
      <c r="E9" s="620"/>
      <c r="F9" s="620"/>
      <c r="G9" s="619"/>
      <c r="H9" s="610"/>
      <c r="I9" s="619"/>
      <c r="J9" s="612"/>
      <c r="K9" s="626"/>
      <c r="L9" s="610"/>
      <c r="M9" s="424"/>
      <c r="N9" s="1583" t="str">
        <f>IF((H10-J10)&gt;=0,"","The RCL amount allocated to the M and O Fund exceeds the calculated RCL amount.")</f>
        <v/>
      </c>
      <c r="O9" s="1583"/>
      <c r="P9" s="1583"/>
      <c r="Q9" s="1583"/>
      <c r="R9" s="1583"/>
      <c r="S9" s="1583"/>
    </row>
    <row r="10" spans="1:19" ht="12.75" customHeight="1">
      <c r="A10" s="424"/>
      <c r="B10" s="631" t="s">
        <v>449</v>
      </c>
      <c r="C10" s="630"/>
      <c r="D10" s="632"/>
      <c r="E10" s="632"/>
      <c r="F10" s="632"/>
      <c r="G10" s="633" t="s">
        <v>450</v>
      </c>
      <c r="H10" s="165">
        <f>RCL</f>
        <v>35812809</v>
      </c>
      <c r="I10" s="634" t="s">
        <v>450</v>
      </c>
      <c r="J10" s="2">
        <v>35812809</v>
      </c>
      <c r="K10" s="636"/>
      <c r="L10" s="634" t="s">
        <v>450</v>
      </c>
      <c r="M10" s="637">
        <f>IF((H10-J10)&lt;0,"Error",H10-J10)</f>
        <v>0</v>
      </c>
      <c r="N10" s="1583"/>
      <c r="O10" s="1583"/>
      <c r="P10" s="1583"/>
      <c r="Q10" s="1583"/>
      <c r="R10" s="1583"/>
      <c r="S10" s="1583"/>
    </row>
    <row r="11" spans="1:19" ht="12" hidden="1">
      <c r="A11" s="638"/>
      <c r="B11" s="639"/>
      <c r="C11" s="640"/>
      <c r="D11" s="610"/>
      <c r="E11" s="610"/>
      <c r="F11" s="610"/>
      <c r="G11" s="634"/>
      <c r="H11" s="641"/>
      <c r="I11" s="636"/>
      <c r="J11" s="636"/>
      <c r="K11" s="636"/>
      <c r="L11" s="610"/>
      <c r="M11" s="636"/>
    </row>
    <row r="12" spans="1:19" ht="3" customHeight="1">
      <c r="A12" s="642"/>
      <c r="B12" s="639"/>
      <c r="C12" s="1609"/>
      <c r="D12" s="1609"/>
      <c r="E12" s="1609"/>
      <c r="F12" s="1609"/>
      <c r="G12" s="634"/>
      <c r="H12" s="423"/>
      <c r="I12" s="636"/>
      <c r="J12" s="636"/>
      <c r="K12" s="636"/>
      <c r="L12" s="610"/>
      <c r="M12" s="636"/>
    </row>
    <row r="13" spans="1:19" ht="13.5" hidden="1" customHeight="1">
      <c r="A13" s="643"/>
      <c r="B13" s="644"/>
      <c r="C13" s="640"/>
      <c r="D13" s="424"/>
      <c r="E13" s="610"/>
      <c r="F13" s="610"/>
      <c r="G13" s="634"/>
      <c r="H13" s="632"/>
    </row>
    <row r="14" spans="1:19" ht="25.5" customHeight="1">
      <c r="A14" s="645" t="s">
        <v>451</v>
      </c>
      <c r="B14" s="646" t="s">
        <v>452</v>
      </c>
      <c r="C14" s="1600" t="s">
        <v>453</v>
      </c>
      <c r="D14" s="1600"/>
      <c r="E14" s="1600"/>
      <c r="F14" s="1600"/>
      <c r="G14" s="633" t="s">
        <v>450</v>
      </c>
      <c r="H14" s="635">
        <f>PreAdjDAA</f>
        <v>2889689</v>
      </c>
      <c r="I14" s="634"/>
      <c r="J14" s="423"/>
      <c r="K14" s="636"/>
      <c r="L14" s="610"/>
      <c r="M14" s="423"/>
    </row>
    <row r="15" spans="1:19" ht="12.75" customHeight="1">
      <c r="A15" s="642"/>
      <c r="B15" s="646" t="s">
        <v>454</v>
      </c>
      <c r="C15" s="1608" t="s">
        <v>455</v>
      </c>
      <c r="D15" s="1608"/>
      <c r="E15" s="1608"/>
      <c r="F15" s="1608"/>
      <c r="G15" s="633" t="s">
        <v>450</v>
      </c>
      <c r="H15" s="635">
        <f>TotalDAAAdj</f>
        <v>0</v>
      </c>
      <c r="I15" s="634"/>
      <c r="J15" s="423"/>
      <c r="K15" s="636"/>
      <c r="L15" s="610"/>
      <c r="M15" s="423"/>
      <c r="N15" s="1583"/>
      <c r="O15" s="1583"/>
      <c r="P15" s="1583"/>
      <c r="Q15" s="1583"/>
      <c r="R15" s="1583"/>
      <c r="S15" s="1583"/>
    </row>
    <row r="16" spans="1:19" ht="27" hidden="1" customHeight="1">
      <c r="A16" s="642"/>
      <c r="B16" s="649"/>
      <c r="C16" s="1600"/>
      <c r="D16" s="1600"/>
      <c r="E16" s="1600"/>
      <c r="F16" s="1600"/>
      <c r="G16" s="634"/>
      <c r="H16" s="650"/>
      <c r="I16" s="634"/>
      <c r="J16" s="423"/>
      <c r="K16" s="636"/>
      <c r="L16" s="610"/>
      <c r="M16" s="423"/>
      <c r="N16" s="1583"/>
      <c r="O16" s="1583"/>
      <c r="P16" s="1583"/>
      <c r="Q16" s="1583"/>
      <c r="R16" s="1583"/>
      <c r="S16" s="1583"/>
    </row>
    <row r="17" spans="1:21" ht="12.75" customHeight="1">
      <c r="A17" s="638"/>
      <c r="B17" s="651" t="s">
        <v>456</v>
      </c>
      <c r="C17" s="273" t="s">
        <v>457</v>
      </c>
      <c r="D17" s="632"/>
      <c r="E17" s="610"/>
      <c r="F17" s="610"/>
      <c r="G17" s="634" t="s">
        <v>450</v>
      </c>
      <c r="H17" s="652">
        <f>H14+H15</f>
        <v>2889689</v>
      </c>
      <c r="I17" s="634"/>
      <c r="J17" s="114">
        <v>1909000</v>
      </c>
      <c r="K17" s="636"/>
      <c r="L17" s="610"/>
      <c r="M17" s="653">
        <f>IF((H17-J17)&lt;0,"Error",H17-J17)</f>
        <v>980689</v>
      </c>
      <c r="N17" s="1583"/>
      <c r="O17" s="1583"/>
      <c r="P17" s="1583"/>
      <c r="Q17" s="1583"/>
      <c r="R17" s="1583"/>
      <c r="S17" s="1583"/>
    </row>
    <row r="18" spans="1:21" ht="44.25" customHeight="1">
      <c r="A18" s="654" t="s">
        <v>458</v>
      </c>
      <c r="B18" s="1584" t="s">
        <v>459</v>
      </c>
      <c r="C18" s="1584"/>
      <c r="D18" s="1584"/>
      <c r="E18" s="1584"/>
      <c r="F18" s="1584"/>
      <c r="G18" s="1584"/>
      <c r="H18" s="1584"/>
      <c r="I18" s="1584"/>
      <c r="J18" s="641"/>
      <c r="K18" s="636"/>
      <c r="L18" s="610"/>
      <c r="M18" s="636"/>
    </row>
    <row r="19" spans="1:21" ht="12">
      <c r="A19" s="634"/>
      <c r="B19" s="655" t="s">
        <v>452</v>
      </c>
      <c r="C19" s="632" t="s">
        <v>460</v>
      </c>
      <c r="D19" s="632"/>
      <c r="E19" s="610"/>
      <c r="F19" s="610"/>
      <c r="G19" s="610"/>
      <c r="H19" s="610"/>
      <c r="I19" s="634" t="s">
        <v>53</v>
      </c>
      <c r="J19" s="117">
        <f>0.15*J10</f>
        <v>5371921</v>
      </c>
      <c r="K19" s="636"/>
      <c r="L19" s="610"/>
      <c r="M19" s="636"/>
    </row>
    <row r="20" spans="1:21" ht="12" customHeight="1">
      <c r="A20" s="642"/>
      <c r="B20" s="655" t="s">
        <v>454</v>
      </c>
      <c r="C20" s="632" t="s">
        <v>307</v>
      </c>
      <c r="D20" s="632"/>
      <c r="E20" s="610"/>
      <c r="F20" s="610"/>
      <c r="G20" s="610"/>
      <c r="H20" s="610"/>
      <c r="I20" s="634"/>
      <c r="J20" s="656"/>
      <c r="K20" s="636"/>
      <c r="L20" s="610"/>
      <c r="M20" s="117">
        <f>0.1*J10</f>
        <v>3581281</v>
      </c>
    </row>
    <row r="21" spans="1:21" ht="12" customHeight="1">
      <c r="A21" s="634"/>
      <c r="B21" s="139" t="s">
        <v>456</v>
      </c>
      <c r="C21" s="632" t="s">
        <v>461</v>
      </c>
      <c r="D21" s="632"/>
      <c r="E21" s="610"/>
      <c r="F21" s="610"/>
      <c r="G21" s="610"/>
      <c r="H21" s="610"/>
      <c r="I21" s="634" t="s">
        <v>53</v>
      </c>
      <c r="J21" s="117">
        <v>0</v>
      </c>
      <c r="K21" s="636"/>
      <c r="L21" s="640"/>
      <c r="M21" s="3">
        <v>0</v>
      </c>
    </row>
    <row r="22" spans="1:21" ht="12" customHeight="1">
      <c r="A22" s="657" t="s">
        <v>462</v>
      </c>
      <c r="B22" s="1606" t="s">
        <v>463</v>
      </c>
      <c r="C22" s="1607"/>
      <c r="D22" s="1607"/>
      <c r="E22" s="1607"/>
      <c r="F22" s="1607"/>
      <c r="G22" s="1607"/>
      <c r="H22" s="1607"/>
      <c r="I22" s="1603"/>
      <c r="J22" s="641"/>
      <c r="K22" s="636"/>
      <c r="L22" s="610"/>
      <c r="M22" s="656"/>
      <c r="O22" s="1587" t="str">
        <f>IF(AND('Data Entry'!J22&gt;0,OR(AND(UnweightedStudCntK8PY&gt;0,UnweightedStudCntK8PY&lt;=125),AND(UnweightedStudCnt912PY&gt;0,UnweightedStudCnt912PY&lt;=100)),(AND(SSA_MO=0,SSA_UCO=0))),"Reported FY 2022 ADM for K-8 and/or 9-12 is eligible for a small school adjustment. Amounts cannot be added or increased on line 4 after budget adoption.","")</f>
        <v/>
      </c>
      <c r="P22" s="1587"/>
      <c r="Q22" s="1587"/>
      <c r="R22" s="1587"/>
      <c r="S22" s="1587"/>
      <c r="T22" s="1587"/>
      <c r="U22" s="1587"/>
    </row>
    <row r="23" spans="1:21" ht="24" customHeight="1">
      <c r="A23" s="643"/>
      <c r="B23" s="1607"/>
      <c r="C23" s="1607"/>
      <c r="D23" s="1607"/>
      <c r="E23" s="1607"/>
      <c r="F23" s="1607"/>
      <c r="G23" s="1607"/>
      <c r="H23" s="1607"/>
      <c r="I23" s="1603"/>
      <c r="J23" s="2">
        <v>0</v>
      </c>
      <c r="K23" s="636"/>
      <c r="L23" s="610"/>
      <c r="M23" s="3">
        <v>0</v>
      </c>
      <c r="O23" s="1587"/>
      <c r="P23" s="1587"/>
      <c r="Q23" s="1587"/>
      <c r="R23" s="1587"/>
      <c r="S23" s="1587"/>
      <c r="T23" s="1587"/>
      <c r="U23" s="1587"/>
    </row>
    <row r="24" spans="1:21" s="661" customFormat="1" ht="12" customHeight="1">
      <c r="A24" s="654" t="s">
        <v>464</v>
      </c>
      <c r="B24" s="658" t="s">
        <v>465</v>
      </c>
      <c r="C24" s="659"/>
      <c r="D24" s="659"/>
      <c r="E24" s="659"/>
      <c r="F24" s="659"/>
      <c r="G24" s="659"/>
      <c r="H24" s="659"/>
      <c r="I24" s="659"/>
      <c r="J24" s="659"/>
      <c r="K24" s="660"/>
      <c r="L24" s="659"/>
      <c r="M24" s="660"/>
    </row>
    <row r="25" spans="1:21" ht="13.5" customHeight="1">
      <c r="A25" s="662"/>
      <c r="B25" s="663" t="s">
        <v>1341</v>
      </c>
      <c r="C25" s="632"/>
      <c r="D25" s="632"/>
      <c r="E25" s="632"/>
      <c r="F25" s="632"/>
      <c r="G25" s="632"/>
      <c r="H25" s="610"/>
      <c r="I25" s="610"/>
      <c r="J25" s="610"/>
      <c r="K25" s="636"/>
      <c r="L25" s="610"/>
      <c r="M25" s="636"/>
    </row>
    <row r="26" spans="1:21" ht="12">
      <c r="A26" s="662"/>
      <c r="B26" s="610" t="s">
        <v>452</v>
      </c>
      <c r="C26" s="632" t="s">
        <v>466</v>
      </c>
      <c r="D26" s="632"/>
      <c r="E26" s="610"/>
      <c r="F26" s="610"/>
      <c r="G26" s="610"/>
      <c r="H26" s="610"/>
      <c r="I26" s="634" t="s">
        <v>53</v>
      </c>
      <c r="J26" s="117">
        <v>0</v>
      </c>
      <c r="K26" s="636"/>
      <c r="L26" s="610"/>
      <c r="M26" s="117">
        <v>0</v>
      </c>
    </row>
    <row r="27" spans="1:21" ht="12" customHeight="1">
      <c r="A27" s="662"/>
      <c r="B27" s="610" t="s">
        <v>454</v>
      </c>
      <c r="C27" s="610" t="s">
        <v>467</v>
      </c>
      <c r="D27" s="610"/>
      <c r="E27" s="610"/>
      <c r="F27" s="610"/>
      <c r="G27" s="610"/>
      <c r="H27" s="610"/>
      <c r="I27" s="634" t="s">
        <v>53</v>
      </c>
      <c r="J27" s="2">
        <v>0</v>
      </c>
      <c r="K27" s="636"/>
      <c r="L27" s="610"/>
      <c r="M27" s="3">
        <v>0</v>
      </c>
    </row>
    <row r="28" spans="1:21" ht="12" customHeight="1">
      <c r="A28" s="662"/>
      <c r="B28" s="610" t="s">
        <v>456</v>
      </c>
      <c r="C28" s="610" t="s">
        <v>468</v>
      </c>
      <c r="D28" s="632"/>
      <c r="E28" s="632"/>
      <c r="F28" s="610"/>
      <c r="G28" s="610"/>
      <c r="H28" s="610"/>
      <c r="I28" s="634" t="s">
        <v>53</v>
      </c>
      <c r="J28" s="2">
        <v>0</v>
      </c>
      <c r="K28" s="636"/>
      <c r="L28" s="610"/>
      <c r="M28" s="3">
        <v>0</v>
      </c>
    </row>
    <row r="29" spans="1:21" ht="12" customHeight="1">
      <c r="A29" s="662"/>
      <c r="B29" s="655" t="s">
        <v>469</v>
      </c>
      <c r="C29" s="640" t="s">
        <v>470</v>
      </c>
      <c r="D29" s="610"/>
      <c r="E29" s="610"/>
      <c r="F29" s="610"/>
      <c r="G29" s="610"/>
      <c r="H29" s="610"/>
      <c r="I29" s="634" t="s">
        <v>53</v>
      </c>
      <c r="J29" s="117">
        <v>0</v>
      </c>
      <c r="K29" s="636"/>
      <c r="L29" s="610"/>
      <c r="M29" s="117">
        <v>0</v>
      </c>
    </row>
    <row r="30" spans="1:21" ht="14.25" customHeight="1">
      <c r="A30" s="657" t="s">
        <v>471</v>
      </c>
      <c r="B30" s="632" t="s">
        <v>472</v>
      </c>
      <c r="C30" s="632"/>
      <c r="D30" s="632"/>
      <c r="E30" s="632"/>
      <c r="F30" s="632"/>
      <c r="G30" s="632"/>
      <c r="H30" s="632"/>
      <c r="I30" s="632"/>
      <c r="J30" s="2">
        <v>0</v>
      </c>
      <c r="K30" s="636"/>
      <c r="L30" s="610"/>
      <c r="M30" s="3">
        <v>0</v>
      </c>
    </row>
    <row r="31" spans="1:21" ht="14.25" customHeight="1">
      <c r="A31" s="657" t="s">
        <v>473</v>
      </c>
      <c r="B31" s="664" t="s">
        <v>474</v>
      </c>
      <c r="C31" s="632"/>
      <c r="D31" s="632"/>
      <c r="E31" s="632"/>
      <c r="F31" s="632"/>
      <c r="G31" s="632"/>
      <c r="H31" s="632"/>
      <c r="I31" s="610"/>
      <c r="J31" s="641"/>
      <c r="K31" s="636"/>
      <c r="L31" s="610"/>
      <c r="M31" s="1589"/>
    </row>
    <row r="32" spans="1:21" ht="24" customHeight="1">
      <c r="A32" s="662"/>
      <c r="B32" s="1588" t="s">
        <v>475</v>
      </c>
      <c r="C32" s="1588"/>
      <c r="D32" s="1588"/>
      <c r="E32" s="1588"/>
      <c r="F32" s="1588"/>
      <c r="G32" s="1588"/>
      <c r="H32" s="1588"/>
      <c r="I32" s="634"/>
      <c r="J32" s="117">
        <v>0</v>
      </c>
      <c r="K32" s="636"/>
      <c r="L32" s="610"/>
      <c r="M32" s="1496"/>
    </row>
    <row r="33" spans="1:23" ht="12" customHeight="1">
      <c r="A33" s="154" t="s">
        <v>172</v>
      </c>
      <c r="B33" s="610" t="s">
        <v>476</v>
      </c>
      <c r="C33" s="610"/>
      <c r="D33" s="632"/>
      <c r="E33" s="610"/>
      <c r="F33" s="610"/>
      <c r="G33" s="610"/>
      <c r="H33" s="610"/>
      <c r="I33" s="610"/>
      <c r="J33" s="641"/>
      <c r="K33" s="636"/>
      <c r="L33" s="610"/>
      <c r="M33" s="636"/>
      <c r="O33" s="665"/>
      <c r="P33" s="630"/>
      <c r="Q33" s="630"/>
      <c r="R33" s="630"/>
      <c r="S33" s="630"/>
      <c r="T33" s="630"/>
      <c r="U33" s="630"/>
      <c r="V33" s="630"/>
    </row>
    <row r="34" spans="1:23" ht="13.5" customHeight="1">
      <c r="A34" s="662"/>
      <c r="B34" s="655" t="s">
        <v>452</v>
      </c>
      <c r="C34" s="1595" t="s">
        <v>477</v>
      </c>
      <c r="D34" s="1595"/>
      <c r="E34" s="1595"/>
      <c r="F34" s="1595"/>
      <c r="G34" s="1595"/>
      <c r="H34" s="1595"/>
      <c r="I34" s="1595"/>
      <c r="J34" s="117">
        <v>0</v>
      </c>
      <c r="K34" s="636"/>
      <c r="L34" s="610"/>
      <c r="M34" s="117">
        <v>0</v>
      </c>
      <c r="O34" s="667"/>
      <c r="P34" s="155"/>
      <c r="Q34" s="155"/>
      <c r="R34" s="155"/>
      <c r="S34" s="155"/>
      <c r="T34" s="155"/>
      <c r="U34" s="350"/>
      <c r="V34" s="350"/>
      <c r="W34" s="350"/>
    </row>
    <row r="35" spans="1:23" ht="26.25" customHeight="1">
      <c r="A35" s="642" t="s">
        <v>478</v>
      </c>
      <c r="B35" s="655" t="s">
        <v>454</v>
      </c>
      <c r="C35" s="1588" t="s">
        <v>479</v>
      </c>
      <c r="D35" s="1588"/>
      <c r="E35" s="1588"/>
      <c r="F35" s="1588"/>
      <c r="G35" s="1588"/>
      <c r="H35" s="1588"/>
      <c r="I35" s="668" t="s">
        <v>53</v>
      </c>
      <c r="J35" s="652">
        <f>Calculations!R105</f>
        <v>2000000</v>
      </c>
      <c r="K35" s="636"/>
      <c r="L35" s="610"/>
      <c r="M35" s="636"/>
      <c r="O35" s="350"/>
      <c r="P35" s="350"/>
      <c r="Q35" s="350"/>
      <c r="R35" s="350"/>
      <c r="S35" s="350"/>
      <c r="T35" s="350"/>
      <c r="U35" s="350"/>
      <c r="V35" s="350"/>
      <c r="W35" s="350"/>
    </row>
    <row r="36" spans="1:23" ht="14.25" customHeight="1" thickBot="1">
      <c r="A36" s="662"/>
      <c r="B36" s="655" t="s">
        <v>456</v>
      </c>
      <c r="C36" s="632" t="s">
        <v>480</v>
      </c>
      <c r="D36" s="632"/>
      <c r="E36" s="632"/>
      <c r="F36" s="632"/>
      <c r="G36" s="632"/>
      <c r="H36" s="632"/>
      <c r="I36" s="668" t="s">
        <v>53</v>
      </c>
      <c r="J36" s="2">
        <v>0</v>
      </c>
      <c r="K36" s="636"/>
      <c r="L36" s="610"/>
      <c r="M36" s="116">
        <v>0</v>
      </c>
      <c r="O36" s="281"/>
      <c r="P36" s="122"/>
      <c r="Q36" s="122"/>
      <c r="R36" s="122"/>
      <c r="S36" s="122"/>
      <c r="T36" s="122"/>
      <c r="U36" s="122"/>
      <c r="V36" s="630"/>
    </row>
    <row r="37" spans="1:23" ht="14.25" customHeight="1" thickBot="1">
      <c r="A37" s="662"/>
      <c r="B37" s="655" t="s">
        <v>469</v>
      </c>
      <c r="C37" s="664" t="s">
        <v>481</v>
      </c>
      <c r="D37" s="632"/>
      <c r="E37" s="632"/>
      <c r="F37" s="632"/>
      <c r="G37" s="632"/>
      <c r="H37" s="632"/>
      <c r="I37" s="668"/>
      <c r="J37" s="641"/>
      <c r="K37" s="636"/>
      <c r="L37" s="610"/>
      <c r="M37" s="669"/>
      <c r="N37" s="1586" t="str">
        <f>IF(AND(OR(J38&gt;0,M38&gt;0),T37&lt;&gt;"X"),"Districts with amounts on this line should have a FY 2022 Request Letter on file with ADE. Use the check box in T39 after verifying that ADE has the letter.","")</f>
        <v/>
      </c>
      <c r="O37" s="1586"/>
      <c r="P37" s="1586"/>
      <c r="Q37" s="1586"/>
      <c r="R37" s="1586"/>
      <c r="S37" s="1586"/>
      <c r="T37" s="70"/>
    </row>
    <row r="38" spans="1:23" ht="12.75" customHeight="1">
      <c r="A38" s="662"/>
      <c r="B38" s="632"/>
      <c r="C38" s="670" t="s">
        <v>1354</v>
      </c>
      <c r="D38" s="671"/>
      <c r="E38" s="632"/>
      <c r="F38" s="632"/>
      <c r="G38" s="632"/>
      <c r="H38" s="632"/>
      <c r="I38" s="668"/>
      <c r="J38" s="117">
        <v>0</v>
      </c>
      <c r="K38" s="636"/>
      <c r="L38" s="610"/>
      <c r="M38" s="117">
        <v>0</v>
      </c>
      <c r="N38" s="1586"/>
      <c r="O38" s="1586"/>
      <c r="P38" s="1586"/>
      <c r="Q38" s="1586"/>
      <c r="R38" s="1586"/>
      <c r="S38" s="1586"/>
      <c r="T38" s="427"/>
    </row>
    <row r="39" spans="1:23" ht="14.25" customHeight="1">
      <c r="A39" s="642" t="s">
        <v>478</v>
      </c>
      <c r="B39" s="655" t="s">
        <v>482</v>
      </c>
      <c r="C39" s="1590" t="s">
        <v>483</v>
      </c>
      <c r="D39" s="1590"/>
      <c r="E39" s="1590"/>
      <c r="F39" s="1590"/>
      <c r="G39" s="1590"/>
      <c r="H39" s="1590"/>
      <c r="I39" s="1590"/>
      <c r="J39" s="117">
        <v>0</v>
      </c>
      <c r="K39" s="636"/>
      <c r="L39" s="610"/>
      <c r="M39" s="117">
        <v>0</v>
      </c>
      <c r="O39" s="673"/>
      <c r="P39" s="122"/>
      <c r="Q39" s="122"/>
      <c r="R39" s="122"/>
      <c r="S39" s="129"/>
      <c r="T39" s="427"/>
    </row>
    <row r="40" spans="1:23" ht="13.5" customHeight="1">
      <c r="A40" s="638" t="s">
        <v>478</v>
      </c>
      <c r="B40" s="655" t="s">
        <v>484</v>
      </c>
      <c r="C40" s="629" t="s">
        <v>485</v>
      </c>
      <c r="D40" s="664"/>
      <c r="E40" s="664"/>
      <c r="F40" s="664"/>
      <c r="G40" s="664"/>
      <c r="H40" s="664"/>
      <c r="I40" s="674"/>
      <c r="J40" s="1593">
        <f>Calculations!R101</f>
        <v>0</v>
      </c>
      <c r="K40" s="636"/>
      <c r="L40" s="610"/>
      <c r="M40" s="636"/>
      <c r="O40" s="281"/>
      <c r="P40" s="122"/>
      <c r="Q40" s="122"/>
      <c r="R40" s="122"/>
      <c r="S40" s="122"/>
      <c r="T40" s="122"/>
    </row>
    <row r="41" spans="1:23" ht="13.5" customHeight="1">
      <c r="A41" s="642"/>
      <c r="B41" s="671"/>
      <c r="C41" s="675" t="s">
        <v>486</v>
      </c>
      <c r="D41" s="666"/>
      <c r="E41" s="666"/>
      <c r="F41" s="666"/>
      <c r="G41" s="666"/>
      <c r="H41" s="666"/>
      <c r="I41" s="674"/>
      <c r="J41" s="1594"/>
      <c r="K41" s="636"/>
      <c r="L41" s="610"/>
      <c r="M41" s="636"/>
      <c r="O41" s="630"/>
      <c r="P41" s="444"/>
      <c r="Q41" s="122"/>
      <c r="R41" s="122"/>
      <c r="S41" s="122"/>
      <c r="T41" s="122"/>
    </row>
    <row r="42" spans="1:23" ht="12.75" customHeight="1">
      <c r="A42" s="676"/>
      <c r="B42" s="655" t="s">
        <v>487</v>
      </c>
      <c r="C42" s="675" t="s">
        <v>488</v>
      </c>
      <c r="D42" s="666"/>
      <c r="E42" s="666"/>
      <c r="F42" s="666"/>
      <c r="G42" s="666"/>
      <c r="H42" s="666"/>
      <c r="I42" s="674"/>
      <c r="J42" s="36">
        <v>0</v>
      </c>
      <c r="K42" s="677"/>
      <c r="L42" s="610"/>
      <c r="M42" s="636"/>
      <c r="O42" s="665"/>
      <c r="P42" s="665"/>
      <c r="Q42" s="122"/>
      <c r="R42" s="122"/>
      <c r="S42" s="122"/>
      <c r="T42" s="122"/>
    </row>
    <row r="43" spans="1:23" ht="12.75" customHeight="1">
      <c r="A43" s="678" t="s">
        <v>478</v>
      </c>
      <c r="B43" s="655" t="s">
        <v>489</v>
      </c>
      <c r="C43" s="1601" t="s">
        <v>490</v>
      </c>
      <c r="D43" s="1601"/>
      <c r="E43" s="1601"/>
      <c r="F43" s="1601"/>
      <c r="G43" s="1601"/>
      <c r="H43" s="1601"/>
      <c r="I43" s="1601"/>
      <c r="J43" s="47">
        <v>0</v>
      </c>
      <c r="K43" s="636"/>
      <c r="L43" s="610"/>
      <c r="M43" s="636"/>
    </row>
    <row r="44" spans="1:23" ht="24" customHeight="1">
      <c r="A44" s="679" t="s">
        <v>491</v>
      </c>
      <c r="B44" s="1600" t="s">
        <v>492</v>
      </c>
      <c r="C44" s="1600"/>
      <c r="D44" s="1600"/>
      <c r="E44" s="1600"/>
      <c r="F44" s="1600"/>
      <c r="G44" s="1600"/>
      <c r="H44" s="1600"/>
      <c r="I44" s="1600"/>
      <c r="J44" s="680"/>
      <c r="K44" s="636"/>
      <c r="L44" s="610"/>
      <c r="M44" s="636"/>
    </row>
    <row r="45" spans="1:23" ht="12.75" customHeight="1">
      <c r="A45" s="681"/>
      <c r="B45" s="647" t="s">
        <v>452</v>
      </c>
      <c r="C45" s="682" t="s">
        <v>493</v>
      </c>
      <c r="D45" s="647"/>
      <c r="E45" s="647"/>
      <c r="F45" s="647"/>
      <c r="G45" s="647"/>
      <c r="H45" s="647"/>
      <c r="I45" s="683"/>
      <c r="J45" s="684"/>
      <c r="K45" s="636"/>
      <c r="L45" s="610"/>
      <c r="M45" s="636"/>
    </row>
    <row r="46" spans="1:23" ht="12.75" customHeight="1">
      <c r="A46" s="681"/>
      <c r="B46" s="647"/>
      <c r="C46" s="1585"/>
      <c r="D46" s="1585"/>
      <c r="E46" s="1585"/>
      <c r="F46" s="1585"/>
      <c r="G46" s="1585"/>
      <c r="H46" s="647"/>
      <c r="I46" s="683"/>
      <c r="J46" s="52">
        <v>0</v>
      </c>
      <c r="K46" s="610"/>
      <c r="L46" s="636"/>
    </row>
    <row r="47" spans="1:23" ht="12.75" customHeight="1">
      <c r="A47" s="681"/>
      <c r="B47" s="647" t="s">
        <v>454</v>
      </c>
      <c r="C47" s="682" t="s">
        <v>494</v>
      </c>
      <c r="D47" s="682"/>
      <c r="E47" s="682"/>
      <c r="F47" s="682"/>
      <c r="G47" s="647"/>
      <c r="H47" s="647"/>
      <c r="I47" s="683"/>
      <c r="J47" s="53">
        <v>0</v>
      </c>
      <c r="K47" s="636"/>
      <c r="L47" s="610"/>
      <c r="M47" s="636"/>
    </row>
    <row r="48" spans="1:23" ht="12.75" customHeight="1">
      <c r="A48" s="681"/>
      <c r="B48" s="686" t="s">
        <v>456</v>
      </c>
      <c r="C48" s="682" t="s">
        <v>495</v>
      </c>
      <c r="D48" s="682"/>
      <c r="E48" s="682"/>
      <c r="F48" s="682"/>
      <c r="G48" s="682"/>
      <c r="H48" s="647"/>
      <c r="I48" s="683"/>
      <c r="J48" s="53">
        <v>0</v>
      </c>
      <c r="K48" s="636"/>
      <c r="L48" s="610"/>
      <c r="M48" s="636"/>
    </row>
    <row r="49" spans="1:23" ht="12" hidden="1">
      <c r="A49" s="681"/>
      <c r="B49" s="647"/>
      <c r="C49" s="682"/>
      <c r="D49" s="682"/>
      <c r="E49" s="647"/>
      <c r="F49" s="647"/>
      <c r="G49" s="647"/>
      <c r="H49" s="647"/>
      <c r="I49" s="683"/>
      <c r="J49" s="66"/>
      <c r="K49" s="610"/>
      <c r="L49" s="636"/>
    </row>
    <row r="50" spans="1:23" ht="12.75" customHeight="1">
      <c r="A50" s="681"/>
      <c r="B50" s="688" t="s">
        <v>469</v>
      </c>
      <c r="C50" s="682" t="s">
        <v>496</v>
      </c>
      <c r="D50" s="682"/>
      <c r="E50" s="682"/>
      <c r="F50" s="682"/>
      <c r="G50" s="647"/>
      <c r="H50" s="647"/>
      <c r="I50" s="683"/>
      <c r="J50" s="65">
        <v>0</v>
      </c>
      <c r="K50" s="636"/>
      <c r="L50" s="610"/>
      <c r="M50" s="636"/>
    </row>
    <row r="51" spans="1:23" ht="12.75" customHeight="1">
      <c r="A51" s="681"/>
      <c r="B51" s="648" t="s">
        <v>482</v>
      </c>
      <c r="C51" s="682" t="s">
        <v>497</v>
      </c>
      <c r="D51" s="647"/>
      <c r="E51" s="682"/>
      <c r="F51" s="682"/>
      <c r="G51" s="647"/>
      <c r="H51" s="647"/>
      <c r="I51" s="683"/>
      <c r="J51" s="53">
        <v>0</v>
      </c>
      <c r="K51" s="610"/>
      <c r="L51" s="636"/>
    </row>
    <row r="52" spans="1:23" ht="12.75" customHeight="1">
      <c r="A52" s="681"/>
      <c r="B52" s="648" t="s">
        <v>484</v>
      </c>
      <c r="C52" s="682" t="s">
        <v>498</v>
      </c>
      <c r="D52" s="1597"/>
      <c r="E52" s="1597"/>
      <c r="F52" s="1597"/>
      <c r="G52" s="1597"/>
      <c r="H52" s="682"/>
      <c r="I52" s="683"/>
      <c r="J52" s="53">
        <v>0</v>
      </c>
      <c r="K52" s="636"/>
      <c r="L52" s="610"/>
      <c r="M52" s="636"/>
    </row>
    <row r="53" spans="1:23" ht="12.75" customHeight="1">
      <c r="A53" s="679" t="s">
        <v>499</v>
      </c>
      <c r="B53" s="682" t="s">
        <v>500</v>
      </c>
      <c r="C53" s="682"/>
      <c r="D53" s="682"/>
      <c r="E53" s="682"/>
      <c r="F53" s="682"/>
      <c r="G53" s="682"/>
      <c r="H53" s="682"/>
      <c r="I53" s="683"/>
      <c r="J53" s="53">
        <v>346608</v>
      </c>
      <c r="K53" s="636"/>
      <c r="L53" s="610"/>
      <c r="M53" s="57">
        <v>0</v>
      </c>
    </row>
    <row r="54" spans="1:23" ht="12.75" customHeight="1">
      <c r="A54" s="679" t="s">
        <v>501</v>
      </c>
      <c r="B54" s="689" t="s">
        <v>502</v>
      </c>
      <c r="C54" s="689"/>
      <c r="D54" s="689"/>
      <c r="E54" s="689"/>
      <c r="F54" s="689"/>
      <c r="G54" s="689"/>
      <c r="H54" s="689"/>
      <c r="I54" s="683"/>
      <c r="J54" s="53">
        <v>1362000</v>
      </c>
      <c r="K54" s="636"/>
      <c r="L54" s="610"/>
      <c r="M54" s="57">
        <v>0</v>
      </c>
    </row>
    <row r="55" spans="1:23" ht="14.25" customHeight="1">
      <c r="A55" s="690" t="s">
        <v>180</v>
      </c>
      <c r="B55" s="691" t="s">
        <v>503</v>
      </c>
      <c r="C55" s="632"/>
      <c r="D55" s="610"/>
      <c r="E55" s="610"/>
      <c r="F55" s="610"/>
      <c r="G55" s="610"/>
      <c r="H55" s="610"/>
      <c r="I55" s="636"/>
      <c r="J55" s="1598">
        <f>SUM(J10:J43)+SUM(J46:J54)</f>
        <v>46802338</v>
      </c>
      <c r="K55" s="636"/>
      <c r="L55" s="610" t="s">
        <v>53</v>
      </c>
      <c r="M55" s="636"/>
      <c r="O55" s="692"/>
      <c r="P55" s="667"/>
      <c r="Q55" s="667"/>
      <c r="R55" s="667"/>
      <c r="S55" s="667"/>
      <c r="T55" s="667"/>
    </row>
    <row r="56" spans="1:23" ht="14.25" customHeight="1" thickBot="1">
      <c r="A56" s="638"/>
      <c r="B56" s="640" t="s">
        <v>504</v>
      </c>
      <c r="C56" s="610"/>
      <c r="D56" s="632"/>
      <c r="E56" s="610"/>
      <c r="F56" s="610"/>
      <c r="G56" s="610"/>
      <c r="H56" s="610"/>
      <c r="I56" s="634" t="s">
        <v>450</v>
      </c>
      <c r="J56" s="1599"/>
      <c r="K56" s="636"/>
      <c r="L56" s="610"/>
      <c r="M56" s="636"/>
      <c r="O56" s="122"/>
      <c r="P56" s="122"/>
      <c r="Q56" s="122"/>
      <c r="R56" s="693"/>
      <c r="S56" s="630"/>
      <c r="T56" s="630"/>
      <c r="U56" s="630"/>
      <c r="V56" s="630"/>
    </row>
    <row r="57" spans="1:23" ht="12.75" customHeight="1" thickTop="1">
      <c r="A57" s="694" t="s">
        <v>182</v>
      </c>
      <c r="B57" s="664" t="s">
        <v>505</v>
      </c>
      <c r="C57" s="630"/>
      <c r="D57" s="630"/>
      <c r="E57" s="630"/>
      <c r="F57" s="630"/>
      <c r="G57" s="630"/>
      <c r="H57" s="630"/>
      <c r="J57" s="636"/>
      <c r="K57" s="636"/>
      <c r="L57" s="610"/>
      <c r="M57" s="1591">
        <f>SUM(M10:M39)+M53+M54</f>
        <v>4561970</v>
      </c>
      <c r="O57" s="155"/>
      <c r="P57" s="155"/>
      <c r="Q57" s="155"/>
      <c r="R57" s="155"/>
      <c r="S57" s="155"/>
      <c r="T57" s="155"/>
      <c r="U57" s="667"/>
      <c r="V57" s="695"/>
    </row>
    <row r="58" spans="1:23" ht="12.75" customHeight="1" thickBot="1">
      <c r="A58" s="696"/>
      <c r="B58" s="122" t="s">
        <v>506</v>
      </c>
      <c r="C58" s="630"/>
      <c r="D58" s="630"/>
      <c r="E58" s="630"/>
      <c r="F58" s="630"/>
      <c r="G58" s="630"/>
      <c r="H58" s="630"/>
      <c r="I58" s="634"/>
      <c r="J58" s="697"/>
      <c r="K58" s="636"/>
      <c r="L58" s="634" t="s">
        <v>450</v>
      </c>
      <c r="M58" s="1592"/>
      <c r="P58" s="122"/>
      <c r="Q58" s="129"/>
      <c r="R58" s="427"/>
      <c r="U58" s="630"/>
      <c r="V58" s="630"/>
    </row>
    <row r="59" spans="1:23" ht="13.5" customHeight="1" thickTop="1">
      <c r="A59" s="698"/>
      <c r="B59" s="643"/>
      <c r="C59" s="610"/>
      <c r="D59" s="610"/>
      <c r="E59" s="610"/>
      <c r="F59" s="610"/>
      <c r="G59" s="610"/>
      <c r="H59" s="610"/>
      <c r="I59" s="634"/>
      <c r="J59" s="610"/>
      <c r="K59" s="636"/>
      <c r="L59" s="610"/>
      <c r="M59" s="636"/>
      <c r="P59" s="424"/>
      <c r="Q59" s="699"/>
      <c r="R59" s="427"/>
      <c r="U59" s="1496"/>
      <c r="V59" s="1596"/>
    </row>
    <row r="60" spans="1:23" ht="13.5" customHeight="1">
      <c r="A60" s="613" t="s">
        <v>478</v>
      </c>
      <c r="B60" s="700" t="s">
        <v>507</v>
      </c>
      <c r="C60" s="122"/>
      <c r="D60" s="632"/>
      <c r="E60" s="632"/>
      <c r="F60" s="122"/>
      <c r="G60" s="632"/>
      <c r="H60" s="632"/>
      <c r="I60" s="632"/>
      <c r="J60" s="632"/>
      <c r="K60" s="632"/>
      <c r="L60" s="632"/>
      <c r="M60" s="424"/>
      <c r="P60" s="701"/>
      <c r="Q60" s="129"/>
      <c r="R60" s="427"/>
      <c r="U60" s="1496"/>
      <c r="V60" s="1496"/>
    </row>
    <row r="61" spans="1:23" ht="12" customHeight="1">
      <c r="A61" s="613"/>
      <c r="B61" s="643"/>
      <c r="C61" s="424"/>
      <c r="D61" s="610"/>
      <c r="E61" s="610"/>
      <c r="F61" s="610"/>
      <c r="G61" s="610"/>
      <c r="H61" s="610"/>
      <c r="I61" s="610"/>
      <c r="J61" s="610"/>
      <c r="K61" s="610"/>
      <c r="L61" s="610"/>
      <c r="M61" s="424"/>
      <c r="P61" s="122"/>
      <c r="Q61" s="154"/>
      <c r="R61" s="427"/>
      <c r="W61" s="350"/>
    </row>
    <row r="62" spans="1:23" ht="12.75" customHeight="1">
      <c r="A62" s="702"/>
      <c r="B62" s="424"/>
      <c r="C62" s="610"/>
      <c r="D62" s="610"/>
      <c r="E62" s="610"/>
      <c r="F62" s="610"/>
      <c r="G62" s="610"/>
      <c r="H62" s="610"/>
      <c r="I62" s="610"/>
      <c r="J62" s="610"/>
      <c r="K62" s="610"/>
      <c r="L62" s="610"/>
      <c r="M62" s="424"/>
      <c r="P62" s="281"/>
      <c r="Q62" s="703"/>
      <c r="R62" s="704"/>
    </row>
    <row r="63" spans="1:23" ht="12.75" customHeight="1">
      <c r="A63" s="705"/>
      <c r="B63" s="706"/>
      <c r="C63" s="706"/>
      <c r="D63" s="706"/>
      <c r="E63" s="706"/>
      <c r="F63" s="706"/>
      <c r="G63" s="706"/>
      <c r="H63" s="706"/>
      <c r="I63" s="706"/>
      <c r="J63" s="706"/>
      <c r="K63" s="706"/>
      <c r="L63" s="706"/>
      <c r="M63" s="706"/>
      <c r="P63" s="122"/>
    </row>
    <row r="64" spans="1:23" ht="12.75" customHeight="1">
      <c r="A64" s="705"/>
      <c r="B64" s="706"/>
      <c r="C64" s="706"/>
      <c r="D64" s="706"/>
      <c r="E64" s="706"/>
      <c r="F64" s="706"/>
      <c r="G64" s="706"/>
      <c r="H64" s="706"/>
      <c r="I64" s="706"/>
      <c r="J64" s="706"/>
      <c r="K64" s="706"/>
      <c r="L64" s="706"/>
      <c r="M64" s="706"/>
      <c r="O64" s="122"/>
      <c r="P64" s="122"/>
      <c r="Q64" s="122"/>
      <c r="R64" s="122"/>
      <c r="T64" s="122"/>
    </row>
    <row r="65" spans="1:22" ht="12.75" customHeight="1">
      <c r="A65" s="700"/>
      <c r="B65" s="706"/>
      <c r="C65" s="706"/>
      <c r="D65" s="706"/>
      <c r="E65" s="706"/>
      <c r="F65" s="706"/>
      <c r="G65" s="706"/>
      <c r="H65" s="706"/>
      <c r="I65" s="706"/>
      <c r="J65" s="706"/>
      <c r="K65" s="706"/>
      <c r="L65" s="706"/>
      <c r="M65" s="706"/>
    </row>
    <row r="66" spans="1:22" ht="11.25" customHeight="1">
      <c r="A66" s="707"/>
      <c r="B66" s="706"/>
      <c r="C66" s="706"/>
      <c r="D66" s="706"/>
      <c r="E66" s="706"/>
      <c r="F66" s="706"/>
      <c r="G66" s="706"/>
      <c r="H66" s="706"/>
      <c r="I66" s="706"/>
      <c r="J66" s="706"/>
      <c r="K66" s="706"/>
      <c r="L66" s="706"/>
      <c r="M66" s="706"/>
    </row>
    <row r="67" spans="1:22" ht="12.75" customHeight="1">
      <c r="A67" s="708"/>
      <c r="B67" s="672"/>
      <c r="C67" s="672"/>
      <c r="D67" s="672"/>
      <c r="E67" s="672"/>
      <c r="F67" s="672"/>
      <c r="G67" s="672"/>
      <c r="H67" s="672"/>
      <c r="I67" s="672"/>
      <c r="J67" s="672"/>
      <c r="K67" s="672"/>
      <c r="L67" s="672"/>
      <c r="M67" s="672"/>
      <c r="U67" s="122"/>
      <c r="V67" s="630"/>
    </row>
    <row r="68" spans="1:22" ht="53.25" customHeight="1">
      <c r="A68" s="709"/>
      <c r="B68" s="353"/>
      <c r="C68" s="353"/>
      <c r="D68" s="353"/>
      <c r="E68" s="353"/>
      <c r="F68" s="353"/>
      <c r="G68" s="353"/>
      <c r="H68" s="353"/>
      <c r="I68" s="353"/>
      <c r="J68" s="353"/>
      <c r="K68" s="353"/>
      <c r="L68" s="353"/>
      <c r="M68" s="353"/>
    </row>
    <row r="69" spans="1:22" ht="10.5" customHeight="1">
      <c r="A69" s="710"/>
      <c r="B69" s="711"/>
      <c r="C69" s="711"/>
      <c r="D69" s="711"/>
      <c r="E69" s="711"/>
      <c r="F69" s="711"/>
      <c r="G69" s="711"/>
      <c r="H69" s="711"/>
      <c r="I69" s="711"/>
      <c r="J69" s="711"/>
      <c r="K69" s="711"/>
      <c r="L69" s="711"/>
      <c r="M69" s="711"/>
    </row>
    <row r="70" spans="1:22" ht="4.5" customHeight="1">
      <c r="A70" s="712"/>
      <c r="B70" s="672"/>
      <c r="C70" s="672"/>
      <c r="D70" s="672"/>
      <c r="E70" s="672"/>
      <c r="F70" s="672"/>
      <c r="G70" s="672"/>
      <c r="H70" s="672"/>
      <c r="I70" s="672"/>
      <c r="J70" s="672"/>
      <c r="K70" s="672"/>
      <c r="L70" s="672"/>
      <c r="M70" s="672"/>
    </row>
    <row r="71" spans="1:22" ht="24" customHeight="1">
      <c r="A71" s="713"/>
      <c r="B71" s="706"/>
      <c r="C71" s="706"/>
      <c r="D71" s="706"/>
      <c r="E71" s="706"/>
      <c r="F71" s="706"/>
      <c r="G71" s="706"/>
      <c r="H71" s="706"/>
      <c r="I71" s="706"/>
      <c r="J71" s="706"/>
      <c r="K71" s="706"/>
      <c r="L71" s="706"/>
      <c r="M71" s="706"/>
    </row>
    <row r="72" spans="1:22" ht="27.75" customHeight="1">
      <c r="A72" s="632"/>
      <c r="B72" s="632"/>
      <c r="C72" s="620"/>
      <c r="D72" s="620"/>
      <c r="E72" s="620"/>
      <c r="F72" s="620"/>
      <c r="G72" s="714"/>
      <c r="H72" s="122"/>
      <c r="I72" s="632"/>
      <c r="J72" s="632"/>
      <c r="K72" s="632"/>
      <c r="L72" s="632"/>
      <c r="M72" s="122"/>
    </row>
    <row r="73" spans="1:22" ht="25.5" customHeight="1">
      <c r="A73" s="713"/>
      <c r="B73" s="706"/>
      <c r="C73" s="706"/>
      <c r="D73" s="706"/>
      <c r="E73" s="706"/>
      <c r="F73" s="706"/>
      <c r="G73" s="706"/>
      <c r="H73" s="706"/>
      <c r="I73" s="706"/>
      <c r="J73" s="706"/>
      <c r="K73" s="706"/>
      <c r="L73" s="706"/>
      <c r="M73" s="706"/>
    </row>
    <row r="74" spans="1:22" ht="12.75" customHeight="1">
      <c r="A74" s="709"/>
      <c r="B74" s="353"/>
      <c r="C74" s="353"/>
      <c r="D74" s="353"/>
      <c r="E74" s="353"/>
      <c r="F74" s="353"/>
      <c r="G74" s="353"/>
      <c r="H74" s="353"/>
      <c r="I74" s="353"/>
      <c r="J74" s="353"/>
      <c r="K74" s="353"/>
      <c r="L74" s="353"/>
      <c r="M74" s="353"/>
    </row>
  </sheetData>
  <sheetProtection formatCells="0" formatColumns="0" formatRows="0"/>
  <mergeCells count="28">
    <mergeCell ref="D1:E1"/>
    <mergeCell ref="G1:I1"/>
    <mergeCell ref="I22:I23"/>
    <mergeCell ref="A3:M3"/>
    <mergeCell ref="B22:H23"/>
    <mergeCell ref="C15:F15"/>
    <mergeCell ref="C12:F12"/>
    <mergeCell ref="C14:F14"/>
    <mergeCell ref="C16:F16"/>
    <mergeCell ref="U60:V60"/>
    <mergeCell ref="C39:I39"/>
    <mergeCell ref="M57:M58"/>
    <mergeCell ref="J40:J41"/>
    <mergeCell ref="C34:I34"/>
    <mergeCell ref="C35:H35"/>
    <mergeCell ref="U59:V59"/>
    <mergeCell ref="D52:G52"/>
    <mergeCell ref="J55:J56"/>
    <mergeCell ref="B44:I44"/>
    <mergeCell ref="C43:I43"/>
    <mergeCell ref="N9:S10"/>
    <mergeCell ref="N15:S17"/>
    <mergeCell ref="B18:I18"/>
    <mergeCell ref="C46:G46"/>
    <mergeCell ref="N37:S38"/>
    <mergeCell ref="O22:U23"/>
    <mergeCell ref="B32:H32"/>
    <mergeCell ref="M31:M32"/>
  </mergeCells>
  <conditionalFormatting sqref="M10">
    <cfRule type="containsText" dxfId="4" priority="2" stopIfTrue="1" operator="containsText" text="Error">
      <formula>NOT(ISERROR(SEARCH("Error",M10)))</formula>
    </cfRule>
  </conditionalFormatting>
  <conditionalFormatting sqref="M17">
    <cfRule type="containsText" dxfId="3" priority="1" stopIfTrue="1" operator="containsText" text="error">
      <formula>NOT(ISERROR(SEARCH("error",M17)))</formula>
    </cfRule>
  </conditionalFormatting>
  <dataValidations disablePrompts="1" count="7">
    <dataValidation type="whole" operator="lessThanOrEqual" allowBlank="1" showInputMessage="1" showErrorMessage="1" error="This amount must be negative." prompt="This amount must be negative. Enter amount in parentheses." sqref="J46:J47">
      <formula1>0</formula1>
    </dataValidation>
    <dataValidation allowBlank="1" showInputMessage="1" showErrorMessage="1" prompt="Enter negative amount in parentheses." sqref="J50:J51"/>
    <dataValidation allowBlank="1" showInputMessage="1" showErrorMessage="1" promptTitle="Contact ADE prior to completing" prompt="Enter negative amount in parentheses." sqref="J52"/>
    <dataValidation allowBlank="1" showInputMessage="1" showErrorMessage="1" promptTitle="Contact ADE prior to completing" prompt="Please contact ADE's School Finance payment team for more information." sqref="J42"/>
    <dataValidation type="list" allowBlank="1" showInputMessage="1" showErrorMessage="1" sqref="T37">
      <formula1>"X"</formula1>
    </dataValidation>
    <dataValidation type="custom" allowBlank="1" showErrorMessage="1" errorTitle="DAA allocatoin" error="The DAA amount allocated to the M&amp;O Fund exceeds the total DAA amount. " sqref="J17">
      <formula1>J17&lt;=H17</formula1>
    </dataValidation>
    <dataValidation type="custom" allowBlank="1" showInputMessage="1" showErrorMessage="1" errorTitle="RCL allocation" error="The RCL amount allocated to M&amp;O Fund exceeds the total RCL amount." sqref="J10">
      <formula1>J10&lt;=H10</formula1>
    </dataValidation>
  </dataValidations>
  <hyperlinks>
    <hyperlink ref="A9" location="Page7l1" display="1."/>
    <hyperlink ref="A18" location="Page7l3" display="3."/>
    <hyperlink ref="B19" location="Page7l3a" display="(a)"/>
    <hyperlink ref="B20" location="Page7l3b" display="(b)"/>
    <hyperlink ref="B21" location="Page7l3c" display="(c)"/>
    <hyperlink ref="A22" location="Page7l4" display="*4."/>
    <hyperlink ref="A24" location="Page7l5" display="*5."/>
    <hyperlink ref="B29" location="Page7l5d" display="(d)"/>
    <hyperlink ref="A31" location="Page7l7" display="*7."/>
    <hyperlink ref="B34" location="Page7l8a" display="(a)"/>
    <hyperlink ref="A30" location="Page7l6" display="*6."/>
    <hyperlink ref="B15" location="Page7l2b" display="(b)"/>
    <hyperlink ref="A44" location="Page7l9" display="*9."/>
    <hyperlink ref="A14" location="Page7l2athroughb" display="2."/>
    <hyperlink ref="B43" location="Page7l8h" display="(h)"/>
    <hyperlink ref="A53" location="Page7l10" display="10."/>
    <hyperlink ref="B14" location="Page7l2athroughb" display="(a)"/>
    <hyperlink ref="B17" location="Page7l2athroughb" display="(c)"/>
    <hyperlink ref="B35" location="Page7l8b" display="(b)"/>
    <hyperlink ref="B36" location="Page7l8c" display="(c)"/>
    <hyperlink ref="B37" location="Page7l8d" display="(d)"/>
    <hyperlink ref="B39" location="Page7l8e" display="(e)"/>
    <hyperlink ref="B40" location="Page7l8f" display="(f)"/>
    <hyperlink ref="B42" location="Page7l8g" display="(g)"/>
    <hyperlink ref="A54" location="Page7l11" display="*11."/>
  </hyperlinks>
  <printOptions horizontalCentered="1"/>
  <pageMargins left="0.2" right="0.2" top="0.25" bottom="0.25" header="0.5" footer="0.25"/>
  <pageSetup paperSize="5" scale="90" orientation="portrait" r:id="rId1"/>
  <headerFooter>
    <oddFooter>&amp;L&amp;"Times New Roman,Bold"&amp;9Rev. 5/23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0"/>
  <sheetViews>
    <sheetView showGridLines="0" tabSelected="1" topLeftCell="A18" workbookViewId="0">
      <selection activeCell="S31" sqref="S31"/>
    </sheetView>
  </sheetViews>
  <sheetFormatPr defaultColWidth="8.90625" defaultRowHeight="13.2"/>
  <cols>
    <col min="1" max="3" width="2" style="172" customWidth="1"/>
    <col min="4" max="4" width="8.90625" style="172" customWidth="1"/>
    <col min="5" max="5" width="23.453125" style="172" customWidth="1"/>
    <col min="6" max="7" width="10.90625" style="172" customWidth="1"/>
    <col min="8" max="8" width="11" style="172" customWidth="1"/>
    <col min="9" max="9" width="1.90625" style="172" customWidth="1"/>
    <col min="10" max="10" width="1" style="172" customWidth="1"/>
    <col min="11" max="11" width="11.90625" style="172" customWidth="1"/>
    <col min="12" max="12" width="10.90625" style="172" customWidth="1"/>
    <col min="13" max="24" width="8.90625" style="172" customWidth="1"/>
    <col min="25" max="16384" width="8.90625" style="172"/>
  </cols>
  <sheetData>
    <row r="1" spans="1:11">
      <c r="A1" s="715" t="s">
        <v>508</v>
      </c>
      <c r="B1" s="716"/>
      <c r="C1" s="716"/>
      <c r="D1" s="716"/>
      <c r="E1" s="717" t="str">
        <f>DistrictName</f>
        <v>MADISON ELEMENTARY SCHOOL DISTRICT</v>
      </c>
      <c r="F1" s="718" t="s">
        <v>1</v>
      </c>
      <c r="G1" s="717" t="str">
        <f>Cover!H1</f>
        <v>MARICOPA</v>
      </c>
      <c r="I1" s="719"/>
      <c r="J1" s="719" t="s">
        <v>438</v>
      </c>
      <c r="K1" s="720" t="str">
        <f>Cover!S1</f>
        <v>070438000</v>
      </c>
    </row>
    <row r="2" spans="1:11">
      <c r="A2" s="721"/>
      <c r="B2" s="722"/>
      <c r="C2" s="722"/>
      <c r="D2" s="722"/>
      <c r="E2" s="177"/>
      <c r="F2" s="177"/>
      <c r="G2" s="177"/>
      <c r="H2" s="177"/>
      <c r="I2" s="177"/>
      <c r="J2" s="123" t="s">
        <v>74</v>
      </c>
      <c r="K2" s="723" t="str">
        <f>Cover!C8</f>
        <v>Adopted</v>
      </c>
    </row>
    <row r="3" spans="1:11" ht="18" customHeight="1">
      <c r="A3" s="1613" t="s">
        <v>509</v>
      </c>
      <c r="B3" s="1614"/>
      <c r="C3" s="1614"/>
      <c r="D3" s="1614"/>
      <c r="E3" s="1614"/>
      <c r="F3" s="1614"/>
      <c r="G3" s="1614"/>
      <c r="H3" s="1614"/>
      <c r="I3" s="1614"/>
      <c r="J3" s="1614"/>
      <c r="K3" s="1614"/>
    </row>
    <row r="4" spans="1:11" ht="13.5" customHeight="1">
      <c r="A4" s="1614"/>
      <c r="B4" s="1614"/>
      <c r="C4" s="1614"/>
      <c r="D4" s="1614"/>
      <c r="E4" s="1614"/>
      <c r="F4" s="1614"/>
      <c r="G4" s="1614"/>
      <c r="H4" s="1614"/>
      <c r="I4" s="1614"/>
      <c r="J4" s="1614"/>
      <c r="K4" s="1614"/>
    </row>
    <row r="5" spans="1:11" ht="5.25" customHeight="1">
      <c r="A5" s="724"/>
      <c r="B5" s="725"/>
      <c r="C5" s="725"/>
      <c r="D5" s="725"/>
      <c r="E5" s="177"/>
      <c r="F5" s="177"/>
      <c r="G5" s="177"/>
      <c r="H5" s="177"/>
      <c r="I5" s="177"/>
      <c r="J5" s="177"/>
      <c r="K5" s="177"/>
    </row>
    <row r="6" spans="1:11" ht="30.75" customHeight="1">
      <c r="A6" s="726" t="s">
        <v>510</v>
      </c>
      <c r="B6" s="727"/>
      <c r="C6" s="727"/>
      <c r="D6" s="728"/>
      <c r="E6" s="729"/>
      <c r="F6" s="729"/>
      <c r="G6" s="729"/>
      <c r="H6" s="729"/>
      <c r="I6" s="729"/>
      <c r="J6" s="729"/>
      <c r="K6" s="730"/>
    </row>
    <row r="7" spans="1:11" ht="12" customHeight="1">
      <c r="A7" s="731"/>
      <c r="B7" s="732" t="s">
        <v>6</v>
      </c>
      <c r="C7" s="733" t="s">
        <v>511</v>
      </c>
      <c r="E7" s="283"/>
      <c r="F7" s="283"/>
      <c r="G7" s="283"/>
      <c r="H7" s="283"/>
      <c r="I7" s="729"/>
      <c r="J7" s="729"/>
      <c r="K7" s="1615">
        <f>[1]!UCBLBudgFY</f>
        <v>12295714</v>
      </c>
    </row>
    <row r="8" spans="1:11" ht="12.75" customHeight="1">
      <c r="C8" s="1617" t="s">
        <v>512</v>
      </c>
      <c r="D8" s="1617"/>
      <c r="E8" s="1617"/>
      <c r="F8" s="1617"/>
      <c r="G8" s="1617"/>
      <c r="H8" s="1617"/>
      <c r="J8" s="306" t="s">
        <v>450</v>
      </c>
      <c r="K8" s="1616"/>
    </row>
    <row r="9" spans="1:11" ht="14.25" customHeight="1">
      <c r="B9" s="734" t="s">
        <v>9</v>
      </c>
      <c r="C9" s="735" t="s">
        <v>513</v>
      </c>
      <c r="J9" s="306"/>
      <c r="K9" s="736"/>
    </row>
    <row r="10" spans="1:11" ht="12.75" customHeight="1">
      <c r="C10" s="1617" t="s">
        <v>514</v>
      </c>
      <c r="D10" s="1617"/>
      <c r="E10" s="1617"/>
      <c r="F10" s="1617"/>
      <c r="G10" s="1617"/>
      <c r="H10" s="1617"/>
      <c r="J10" s="306" t="s">
        <v>450</v>
      </c>
      <c r="K10" s="24">
        <v>0</v>
      </c>
    </row>
    <row r="11" spans="1:11" ht="14.25" customHeight="1">
      <c r="B11" s="734" t="s">
        <v>24</v>
      </c>
      <c r="C11" s="1618" t="s">
        <v>515</v>
      </c>
      <c r="D11" s="1619"/>
      <c r="E11" s="1619"/>
      <c r="F11" s="1619"/>
      <c r="G11" s="1619"/>
      <c r="H11" s="1619"/>
      <c r="J11" s="306" t="s">
        <v>450</v>
      </c>
      <c r="K11" s="738">
        <f>K7+K10</f>
        <v>12295714</v>
      </c>
    </row>
    <row r="12" spans="1:11" ht="14.25" customHeight="1">
      <c r="B12" s="732" t="s">
        <v>51</v>
      </c>
      <c r="C12" s="1627" t="s">
        <v>516</v>
      </c>
      <c r="D12" s="1627"/>
      <c r="E12" s="1627"/>
      <c r="F12" s="1627"/>
      <c r="G12" s="1627"/>
      <c r="H12" s="1627"/>
      <c r="J12" s="306"/>
      <c r="K12" s="352"/>
    </row>
    <row r="13" spans="1:11" ht="14.25" customHeight="1">
      <c r="B13" s="732"/>
      <c r="C13" s="1627" t="s">
        <v>517</v>
      </c>
      <c r="D13" s="1627"/>
      <c r="E13" s="1627"/>
      <c r="F13" s="1627"/>
      <c r="G13" s="1627"/>
      <c r="H13" s="1627"/>
      <c r="J13" s="306" t="s">
        <v>450</v>
      </c>
      <c r="K13" s="352">
        <f>[1]!F610TotalBudgFY</f>
        <v>12295714</v>
      </c>
    </row>
    <row r="14" spans="1:11" ht="14.25" customHeight="1">
      <c r="B14" s="732" t="s">
        <v>166</v>
      </c>
      <c r="C14" s="1621" t="s">
        <v>518</v>
      </c>
      <c r="D14" s="1621"/>
      <c r="E14" s="1621"/>
      <c r="F14" s="1621"/>
      <c r="G14" s="1621"/>
      <c r="H14" s="1621"/>
      <c r="J14" s="306" t="s">
        <v>450</v>
      </c>
      <c r="K14" s="739">
        <f>IF(K10&gt;0,MIN(K13+K10,K11),MIN(K11,K13))</f>
        <v>12295714</v>
      </c>
    </row>
    <row r="15" spans="1:11" ht="14.25" customHeight="1">
      <c r="B15" s="740" t="s">
        <v>168</v>
      </c>
      <c r="C15" s="1622" t="s">
        <v>519</v>
      </c>
      <c r="D15" s="1622"/>
      <c r="E15" s="1622"/>
      <c r="F15" s="1622"/>
      <c r="G15" s="1622"/>
      <c r="H15" s="1622"/>
      <c r="J15" s="306"/>
      <c r="K15" s="352"/>
    </row>
    <row r="16" spans="1:11" ht="14.25" customHeight="1">
      <c r="B16" s="732"/>
      <c r="C16" s="1623" t="s">
        <v>520</v>
      </c>
      <c r="D16" s="1623"/>
      <c r="E16" s="1623"/>
      <c r="F16" s="1623"/>
      <c r="G16" s="1623"/>
      <c r="H16" s="1623"/>
      <c r="J16" s="306" t="s">
        <v>450</v>
      </c>
      <c r="K16" s="118">
        <v>4000000</v>
      </c>
    </row>
    <row r="17" spans="1:22" ht="14.25" customHeight="1">
      <c r="B17" s="732" t="s">
        <v>170</v>
      </c>
      <c r="C17" s="1623" t="s">
        <v>521</v>
      </c>
      <c r="D17" s="1623"/>
      <c r="E17" s="1623"/>
      <c r="F17" s="1623"/>
      <c r="G17" s="1623"/>
      <c r="H17" s="1623"/>
      <c r="K17" s="1628">
        <f>IF(K14-K16&gt;0,K14-K16,0)</f>
        <v>8295714</v>
      </c>
    </row>
    <row r="18" spans="1:22" ht="14.25" customHeight="1">
      <c r="B18" s="732"/>
      <c r="C18" s="741" t="s">
        <v>522</v>
      </c>
      <c r="D18" s="735"/>
      <c r="E18" s="742"/>
      <c r="F18" s="742"/>
      <c r="G18" s="743" t="str">
        <f>IF((K14-K16)&lt;0,K14-K16,"")</f>
        <v/>
      </c>
      <c r="H18" s="145" t="str">
        <f>IF(G18&lt;0,"OVEREXPENDED"," ")</f>
        <v xml:space="preserve"> </v>
      </c>
      <c r="J18" s="306" t="s">
        <v>450</v>
      </c>
      <c r="K18" s="1629"/>
    </row>
    <row r="19" spans="1:22" ht="14.25" customHeight="1">
      <c r="A19" s="744"/>
      <c r="B19" s="740" t="s">
        <v>172</v>
      </c>
      <c r="C19" s="318" t="s">
        <v>523</v>
      </c>
      <c r="D19" s="735"/>
      <c r="E19" s="177"/>
      <c r="F19" s="742"/>
      <c r="G19" s="742"/>
      <c r="H19" s="742"/>
      <c r="I19" s="742"/>
      <c r="J19" s="306" t="s">
        <v>450</v>
      </c>
      <c r="K19" s="24">
        <v>100000</v>
      </c>
    </row>
    <row r="20" spans="1:22" ht="13.5" customHeight="1">
      <c r="A20" s="745"/>
      <c r="B20" s="740" t="s">
        <v>174</v>
      </c>
      <c r="C20" s="323" t="s">
        <v>524</v>
      </c>
      <c r="D20" s="733"/>
      <c r="E20" s="746"/>
      <c r="F20" s="746"/>
      <c r="G20" s="746"/>
      <c r="H20" s="746"/>
      <c r="J20" s="306" t="s">
        <v>450</v>
      </c>
      <c r="K20" s="24">
        <v>0</v>
      </c>
    </row>
    <row r="21" spans="1:22" ht="4.5" customHeight="1">
      <c r="D21" s="733"/>
      <c r="E21" s="733"/>
      <c r="F21" s="733"/>
      <c r="G21" s="733"/>
      <c r="H21" s="733"/>
    </row>
    <row r="22" spans="1:22" ht="13.5" customHeight="1">
      <c r="B22" s="740" t="s">
        <v>176</v>
      </c>
      <c r="C22" s="1622" t="s">
        <v>525</v>
      </c>
      <c r="D22" s="1622"/>
      <c r="E22" s="1622"/>
      <c r="F22" s="1622"/>
      <c r="G22" s="1622"/>
      <c r="H22" s="1622"/>
      <c r="J22" s="306"/>
      <c r="K22" s="1615"/>
      <c r="N22" s="665"/>
      <c r="O22" s="630"/>
      <c r="P22" s="630"/>
      <c r="Q22" s="630"/>
      <c r="R22" s="630"/>
      <c r="S22" s="630"/>
      <c r="T22" s="630"/>
      <c r="U22" s="630"/>
      <c r="V22" s="630"/>
    </row>
    <row r="23" spans="1:22" ht="13.5" customHeight="1">
      <c r="B23" s="747"/>
      <c r="C23" s="307" t="s">
        <v>452</v>
      </c>
      <c r="D23" s="748" t="s">
        <v>493</v>
      </c>
      <c r="E23" s="748"/>
      <c r="F23" s="748"/>
      <c r="G23" s="748"/>
      <c r="H23" s="748"/>
      <c r="J23" s="306"/>
      <c r="K23" s="1615"/>
      <c r="N23" s="665"/>
      <c r="O23" s="630"/>
      <c r="P23" s="630"/>
      <c r="Q23" s="630"/>
      <c r="R23" s="630"/>
      <c r="S23" s="630"/>
      <c r="T23" s="630"/>
      <c r="U23" s="630"/>
      <c r="V23" s="630"/>
    </row>
    <row r="24" spans="1:22" ht="13.5" customHeight="1">
      <c r="B24" s="747"/>
      <c r="C24" s="747"/>
      <c r="D24" s="1620"/>
      <c r="E24" s="1620"/>
      <c r="F24" s="1620"/>
      <c r="G24" s="1620"/>
      <c r="H24" s="748"/>
      <c r="J24" s="306" t="s">
        <v>450</v>
      </c>
      <c r="K24" s="118">
        <v>0</v>
      </c>
      <c r="N24" s="665"/>
      <c r="O24" s="630"/>
      <c r="P24" s="630"/>
      <c r="Q24" s="630"/>
      <c r="R24" s="630"/>
      <c r="S24" s="630"/>
      <c r="T24" s="630"/>
      <c r="U24" s="630"/>
      <c r="V24" s="630"/>
    </row>
    <row r="25" spans="1:22" ht="1.5" customHeight="1">
      <c r="B25" s="747"/>
      <c r="C25" s="307"/>
      <c r="D25" s="748"/>
      <c r="E25" s="748"/>
      <c r="F25" s="748"/>
      <c r="G25" s="748"/>
      <c r="H25" s="748"/>
      <c r="J25" s="306"/>
      <c r="K25" s="736"/>
      <c r="N25" s="665"/>
      <c r="O25" s="630"/>
      <c r="P25" s="630"/>
      <c r="Q25" s="630"/>
      <c r="R25" s="630"/>
      <c r="S25" s="630"/>
      <c r="T25" s="630"/>
      <c r="U25" s="630"/>
      <c r="V25" s="630"/>
    </row>
    <row r="26" spans="1:22" ht="1.5" customHeight="1">
      <c r="B26" s="747"/>
      <c r="C26" s="749"/>
      <c r="D26" s="748"/>
      <c r="E26" s="748"/>
      <c r="F26" s="748"/>
      <c r="G26" s="748"/>
      <c r="H26" s="748"/>
      <c r="J26" s="306"/>
      <c r="K26" s="352"/>
      <c r="N26" s="665"/>
      <c r="O26" s="630"/>
      <c r="P26" s="630"/>
      <c r="Q26" s="630"/>
      <c r="R26" s="630"/>
      <c r="S26" s="630"/>
      <c r="T26" s="630"/>
      <c r="U26" s="630"/>
      <c r="V26" s="630"/>
    </row>
    <row r="27" spans="1:22" ht="13.5" customHeight="1">
      <c r="B27" s="747"/>
      <c r="C27" s="750" t="s">
        <v>454</v>
      </c>
      <c r="D27" s="748" t="s">
        <v>497</v>
      </c>
      <c r="E27" s="748"/>
      <c r="F27" s="748"/>
      <c r="G27" s="748"/>
      <c r="H27" s="748"/>
      <c r="J27" s="306" t="s">
        <v>450</v>
      </c>
      <c r="K27" s="24">
        <v>0</v>
      </c>
      <c r="N27" s="665"/>
      <c r="O27" s="630"/>
      <c r="P27" s="630"/>
      <c r="Q27" s="630"/>
      <c r="R27" s="630"/>
      <c r="S27" s="630"/>
      <c r="T27" s="630"/>
      <c r="U27" s="630"/>
      <c r="V27" s="630"/>
    </row>
    <row r="28" spans="1:22" ht="13.5" customHeight="1">
      <c r="B28" s="747"/>
      <c r="C28" s="751" t="s">
        <v>456</v>
      </c>
      <c r="D28" s="748" t="s">
        <v>498</v>
      </c>
      <c r="E28" s="1620"/>
      <c r="F28" s="1620"/>
      <c r="G28" s="1620"/>
      <c r="H28" s="748"/>
      <c r="J28" s="306" t="s">
        <v>450</v>
      </c>
      <c r="K28" s="54">
        <v>0</v>
      </c>
      <c r="N28" s="665"/>
      <c r="O28" s="630"/>
      <c r="P28" s="630"/>
      <c r="Q28" s="630"/>
      <c r="R28" s="630"/>
      <c r="S28" s="630"/>
      <c r="T28" s="630"/>
      <c r="U28" s="630"/>
      <c r="V28" s="630"/>
    </row>
    <row r="29" spans="1:22" ht="3.75" customHeight="1">
      <c r="B29" s="752"/>
      <c r="C29" s="752"/>
      <c r="D29" s="733"/>
      <c r="J29" s="306"/>
      <c r="K29" s="753"/>
      <c r="N29" s="1624"/>
      <c r="O29" s="1625"/>
      <c r="P29" s="1625"/>
      <c r="Q29" s="1625"/>
      <c r="R29" s="1625"/>
      <c r="S29" s="1625"/>
      <c r="T29" s="1625"/>
      <c r="U29" s="1625"/>
      <c r="V29" s="1625"/>
    </row>
    <row r="30" spans="1:22" ht="13.5" customHeight="1">
      <c r="A30" s="754"/>
      <c r="B30" s="755" t="s">
        <v>178</v>
      </c>
      <c r="C30" s="756" t="s">
        <v>526</v>
      </c>
      <c r="D30" s="733"/>
      <c r="E30" s="177"/>
      <c r="F30" s="177"/>
      <c r="G30" s="177"/>
      <c r="H30" s="177"/>
      <c r="I30" s="177"/>
      <c r="J30" s="306" t="s">
        <v>450</v>
      </c>
      <c r="K30" s="737">
        <f>TotAmtCapExped</f>
        <v>4561970</v>
      </c>
      <c r="N30" s="1625"/>
      <c r="O30" s="1625"/>
      <c r="P30" s="1625"/>
      <c r="Q30" s="1625"/>
      <c r="R30" s="1625"/>
      <c r="S30" s="1625"/>
      <c r="T30" s="1625"/>
      <c r="U30" s="1625"/>
      <c r="V30" s="1625"/>
    </row>
    <row r="31" spans="1:22" ht="6" customHeight="1">
      <c r="A31" s="754"/>
      <c r="B31" s="752"/>
      <c r="C31" s="752"/>
      <c r="D31" s="733"/>
      <c r="E31" s="177"/>
      <c r="F31" s="177"/>
      <c r="G31" s="177"/>
      <c r="H31" s="177"/>
      <c r="I31" s="177"/>
      <c r="J31" s="306"/>
      <c r="K31" s="736"/>
      <c r="N31" s="1625"/>
      <c r="O31" s="1625"/>
      <c r="P31" s="1625"/>
      <c r="Q31" s="1625"/>
      <c r="R31" s="1625"/>
      <c r="S31" s="1625"/>
      <c r="T31" s="1625"/>
      <c r="U31" s="1625"/>
      <c r="V31" s="1625"/>
    </row>
    <row r="32" spans="1:22" ht="13.5" customHeight="1" thickBot="1">
      <c r="A32" s="306"/>
      <c r="B32" s="755" t="s">
        <v>180</v>
      </c>
      <c r="C32" s="756" t="s">
        <v>527</v>
      </c>
      <c r="D32" s="733"/>
      <c r="E32" s="746"/>
      <c r="F32" s="746"/>
      <c r="G32" s="757"/>
      <c r="H32" s="746"/>
      <c r="J32" s="306" t="s">
        <v>450</v>
      </c>
      <c r="K32" s="758">
        <f>SUM(K17:K30)</f>
        <v>12957684</v>
      </c>
      <c r="N32" s="154"/>
      <c r="O32" s="122"/>
      <c r="P32" s="122"/>
      <c r="Q32" s="122"/>
      <c r="R32" s="122"/>
      <c r="S32" s="122"/>
      <c r="T32" s="122"/>
      <c r="U32" s="122"/>
      <c r="V32" s="424"/>
    </row>
    <row r="33" spans="1:22" ht="8.25" customHeight="1" thickTop="1">
      <c r="A33" s="306"/>
      <c r="D33" s="733"/>
      <c r="J33" s="306"/>
      <c r="K33" s="753"/>
      <c r="N33" s="122"/>
      <c r="O33" s="122"/>
      <c r="P33" s="122"/>
      <c r="Q33" s="122"/>
      <c r="R33" s="122"/>
      <c r="S33" s="122"/>
      <c r="T33" s="1489"/>
      <c r="U33" s="1391"/>
      <c r="V33" s="424"/>
    </row>
    <row r="34" spans="1:22" ht="3" customHeight="1">
      <c r="A34" s="306"/>
      <c r="B34" s="752"/>
      <c r="C34" s="752"/>
      <c r="D34" s="733"/>
      <c r="E34" s="742"/>
      <c r="F34" s="742"/>
      <c r="G34" s="742"/>
      <c r="H34" s="742"/>
      <c r="J34" s="306"/>
      <c r="K34" s="753"/>
      <c r="N34" s="122"/>
      <c r="O34" s="122"/>
      <c r="P34" s="122"/>
      <c r="Q34" s="122"/>
      <c r="R34" s="122"/>
      <c r="S34" s="122"/>
      <c r="T34" s="1489"/>
      <c r="U34" s="1391"/>
      <c r="V34" s="424"/>
    </row>
    <row r="35" spans="1:22" ht="15" customHeight="1">
      <c r="A35" s="759" t="s">
        <v>434</v>
      </c>
      <c r="B35" s="760" t="s">
        <v>528</v>
      </c>
      <c r="C35" s="761"/>
      <c r="D35" s="733"/>
      <c r="E35" s="742"/>
      <c r="F35" s="742"/>
      <c r="G35" s="742"/>
      <c r="H35" s="742"/>
      <c r="I35" s="177"/>
      <c r="J35" s="306"/>
      <c r="K35" s="753"/>
      <c r="N35" s="122"/>
      <c r="O35" s="122"/>
      <c r="P35" s="122"/>
      <c r="Q35" s="122"/>
      <c r="R35" s="122"/>
      <c r="S35" s="122"/>
      <c r="T35" s="1489"/>
      <c r="U35" s="1391"/>
      <c r="V35" s="424"/>
    </row>
    <row r="36" spans="1:22" ht="6.75" customHeight="1">
      <c r="A36" s="762"/>
      <c r="B36" s="763"/>
      <c r="C36" s="761"/>
      <c r="D36" s="733"/>
      <c r="E36" s="742"/>
      <c r="F36" s="742"/>
      <c r="G36" s="742"/>
      <c r="H36" s="742"/>
      <c r="I36" s="177"/>
      <c r="J36" s="306"/>
      <c r="K36" s="753"/>
      <c r="N36" s="122"/>
      <c r="O36" s="122"/>
      <c r="P36" s="122"/>
      <c r="Q36" s="122"/>
      <c r="R36" s="122"/>
      <c r="S36" s="122"/>
      <c r="T36" s="1489"/>
      <c r="U36" s="1391"/>
      <c r="V36" s="424"/>
    </row>
    <row r="38" spans="1:22">
      <c r="A38" s="177"/>
      <c r="B38" s="177"/>
      <c r="C38" s="177"/>
    </row>
    <row r="39" spans="1:22" ht="15">
      <c r="A39" s="764"/>
      <c r="B39" s="1610"/>
      <c r="C39" s="1610"/>
      <c r="D39" s="1612"/>
      <c r="E39" s="1612"/>
    </row>
    <row r="40" spans="1:22" ht="15">
      <c r="A40" s="766"/>
      <c r="B40" s="1626"/>
      <c r="C40" s="1626"/>
      <c r="D40" s="1612"/>
      <c r="E40" s="1612"/>
    </row>
    <row r="41" spans="1:22" ht="15">
      <c r="A41" s="766"/>
      <c r="B41" s="1626"/>
      <c r="C41" s="1626"/>
      <c r="D41" s="1612"/>
      <c r="E41" s="1612"/>
    </row>
    <row r="42" spans="1:22" ht="15">
      <c r="A42" s="766"/>
      <c r="B42" s="767"/>
      <c r="C42" s="767"/>
      <c r="D42" s="768"/>
      <c r="E42" s="768"/>
    </row>
    <row r="43" spans="1:22" ht="15">
      <c r="A43" s="766"/>
      <c r="B43" s="1610"/>
      <c r="C43" s="1610"/>
      <c r="D43" s="1612"/>
      <c r="E43" s="1612"/>
    </row>
    <row r="44" spans="1:22" ht="15">
      <c r="A44" s="766"/>
      <c r="B44" s="1610"/>
      <c r="C44" s="1610"/>
      <c r="D44" s="1612"/>
      <c r="E44" s="1612"/>
    </row>
    <row r="45" spans="1:22" ht="12.75" customHeight="1">
      <c r="A45" s="764"/>
    </row>
    <row r="46" spans="1:22" ht="15">
      <c r="A46" s="766"/>
      <c r="B46" s="1610"/>
      <c r="C46" s="1610"/>
      <c r="D46" s="1612"/>
      <c r="E46" s="1612"/>
    </row>
    <row r="47" spans="1:22" ht="15">
      <c r="A47" s="766"/>
      <c r="E47" s="765"/>
      <c r="F47" s="352"/>
      <c r="G47" s="352"/>
      <c r="H47" s="352"/>
      <c r="I47"/>
      <c r="J47" s="352"/>
      <c r="K47" s="745"/>
      <c r="L47" s="352"/>
    </row>
    <row r="48" spans="1:22" ht="15">
      <c r="A48" s="766"/>
      <c r="B48" s="1610"/>
      <c r="C48" s="1610"/>
      <c r="D48" s="1611"/>
      <c r="E48" s="1611"/>
      <c r="F48" s="1611"/>
      <c r="G48" s="1611"/>
      <c r="H48" s="1611"/>
      <c r="I48" s="1611"/>
      <c r="J48" s="1611"/>
      <c r="K48" s="1611"/>
      <c r="L48" s="1611"/>
    </row>
    <row r="49" spans="1:3" ht="13.8">
      <c r="A49" s="769"/>
      <c r="B49" s="177"/>
      <c r="C49" s="177"/>
    </row>
    <row r="110" spans="1:12">
      <c r="A110" s="284"/>
      <c r="L110" s="284"/>
    </row>
  </sheetData>
  <sheetProtection sheet="1" formatCells="0" formatColumns="0" formatRows="0"/>
  <mergeCells count="26">
    <mergeCell ref="C17:H17"/>
    <mergeCell ref="C22:H22"/>
    <mergeCell ref="C12:H12"/>
    <mergeCell ref="C13:H13"/>
    <mergeCell ref="K17:K18"/>
    <mergeCell ref="U33:U36"/>
    <mergeCell ref="T33:T36"/>
    <mergeCell ref="N29:V31"/>
    <mergeCell ref="B40:E40"/>
    <mergeCell ref="B41:E41"/>
    <mergeCell ref="B48:L48"/>
    <mergeCell ref="B44:E44"/>
    <mergeCell ref="B46:E46"/>
    <mergeCell ref="B39:E39"/>
    <mergeCell ref="A3:K4"/>
    <mergeCell ref="K7:K8"/>
    <mergeCell ref="C10:H10"/>
    <mergeCell ref="C11:H11"/>
    <mergeCell ref="D24:G24"/>
    <mergeCell ref="E28:G28"/>
    <mergeCell ref="B43:E43"/>
    <mergeCell ref="C14:H14"/>
    <mergeCell ref="C15:H15"/>
    <mergeCell ref="C16:H16"/>
    <mergeCell ref="K22:K23"/>
    <mergeCell ref="C8:H8"/>
  </mergeCells>
  <dataValidations count="3">
    <dataValidation allowBlank="1" showInputMessage="1" showErrorMessage="1" prompt="Enter negative amount in parentheses." sqref="K27"/>
    <dataValidation type="whole" operator="lessThanOrEqual" allowBlank="1" showInputMessage="1" showErrorMessage="1" prompt="This amount must be negative. Enter amount in parentheses." sqref="K24">
      <formula1>0</formula1>
    </dataValidation>
    <dataValidation allowBlank="1" showInputMessage="1" showErrorMessage="1" promptTitle="Contact ADE prior to completing" prompt="Enter negative amount in parentheses." sqref="K28"/>
  </dataValidations>
  <hyperlinks>
    <hyperlink ref="B9" location="Page8lA2" display="2."/>
    <hyperlink ref="B20" location="Page8lA9" display="9."/>
    <hyperlink ref="B22" location="Page8lA10" display="10."/>
    <hyperlink ref="B15" location="Page8lA6" display="6."/>
    <hyperlink ref="B19" location="Page8lA8" display="8."/>
    <hyperlink ref="B11" location="Page8lA3" display="3."/>
  </hyperlinks>
  <printOptions horizontalCentered="1"/>
  <pageMargins left="0.2" right="0.2" top="0.25" bottom="0.25" header="0" footer="0.25"/>
  <pageSetup paperSize="5" scale="90" fitToWidth="2" fitToHeight="2" orientation="portrait" r:id="rId1"/>
  <headerFooter>
    <oddFooter>&amp;L&amp;"Times New Roman,Bold"&amp;10Rev. 5/23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dimension ref="A1:Q31"/>
  <sheetViews>
    <sheetView showGridLines="0" tabSelected="1" workbookViewId="0">
      <selection activeCell="S31" sqref="S31"/>
    </sheetView>
  </sheetViews>
  <sheetFormatPr defaultColWidth="9.90625" defaultRowHeight="15.6"/>
  <cols>
    <col min="1" max="1" width="16.90625" style="125" customWidth="1"/>
    <col min="2" max="2" width="26.90625" style="125" customWidth="1"/>
    <col min="3" max="3" width="3" style="125" customWidth="1"/>
    <col min="4" max="5" width="5.90625" style="125" customWidth="1"/>
    <col min="6" max="13" width="10.90625" style="125" customWidth="1"/>
    <col min="14" max="14" width="6.90625" style="125" customWidth="1"/>
    <col min="15" max="16" width="3.90625" style="125" customWidth="1"/>
    <col min="17" max="18" width="9.90625" style="125" customWidth="1"/>
    <col min="19" max="16384" width="9.90625" style="125"/>
  </cols>
  <sheetData>
    <row r="1" spans="1:17" ht="12" customHeight="1">
      <c r="A1" s="123" t="s">
        <v>71</v>
      </c>
      <c r="B1" s="1456" t="str">
        <f>DistrictName</f>
        <v>MADISON ELEMENTARY SCHOOL DISTRICT</v>
      </c>
      <c r="C1" s="1456"/>
      <c r="D1" s="1456"/>
      <c r="E1" s="1456"/>
      <c r="F1" s="123" t="s">
        <v>72</v>
      </c>
      <c r="G1" s="1471" t="str">
        <f>Cover!H1</f>
        <v>MARICOPA</v>
      </c>
      <c r="H1" s="1484"/>
      <c r="I1" s="177"/>
      <c r="J1" s="123" t="s">
        <v>73</v>
      </c>
      <c r="K1" s="126" t="str">
        <f>Cover!S1</f>
        <v>070438000</v>
      </c>
      <c r="L1" s="189"/>
      <c r="M1" s="123" t="s">
        <v>74</v>
      </c>
      <c r="N1" s="1447" t="str">
        <f>Cover!C8</f>
        <v>Adopted</v>
      </c>
      <c r="O1" s="1447"/>
      <c r="P1" s="177"/>
      <c r="Q1" s="177"/>
    </row>
    <row r="2" spans="1:17" ht="42" customHeight="1">
      <c r="A2" s="1632" t="s">
        <v>529</v>
      </c>
      <c r="B2" s="1633"/>
      <c r="C2" s="1633"/>
      <c r="D2" s="1633"/>
      <c r="E2" s="1633"/>
      <c r="F2" s="1633"/>
      <c r="G2" s="1633"/>
      <c r="H2" s="1633"/>
      <c r="I2" s="1633"/>
      <c r="J2" s="1633"/>
      <c r="K2" s="1633"/>
      <c r="L2" s="1633"/>
      <c r="M2" s="1633"/>
      <c r="N2" s="1633"/>
      <c r="O2" s="770"/>
      <c r="P2" s="770"/>
      <c r="Q2" s="770"/>
    </row>
    <row r="3" spans="1:17" ht="12" customHeight="1">
      <c r="A3" s="771"/>
      <c r="B3" s="772"/>
      <c r="C3" s="127"/>
      <c r="D3" s="773"/>
      <c r="E3" s="774"/>
      <c r="F3" s="775"/>
      <c r="G3" s="451" t="s">
        <v>139</v>
      </c>
      <c r="H3" s="451" t="s">
        <v>140</v>
      </c>
      <c r="I3" s="451"/>
      <c r="J3" s="451"/>
      <c r="K3" s="451"/>
      <c r="L3" s="454" t="s">
        <v>141</v>
      </c>
      <c r="M3" s="454"/>
      <c r="N3" s="220"/>
    </row>
    <row r="4" spans="1:17" ht="12" customHeight="1">
      <c r="A4" s="1635" t="s">
        <v>530</v>
      </c>
      <c r="B4" s="1636"/>
      <c r="C4" s="122"/>
      <c r="D4" s="221" t="s">
        <v>142</v>
      </c>
      <c r="E4" s="776"/>
      <c r="F4" s="222" t="s">
        <v>143</v>
      </c>
      <c r="G4" s="218" t="s">
        <v>144</v>
      </c>
      <c r="H4" s="218" t="s">
        <v>145</v>
      </c>
      <c r="I4" s="218" t="s">
        <v>146</v>
      </c>
      <c r="J4" s="218" t="s">
        <v>252</v>
      </c>
      <c r="K4" s="218" t="s">
        <v>147</v>
      </c>
      <c r="L4" s="132" t="s">
        <v>148</v>
      </c>
      <c r="M4" s="222" t="s">
        <v>149</v>
      </c>
      <c r="N4" s="218" t="s">
        <v>150</v>
      </c>
    </row>
    <row r="5" spans="1:17" ht="12" customHeight="1">
      <c r="A5" s="777"/>
      <c r="C5" s="122"/>
      <c r="D5" s="218" t="s">
        <v>148</v>
      </c>
      <c r="E5" s="132" t="s">
        <v>149</v>
      </c>
      <c r="F5" s="222"/>
      <c r="G5" s="224"/>
      <c r="H5" s="218" t="s">
        <v>152</v>
      </c>
      <c r="I5" s="218"/>
      <c r="J5" s="218"/>
      <c r="K5" s="218"/>
      <c r="L5" s="132" t="s">
        <v>3</v>
      </c>
      <c r="M5" s="222" t="s">
        <v>3</v>
      </c>
      <c r="N5" s="218" t="s">
        <v>153</v>
      </c>
    </row>
    <row r="6" spans="1:17" ht="12" customHeight="1">
      <c r="A6" s="778" t="s">
        <v>151</v>
      </c>
      <c r="B6" s="226"/>
      <c r="C6" s="227"/>
      <c r="D6" s="228" t="s">
        <v>3</v>
      </c>
      <c r="E6" s="229" t="s">
        <v>3</v>
      </c>
      <c r="F6" s="230">
        <v>6100</v>
      </c>
      <c r="G6" s="228" t="s">
        <v>155</v>
      </c>
      <c r="H6" s="228" t="s">
        <v>156</v>
      </c>
      <c r="I6" s="228">
        <v>6600</v>
      </c>
      <c r="J6" s="228">
        <v>6700</v>
      </c>
      <c r="K6" s="228" t="s">
        <v>157</v>
      </c>
      <c r="L6" s="229">
        <v>2023</v>
      </c>
      <c r="M6" s="230">
        <v>2024</v>
      </c>
      <c r="N6" s="228" t="s">
        <v>158</v>
      </c>
    </row>
    <row r="7" spans="1:17" ht="13.5" customHeight="1">
      <c r="A7" s="1637" t="s">
        <v>531</v>
      </c>
      <c r="B7" s="1638"/>
      <c r="C7" s="779"/>
      <c r="D7" s="1458">
        <f>[1]!F071F1000Personnel</f>
        <v>0</v>
      </c>
      <c r="E7" s="231"/>
      <c r="F7" s="232"/>
      <c r="G7" s="232"/>
      <c r="H7" s="232"/>
      <c r="I7" s="232"/>
      <c r="J7" s="1639"/>
      <c r="K7" s="232"/>
      <c r="L7" s="1445">
        <f>[1]!F071F1000</f>
        <v>0</v>
      </c>
      <c r="M7" s="1449">
        <f>SUM(F8:K8)</f>
        <v>0</v>
      </c>
      <c r="N7" s="1630">
        <f>IF(L7=M7,0,IF(L7&gt;0,(M7-L7)/L7,""))</f>
        <v>0</v>
      </c>
      <c r="O7" s="780"/>
    </row>
    <row r="8" spans="1:17" ht="13.5" customHeight="1">
      <c r="A8" s="134" t="s">
        <v>160</v>
      </c>
      <c r="B8" s="122"/>
      <c r="C8" s="233" t="s">
        <v>6</v>
      </c>
      <c r="D8" s="1634"/>
      <c r="E8" s="38"/>
      <c r="F8" s="4"/>
      <c r="G8" s="4"/>
      <c r="H8" s="4"/>
      <c r="I8" s="4"/>
      <c r="J8" s="1640"/>
      <c r="K8" s="4"/>
      <c r="L8" s="1465"/>
      <c r="M8" s="1446"/>
      <c r="N8" s="1631"/>
      <c r="O8" s="235" t="s">
        <v>6</v>
      </c>
      <c r="P8" s="129"/>
    </row>
    <row r="9" spans="1:17" ht="13.5" customHeight="1">
      <c r="A9" s="134" t="s">
        <v>161</v>
      </c>
      <c r="B9" s="122"/>
      <c r="C9" s="233" t="s">
        <v>53</v>
      </c>
      <c r="D9" s="1458">
        <f>[1]!F071F2100Personnel</f>
        <v>0</v>
      </c>
      <c r="E9" s="231"/>
      <c r="F9" s="232"/>
      <c r="G9" s="232"/>
      <c r="H9" s="232"/>
      <c r="I9" s="232"/>
      <c r="J9" s="1639"/>
      <c r="K9" s="232"/>
      <c r="L9" s="1445">
        <f>[1]!F071F2100</f>
        <v>0</v>
      </c>
      <c r="M9" s="1449">
        <f>SUM(F10:K10)</f>
        <v>0</v>
      </c>
      <c r="N9" s="1630">
        <f>IF(L9=M9,0,IF(L9&gt;0,(M9-L9)/L9,""))</f>
        <v>0</v>
      </c>
      <c r="O9" s="235" t="s">
        <v>53</v>
      </c>
      <c r="P9" s="129"/>
    </row>
    <row r="10" spans="1:17" ht="13.5" customHeight="1">
      <c r="A10" s="134" t="s">
        <v>162</v>
      </c>
      <c r="B10" s="122"/>
      <c r="C10" s="233" t="s">
        <v>9</v>
      </c>
      <c r="D10" s="1634"/>
      <c r="E10" s="38"/>
      <c r="F10" s="4"/>
      <c r="G10" s="4"/>
      <c r="H10" s="4"/>
      <c r="I10" s="4"/>
      <c r="J10" s="1640"/>
      <c r="K10" s="4"/>
      <c r="L10" s="1465"/>
      <c r="M10" s="1446"/>
      <c r="N10" s="1631"/>
      <c r="O10" s="235" t="s">
        <v>9</v>
      </c>
      <c r="P10" s="129"/>
    </row>
    <row r="11" spans="1:17" ht="13.5" customHeight="1">
      <c r="A11" s="134" t="s">
        <v>163</v>
      </c>
      <c r="B11" s="122"/>
      <c r="C11" s="233" t="s">
        <v>24</v>
      </c>
      <c r="D11" s="253">
        <f>[1]!F071F2200Personnel</f>
        <v>0</v>
      </c>
      <c r="E11" s="12"/>
      <c r="F11" s="5"/>
      <c r="G11" s="5"/>
      <c r="H11" s="5"/>
      <c r="I11" s="5"/>
      <c r="J11" s="781"/>
      <c r="K11" s="5"/>
      <c r="L11" s="238">
        <f>[1]!F071F2200</f>
        <v>0</v>
      </c>
      <c r="M11" s="234">
        <f t="shared" ref="M11:M17" si="0">SUM(F11:K11)</f>
        <v>0</v>
      </c>
      <c r="N11" s="254">
        <f t="shared" ref="N11:N19" si="1">IF(L11=M11,0,IF(L11&gt;0,(M11-L11)/L11,""))</f>
        <v>0</v>
      </c>
      <c r="O11" s="235" t="s">
        <v>24</v>
      </c>
      <c r="P11" s="129"/>
    </row>
    <row r="12" spans="1:17" ht="13.5" customHeight="1">
      <c r="A12" s="134" t="s">
        <v>164</v>
      </c>
      <c r="B12" s="122"/>
      <c r="C12" s="233" t="s">
        <v>51</v>
      </c>
      <c r="D12" s="253">
        <f>[1]!F071F2300Personnel</f>
        <v>0</v>
      </c>
      <c r="E12" s="12"/>
      <c r="F12" s="5"/>
      <c r="G12" s="5"/>
      <c r="H12" s="5"/>
      <c r="I12" s="5"/>
      <c r="J12" s="781"/>
      <c r="K12" s="5"/>
      <c r="L12" s="238">
        <f>[1]!F071F2300</f>
        <v>0</v>
      </c>
      <c r="M12" s="234">
        <f t="shared" si="0"/>
        <v>0</v>
      </c>
      <c r="N12" s="254">
        <f t="shared" si="1"/>
        <v>0</v>
      </c>
      <c r="O12" s="235" t="s">
        <v>51</v>
      </c>
      <c r="P12" s="129"/>
    </row>
    <row r="13" spans="1:17" ht="13.5" customHeight="1">
      <c r="A13" s="134" t="s">
        <v>165</v>
      </c>
      <c r="B13" s="122"/>
      <c r="C13" s="233" t="s">
        <v>166</v>
      </c>
      <c r="D13" s="253">
        <f>[1]!F071F2400Personnel</f>
        <v>0</v>
      </c>
      <c r="E13" s="12"/>
      <c r="F13" s="5"/>
      <c r="G13" s="5"/>
      <c r="H13" s="5"/>
      <c r="I13" s="5"/>
      <c r="J13" s="781"/>
      <c r="K13" s="5"/>
      <c r="L13" s="238">
        <f>[1]!F071F2400</f>
        <v>0</v>
      </c>
      <c r="M13" s="234">
        <f t="shared" si="0"/>
        <v>0</v>
      </c>
      <c r="N13" s="254">
        <f t="shared" si="1"/>
        <v>0</v>
      </c>
      <c r="O13" s="235" t="s">
        <v>166</v>
      </c>
      <c r="P13" s="129"/>
    </row>
    <row r="14" spans="1:17" ht="13.5" customHeight="1">
      <c r="A14" s="134" t="s">
        <v>167</v>
      </c>
      <c r="B14" s="122"/>
      <c r="C14" s="233" t="s">
        <v>168</v>
      </c>
      <c r="D14" s="253">
        <f>[1]!F071F2500Personnel</f>
        <v>0</v>
      </c>
      <c r="E14" s="12"/>
      <c r="F14" s="5"/>
      <c r="G14" s="5"/>
      <c r="H14" s="5"/>
      <c r="I14" s="5"/>
      <c r="J14" s="781"/>
      <c r="K14" s="5"/>
      <c r="L14" s="238">
        <f>[1]!F071F2500</f>
        <v>0</v>
      </c>
      <c r="M14" s="234">
        <f t="shared" si="0"/>
        <v>0</v>
      </c>
      <c r="N14" s="254">
        <f t="shared" si="1"/>
        <v>0</v>
      </c>
      <c r="O14" s="235" t="s">
        <v>168</v>
      </c>
      <c r="P14" s="129"/>
    </row>
    <row r="15" spans="1:17" ht="13.5" customHeight="1">
      <c r="A15" s="134" t="s">
        <v>169</v>
      </c>
      <c r="B15" s="122"/>
      <c r="C15" s="233" t="s">
        <v>170</v>
      </c>
      <c r="D15" s="253">
        <f>[1]!F071F2600Personnel</f>
        <v>0</v>
      </c>
      <c r="E15" s="12"/>
      <c r="F15" s="5"/>
      <c r="G15" s="5"/>
      <c r="H15" s="5"/>
      <c r="I15" s="5"/>
      <c r="J15" s="781"/>
      <c r="K15" s="5"/>
      <c r="L15" s="238">
        <f>[1]!F071F2600</f>
        <v>0</v>
      </c>
      <c r="M15" s="234">
        <f t="shared" si="0"/>
        <v>0</v>
      </c>
      <c r="N15" s="254">
        <f t="shared" si="1"/>
        <v>0</v>
      </c>
      <c r="O15" s="235" t="s">
        <v>170</v>
      </c>
      <c r="P15" s="129"/>
    </row>
    <row r="16" spans="1:17" ht="13.5" customHeight="1">
      <c r="A16" s="134" t="s">
        <v>532</v>
      </c>
      <c r="B16" s="122"/>
      <c r="C16" s="233" t="s">
        <v>172</v>
      </c>
      <c r="D16" s="253">
        <f>[1]!F071F2700Personnel</f>
        <v>0</v>
      </c>
      <c r="E16" s="12"/>
      <c r="F16" s="5"/>
      <c r="G16" s="5"/>
      <c r="H16" s="5"/>
      <c r="I16" s="5"/>
      <c r="J16" s="781"/>
      <c r="K16" s="5"/>
      <c r="L16" s="238">
        <f>[1]!F071F2700</f>
        <v>0</v>
      </c>
      <c r="M16" s="234">
        <f t="shared" si="0"/>
        <v>0</v>
      </c>
      <c r="N16" s="254">
        <f t="shared" si="1"/>
        <v>0</v>
      </c>
      <c r="O16" s="235" t="s">
        <v>172</v>
      </c>
      <c r="P16" s="129"/>
    </row>
    <row r="17" spans="1:16" ht="13.5" customHeight="1">
      <c r="A17" s="134" t="s">
        <v>171</v>
      </c>
      <c r="B17" s="122"/>
      <c r="C17" s="233" t="s">
        <v>174</v>
      </c>
      <c r="D17" s="253">
        <f>[1]!F071F2900Personnel</f>
        <v>0</v>
      </c>
      <c r="E17" s="12"/>
      <c r="F17" s="5"/>
      <c r="G17" s="5"/>
      <c r="H17" s="5"/>
      <c r="I17" s="5"/>
      <c r="J17" s="781"/>
      <c r="K17" s="5"/>
      <c r="L17" s="238">
        <f>[1]!F071F2900</f>
        <v>0</v>
      </c>
      <c r="M17" s="234">
        <f t="shared" si="0"/>
        <v>0</v>
      </c>
      <c r="N17" s="254">
        <f t="shared" si="1"/>
        <v>0</v>
      </c>
      <c r="O17" s="235" t="s">
        <v>174</v>
      </c>
      <c r="P17" s="129"/>
    </row>
    <row r="18" spans="1:16" ht="13.5" customHeight="1">
      <c r="A18" s="782" t="s">
        <v>533</v>
      </c>
      <c r="B18" s="783"/>
      <c r="C18" s="784" t="s">
        <v>176</v>
      </c>
      <c r="D18" s="253">
        <f>SUM(D7:D17)</f>
        <v>0</v>
      </c>
      <c r="E18" s="253">
        <f>E8+SUM(E10:E17)</f>
        <v>0</v>
      </c>
      <c r="F18" s="258">
        <f>F8+SUM(F10:F17)</f>
        <v>0</v>
      </c>
      <c r="G18" s="258">
        <f>G8+SUM(G10:G17)</f>
        <v>0</v>
      </c>
      <c r="H18" s="258">
        <f>H8+SUM(H10:H17)</f>
        <v>0</v>
      </c>
      <c r="I18" s="258">
        <f>I8+SUM(I10:I17)</f>
        <v>0</v>
      </c>
      <c r="J18" s="785"/>
      <c r="K18" s="258">
        <f>K8+SUM(K10:K17)</f>
        <v>0</v>
      </c>
      <c r="L18" s="258">
        <f>SUM(L7:L17)</f>
        <v>0</v>
      </c>
      <c r="M18" s="258">
        <f>SUM(M7:M17)</f>
        <v>0</v>
      </c>
      <c r="N18" s="254">
        <f t="shared" si="1"/>
        <v>0</v>
      </c>
      <c r="O18" s="473" t="s">
        <v>176</v>
      </c>
      <c r="P18" s="129"/>
    </row>
    <row r="19" spans="1:16" ht="13.5" customHeight="1">
      <c r="A19" s="1637" t="s">
        <v>534</v>
      </c>
      <c r="B19" s="1638"/>
      <c r="C19" s="786"/>
      <c r="D19" s="1462">
        <f>[1]!F072F1000Personnel</f>
        <v>0</v>
      </c>
      <c r="E19" s="231"/>
      <c r="F19" s="232"/>
      <c r="G19" s="232"/>
      <c r="H19" s="232"/>
      <c r="I19" s="232"/>
      <c r="J19" s="1639"/>
      <c r="K19" s="232"/>
      <c r="L19" s="1445">
        <f>[1]!F072F1000</f>
        <v>0</v>
      </c>
      <c r="M19" s="1449">
        <f>SUM(F20:K20)</f>
        <v>0</v>
      </c>
      <c r="N19" s="1443">
        <f t="shared" si="1"/>
        <v>0</v>
      </c>
      <c r="O19" s="780"/>
    </row>
    <row r="20" spans="1:16" ht="13.5" customHeight="1">
      <c r="A20" s="134" t="s">
        <v>160</v>
      </c>
      <c r="B20" s="122"/>
      <c r="C20" s="233" t="s">
        <v>178</v>
      </c>
      <c r="D20" s="1641"/>
      <c r="E20" s="38"/>
      <c r="F20" s="4"/>
      <c r="G20" s="4"/>
      <c r="H20" s="4"/>
      <c r="I20" s="4"/>
      <c r="J20" s="1640"/>
      <c r="K20" s="4"/>
      <c r="L20" s="1465"/>
      <c r="M20" s="1446"/>
      <c r="N20" s="1444"/>
      <c r="O20" s="235" t="s">
        <v>178</v>
      </c>
      <c r="P20" s="129"/>
    </row>
    <row r="21" spans="1:16" ht="13.5" customHeight="1">
      <c r="A21" s="134" t="s">
        <v>161</v>
      </c>
      <c r="B21" s="122"/>
      <c r="C21" s="233"/>
      <c r="D21" s="1462">
        <f>[1]!F072F2100Personnel</f>
        <v>0</v>
      </c>
      <c r="E21" s="231"/>
      <c r="F21" s="232"/>
      <c r="G21" s="232"/>
      <c r="H21" s="232"/>
      <c r="I21" s="232"/>
      <c r="J21" s="1639"/>
      <c r="K21" s="232"/>
      <c r="L21" s="1445">
        <f>[1]!F072F2100</f>
        <v>0</v>
      </c>
      <c r="M21" s="1449">
        <f>SUM(F22:K22)</f>
        <v>0</v>
      </c>
      <c r="N21" s="1443">
        <f>IF(L21=M21,0,IF(L21&gt;0,(M21-L21)/L21,""))</f>
        <v>0</v>
      </c>
      <c r="O21" s="235" t="s">
        <v>53</v>
      </c>
      <c r="P21" s="129"/>
    </row>
    <row r="22" spans="1:16" ht="13.5" customHeight="1">
      <c r="A22" s="134" t="s">
        <v>162</v>
      </c>
      <c r="B22" s="122"/>
      <c r="C22" s="233" t="s">
        <v>180</v>
      </c>
      <c r="D22" s="1641"/>
      <c r="E22" s="38"/>
      <c r="F22" s="4"/>
      <c r="G22" s="4"/>
      <c r="H22" s="4"/>
      <c r="I22" s="4"/>
      <c r="J22" s="1640"/>
      <c r="K22" s="4"/>
      <c r="L22" s="1465"/>
      <c r="M22" s="1446"/>
      <c r="N22" s="1444"/>
      <c r="O22" s="235" t="s">
        <v>180</v>
      </c>
      <c r="P22" s="129"/>
    </row>
    <row r="23" spans="1:16" ht="13.5" customHeight="1">
      <c r="A23" s="134" t="s">
        <v>163</v>
      </c>
      <c r="B23" s="122"/>
      <c r="C23" s="233" t="s">
        <v>182</v>
      </c>
      <c r="D23" s="257">
        <f>[1]!F072F2200Personnel</f>
        <v>0</v>
      </c>
      <c r="E23" s="12"/>
      <c r="F23" s="5"/>
      <c r="G23" s="5"/>
      <c r="H23" s="5"/>
      <c r="I23" s="5"/>
      <c r="J23" s="781"/>
      <c r="K23" s="5"/>
      <c r="L23" s="787">
        <f>[1]!F072F2200</f>
        <v>0</v>
      </c>
      <c r="M23" s="234">
        <f t="shared" ref="M23:M29" si="2">SUM(F23:K23)</f>
        <v>0</v>
      </c>
      <c r="N23" s="240">
        <f t="shared" ref="N23:N30" si="3">IF(L23=M23,0,IF(L23&gt;0,(M23-L23)/L23,""))</f>
        <v>0</v>
      </c>
      <c r="O23" s="235" t="s">
        <v>182</v>
      </c>
      <c r="P23" s="129"/>
    </row>
    <row r="24" spans="1:16" ht="13.5" customHeight="1">
      <c r="A24" s="134" t="s">
        <v>164</v>
      </c>
      <c r="B24" s="122"/>
      <c r="C24" s="233" t="s">
        <v>184</v>
      </c>
      <c r="D24" s="257">
        <f>[1]!F072F2300Personnel</f>
        <v>0</v>
      </c>
      <c r="E24" s="12"/>
      <c r="F24" s="5"/>
      <c r="G24" s="5"/>
      <c r="H24" s="5"/>
      <c r="I24" s="5"/>
      <c r="J24" s="781"/>
      <c r="K24" s="5"/>
      <c r="L24" s="239">
        <f>[1]!F072F2300</f>
        <v>0</v>
      </c>
      <c r="M24" s="234">
        <f t="shared" si="2"/>
        <v>0</v>
      </c>
      <c r="N24" s="240">
        <f t="shared" si="3"/>
        <v>0</v>
      </c>
      <c r="O24" s="235" t="s">
        <v>184</v>
      </c>
      <c r="P24" s="129"/>
    </row>
    <row r="25" spans="1:16" ht="13.5" customHeight="1">
      <c r="A25" s="134" t="s">
        <v>165</v>
      </c>
      <c r="B25" s="122"/>
      <c r="C25" s="233" t="s">
        <v>186</v>
      </c>
      <c r="D25" s="257">
        <f>[1]!F072F2400Personnel</f>
        <v>0</v>
      </c>
      <c r="E25" s="12"/>
      <c r="F25" s="5"/>
      <c r="G25" s="5"/>
      <c r="H25" s="5"/>
      <c r="I25" s="5"/>
      <c r="J25" s="781"/>
      <c r="K25" s="5"/>
      <c r="L25" s="239">
        <f>[1]!F072F2400</f>
        <v>0</v>
      </c>
      <c r="M25" s="234">
        <f t="shared" si="2"/>
        <v>0</v>
      </c>
      <c r="N25" s="240">
        <f t="shared" si="3"/>
        <v>0</v>
      </c>
      <c r="O25" s="235" t="s">
        <v>186</v>
      </c>
      <c r="P25" s="129"/>
    </row>
    <row r="26" spans="1:16" ht="13.5" customHeight="1">
      <c r="A26" s="134" t="s">
        <v>167</v>
      </c>
      <c r="B26" s="122"/>
      <c r="C26" s="233" t="s">
        <v>187</v>
      </c>
      <c r="D26" s="257">
        <f>[1]!F072F2500Personnel</f>
        <v>0</v>
      </c>
      <c r="E26" s="12"/>
      <c r="F26" s="5"/>
      <c r="G26" s="5"/>
      <c r="H26" s="5"/>
      <c r="I26" s="5"/>
      <c r="J26" s="781"/>
      <c r="K26" s="5"/>
      <c r="L26" s="239">
        <f>[1]!F072F2500</f>
        <v>0</v>
      </c>
      <c r="M26" s="234">
        <f t="shared" si="2"/>
        <v>0</v>
      </c>
      <c r="N26" s="240">
        <f t="shared" si="3"/>
        <v>0</v>
      </c>
      <c r="O26" s="235" t="s">
        <v>187</v>
      </c>
      <c r="P26" s="129"/>
    </row>
    <row r="27" spans="1:16" ht="13.5" customHeight="1">
      <c r="A27" s="134" t="s">
        <v>169</v>
      </c>
      <c r="B27" s="122"/>
      <c r="C27" s="233" t="s">
        <v>188</v>
      </c>
      <c r="D27" s="257">
        <f>[1]!F072F2600Personnel</f>
        <v>0</v>
      </c>
      <c r="E27" s="12"/>
      <c r="F27" s="5"/>
      <c r="G27" s="5"/>
      <c r="H27" s="5"/>
      <c r="I27" s="5"/>
      <c r="J27" s="781"/>
      <c r="K27" s="5"/>
      <c r="L27" s="239">
        <f>[1]!F072F2600</f>
        <v>0</v>
      </c>
      <c r="M27" s="234">
        <f t="shared" si="2"/>
        <v>0</v>
      </c>
      <c r="N27" s="240">
        <f t="shared" si="3"/>
        <v>0</v>
      </c>
      <c r="O27" s="235" t="s">
        <v>188</v>
      </c>
      <c r="P27" s="129"/>
    </row>
    <row r="28" spans="1:16" ht="13.5" customHeight="1">
      <c r="A28" s="134" t="s">
        <v>532</v>
      </c>
      <c r="B28" s="122"/>
      <c r="C28" s="233" t="s">
        <v>189</v>
      </c>
      <c r="D28" s="257">
        <f>[1]!F072F2700Personnel</f>
        <v>0</v>
      </c>
      <c r="E28" s="12"/>
      <c r="F28" s="5"/>
      <c r="G28" s="5"/>
      <c r="H28" s="5"/>
      <c r="I28" s="5"/>
      <c r="J28" s="781"/>
      <c r="K28" s="5"/>
      <c r="L28" s="239">
        <f>[1]!F072F2700</f>
        <v>0</v>
      </c>
      <c r="M28" s="234">
        <f t="shared" si="2"/>
        <v>0</v>
      </c>
      <c r="N28" s="240">
        <f t="shared" si="3"/>
        <v>0</v>
      </c>
      <c r="O28" s="235" t="s">
        <v>189</v>
      </c>
      <c r="P28" s="129"/>
    </row>
    <row r="29" spans="1:16" ht="13.5" customHeight="1">
      <c r="A29" s="134" t="s">
        <v>171</v>
      </c>
      <c r="B29" s="122"/>
      <c r="C29" s="233" t="s">
        <v>190</v>
      </c>
      <c r="D29" s="257">
        <f>[1]!F072F2900Personnel</f>
        <v>0</v>
      </c>
      <c r="E29" s="12"/>
      <c r="F29" s="5"/>
      <c r="G29" s="5"/>
      <c r="H29" s="5"/>
      <c r="I29" s="5"/>
      <c r="J29" s="781"/>
      <c r="K29" s="5"/>
      <c r="L29" s="239">
        <f>[1]!F072F2900</f>
        <v>0</v>
      </c>
      <c r="M29" s="234">
        <f t="shared" si="2"/>
        <v>0</v>
      </c>
      <c r="N29" s="240">
        <f t="shared" si="3"/>
        <v>0</v>
      </c>
      <c r="O29" s="235" t="s">
        <v>190</v>
      </c>
      <c r="P29" s="129"/>
    </row>
    <row r="30" spans="1:16" ht="13.5" customHeight="1">
      <c r="A30" s="782" t="s">
        <v>535</v>
      </c>
      <c r="B30" s="783"/>
      <c r="C30" s="784" t="s">
        <v>191</v>
      </c>
      <c r="D30" s="253">
        <f>SUM(D19:D29)</f>
        <v>0</v>
      </c>
      <c r="E30" s="253">
        <f>E20+SUM(E22:E29)</f>
        <v>0</v>
      </c>
      <c r="F30" s="258">
        <f>F20+SUM(F22:F29)</f>
        <v>0</v>
      </c>
      <c r="G30" s="258">
        <f>G20+SUM(G22:G29)</f>
        <v>0</v>
      </c>
      <c r="H30" s="258">
        <f>H20+SUM(H22:H29)</f>
        <v>0</v>
      </c>
      <c r="I30" s="258">
        <f>I20+SUM(I22:I29)</f>
        <v>0</v>
      </c>
      <c r="J30" s="785"/>
      <c r="K30" s="258">
        <f>K20+SUM(K22:K29)</f>
        <v>0</v>
      </c>
      <c r="L30" s="258">
        <f>SUM(L19:L29)</f>
        <v>0</v>
      </c>
      <c r="M30" s="258">
        <f>SUM(M19:M29)</f>
        <v>0</v>
      </c>
      <c r="N30" s="240">
        <f t="shared" si="3"/>
        <v>0</v>
      </c>
      <c r="O30" s="473" t="s">
        <v>191</v>
      </c>
      <c r="P30" s="129"/>
    </row>
    <row r="31" spans="1:16" ht="9" customHeight="1"/>
  </sheetData>
  <sheetProtection sheet="1" formatCells="0" formatColumns="0" formatRows="0"/>
  <mergeCells count="27">
    <mergeCell ref="A19:B19"/>
    <mergeCell ref="L21:L22"/>
    <mergeCell ref="M21:M22"/>
    <mergeCell ref="N21:N22"/>
    <mergeCell ref="J21:J22"/>
    <mergeCell ref="N19:N20"/>
    <mergeCell ref="J19:J20"/>
    <mergeCell ref="L19:L20"/>
    <mergeCell ref="D21:D22"/>
    <mergeCell ref="D19:D20"/>
    <mergeCell ref="M19:M20"/>
    <mergeCell ref="N1:O1"/>
    <mergeCell ref="N7:N8"/>
    <mergeCell ref="M7:M8"/>
    <mergeCell ref="M9:M10"/>
    <mergeCell ref="N9:N10"/>
    <mergeCell ref="A2:N2"/>
    <mergeCell ref="B1:E1"/>
    <mergeCell ref="D9:D10"/>
    <mergeCell ref="G1:H1"/>
    <mergeCell ref="A4:B4"/>
    <mergeCell ref="A7:B7"/>
    <mergeCell ref="J7:J8"/>
    <mergeCell ref="J9:J10"/>
    <mergeCell ref="L7:L8"/>
    <mergeCell ref="D7:D8"/>
    <mergeCell ref="L9:L10"/>
  </mergeCells>
  <printOptions horizontalCentered="1"/>
  <pageMargins left="0.25" right="0.25" top="0.25" bottom="0.25" header="0" footer="0.25"/>
  <pageSetup paperSize="5" scale="92" orientation="landscape" r:id="rId1"/>
  <headerFooter alignWithMargins="0">
    <oddFooter>&amp;L&amp;"Times New Roman,Bold"&amp;9Rev. 5/23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71"/>
  <sheetViews>
    <sheetView showGridLines="0" tabSelected="1" topLeftCell="A48" workbookViewId="0">
      <selection activeCell="S31" sqref="S31"/>
    </sheetView>
  </sheetViews>
  <sheetFormatPr defaultColWidth="8.54296875" defaultRowHeight="10.199999999999999"/>
  <cols>
    <col min="1" max="1" width="17" style="792" customWidth="1"/>
    <col min="2" max="2" width="6.54296875" style="792" customWidth="1"/>
    <col min="3" max="3" width="12.08984375" style="792" customWidth="1"/>
    <col min="4" max="8" width="8.90625" style="792" customWidth="1"/>
    <col min="9" max="9" width="10" style="792" customWidth="1"/>
    <col min="10" max="10" width="2" style="792" customWidth="1"/>
    <col min="11" max="11" width="10" style="792" customWidth="1"/>
    <col min="12" max="12" width="8.90625" style="792" customWidth="1"/>
    <col min="13" max="255" width="5.90625" style="792" customWidth="1"/>
    <col min="256" max="257" width="8.54296875" style="792" customWidth="1"/>
    <col min="258" max="16384" width="8.54296875" style="792"/>
  </cols>
  <sheetData>
    <row r="1" spans="1:22" ht="15">
      <c r="A1" s="788" t="str">
        <f>IF(OR(Version="Proposed",Version=""),"SUMMARY OF SCHOOL DISTRICT PROPOSED EXPENDITURE BUDGET",IF(Version="Adopted","SUMMARY OF SCHOOL DISTRICT ADOPTED EXPENDITURE BUDGET","SUMMARY OF SCHOOL DISTRICT REVISED EXPENDITURE BUDGET"))</f>
        <v>SUMMARY OF SCHOOL DISTRICT ADOPTED EXPENDITURE BUDGET</v>
      </c>
      <c r="B1" s="788"/>
      <c r="C1" s="788"/>
      <c r="D1" s="788"/>
      <c r="E1" s="788"/>
      <c r="F1" s="788"/>
      <c r="G1" s="788"/>
      <c r="H1" s="788" t="s">
        <v>438</v>
      </c>
      <c r="I1" s="789" t="str">
        <f>CTD</f>
        <v>070438000</v>
      </c>
      <c r="J1" s="790"/>
      <c r="K1" s="791" t="s">
        <v>536</v>
      </c>
      <c r="L1" s="191"/>
    </row>
    <row r="2" spans="1:22" ht="12" customHeight="1">
      <c r="B2" s="350"/>
      <c r="C2" s="350"/>
      <c r="D2" s="350"/>
      <c r="E2" s="350"/>
      <c r="F2" s="350"/>
      <c r="G2" s="350"/>
      <c r="H2" s="793" t="s">
        <v>74</v>
      </c>
      <c r="I2" s="794" t="str">
        <f>Cover!C8</f>
        <v>Adopted</v>
      </c>
      <c r="J2" s="442"/>
      <c r="K2" s="791" t="s">
        <v>537</v>
      </c>
      <c r="L2" s="791" t="s">
        <v>538</v>
      </c>
      <c r="M2" s="442"/>
      <c r="N2" s="442"/>
      <c r="O2" s="442"/>
      <c r="P2" s="442"/>
      <c r="Q2" s="442"/>
      <c r="R2" s="442"/>
      <c r="S2" s="442"/>
      <c r="T2" s="442"/>
      <c r="U2" s="442"/>
      <c r="V2" s="442"/>
    </row>
    <row r="3" spans="1:22" ht="15" customHeight="1">
      <c r="A3" s="795" t="s">
        <v>539</v>
      </c>
      <c r="B3" s="1643" t="s">
        <v>1416</v>
      </c>
      <c r="C3" s="1643"/>
      <c r="D3" s="1644"/>
      <c r="E3" s="796" t="s">
        <v>540</v>
      </c>
      <c r="F3" s="111" t="s">
        <v>1417</v>
      </c>
      <c r="G3" s="1642" t="s">
        <v>541</v>
      </c>
      <c r="H3" s="1642"/>
      <c r="I3" s="1642"/>
      <c r="J3" s="442"/>
      <c r="K3" s="791" t="s">
        <v>542</v>
      </c>
      <c r="L3" s="797" t="s">
        <v>543</v>
      </c>
      <c r="M3" s="442"/>
      <c r="N3" s="442"/>
      <c r="O3" s="442"/>
      <c r="P3" s="442"/>
      <c r="Q3" s="442"/>
      <c r="R3" s="442"/>
      <c r="S3" s="442"/>
      <c r="T3" s="442"/>
      <c r="U3" s="442"/>
      <c r="V3" s="442"/>
    </row>
    <row r="4" spans="1:22" ht="12" customHeight="1">
      <c r="A4" s="795" t="str">
        <f>IF(OR(I2="Proposed",I2=0),K1,IF(I2="Adopted",L2,K2))</f>
        <v>adopted by the Governing Board on,</v>
      </c>
      <c r="C4" s="1374">
        <f>IF(ISNUMBER(SEARCH("Revised*",I2)),Cover!E15,IF(ISNUMBER(SEARCH("Proposed*",I2)),Cover!E13,IF(ISNUMBER(SEARCH("Adopted*",I2)),Cover!E14,"")))</f>
        <v>45090</v>
      </c>
      <c r="D4" s="1645" t="str">
        <f>IF(OR(I2="Proposed",I2=0),K3,IF(I2="Adopted",L3,K4))</f>
        <v>, and that the complete Adopted Expenditure Budget may be reviewed by contacting</v>
      </c>
      <c r="E4" s="1645">
        <f>IF(ISNUMBER(SEARCH("Revised*",M2)),O2,O1)</f>
        <v>0</v>
      </c>
      <c r="F4" s="1645">
        <f>IF(ISNUMBER(SEARCH("Revised*",N2)),P2,P1)</f>
        <v>0</v>
      </c>
      <c r="G4" s="1645">
        <f>IF(ISNUMBER(SEARCH("Revised*",O2)),Q2,Q1)</f>
        <v>0</v>
      </c>
      <c r="H4" s="1645">
        <f>IF(ISNUMBER(SEARCH("Revised*",P2)),R2,R1)</f>
        <v>0</v>
      </c>
      <c r="I4" s="1645">
        <f>IF(ISNUMBER(SEARCH("Revised*",Q2)),S2,S1)</f>
        <v>0</v>
      </c>
      <c r="J4" s="442"/>
      <c r="K4" s="791" t="s">
        <v>544</v>
      </c>
      <c r="L4" s="798"/>
      <c r="M4" s="442"/>
      <c r="N4" s="442"/>
      <c r="O4" s="442"/>
      <c r="P4" s="442"/>
      <c r="Q4" s="442"/>
      <c r="R4" s="442"/>
      <c r="S4" s="442"/>
      <c r="T4" s="442"/>
      <c r="U4" s="442"/>
      <c r="V4" s="442"/>
    </row>
    <row r="5" spans="1:22" ht="12" customHeight="1">
      <c r="A5" s="33" t="s">
        <v>1361</v>
      </c>
      <c r="B5" s="1648" t="s">
        <v>545</v>
      </c>
      <c r="C5" s="1649"/>
      <c r="D5" s="1657" t="s">
        <v>1418</v>
      </c>
      <c r="E5" s="1644"/>
      <c r="F5" s="1645" t="s">
        <v>546</v>
      </c>
      <c r="G5" s="1645"/>
      <c r="H5" s="1645"/>
      <c r="I5" s="1647" t="str">
        <f>IF(I10&lt;1,"Enter average salaries on Budget Cover","")</f>
        <v/>
      </c>
      <c r="K5" s="1650" t="str">
        <f>IF(AND(ISNUMBER(SEARCH("Revised*",I2)),Cover!E15=""),"Enter revised date on Budget Cover",IF(AND(ISNUMBER(SEARCH("Proposed*",I2)),Cover!E13=""),"Enter proposed date on Budget Cover",""))</f>
        <v/>
      </c>
      <c r="L5" s="442"/>
      <c r="M5" s="442"/>
      <c r="N5" s="442"/>
      <c r="O5" s="442"/>
      <c r="P5" s="442"/>
      <c r="Q5" s="442"/>
      <c r="R5" s="442"/>
      <c r="S5" s="442"/>
      <c r="T5" s="442"/>
      <c r="U5" s="442"/>
      <c r="V5" s="442"/>
    </row>
    <row r="6" spans="1:22" ht="11.4">
      <c r="A6" s="799"/>
      <c r="B6" s="799"/>
      <c r="C6" s="800"/>
      <c r="D6" s="800"/>
      <c r="E6" s="1646"/>
      <c r="F6" s="1646"/>
      <c r="G6" s="1646"/>
      <c r="H6" s="799"/>
      <c r="I6" s="1647"/>
      <c r="J6" s="801"/>
      <c r="K6" s="1650"/>
      <c r="L6" s="442"/>
      <c r="M6" s="442"/>
      <c r="N6" s="442"/>
      <c r="O6" s="442"/>
      <c r="P6" s="442"/>
      <c r="Q6" s="442"/>
      <c r="R6" s="442"/>
      <c r="S6" s="442"/>
      <c r="T6" s="442"/>
      <c r="U6" s="442"/>
      <c r="V6" s="442"/>
    </row>
    <row r="7" spans="1:22" ht="11.4">
      <c r="A7" s="799"/>
      <c r="B7" s="800"/>
      <c r="C7" s="800"/>
      <c r="D7" s="800"/>
      <c r="E7" s="1653" t="s">
        <v>547</v>
      </c>
      <c r="F7" s="1653"/>
      <c r="G7" s="1653"/>
      <c r="H7" s="799"/>
      <c r="I7" s="1647"/>
      <c r="J7" s="801"/>
      <c r="K7" s="1650"/>
      <c r="L7" s="442"/>
      <c r="M7" s="442"/>
      <c r="N7" s="442"/>
      <c r="O7" s="442"/>
      <c r="P7" s="442"/>
      <c r="Q7" s="442"/>
      <c r="R7" s="442"/>
      <c r="S7" s="442"/>
      <c r="T7" s="442"/>
      <c r="U7" s="442"/>
      <c r="V7" s="442"/>
    </row>
    <row r="8" spans="1:22" ht="6" customHeight="1">
      <c r="A8" s="802"/>
      <c r="B8" s="802"/>
      <c r="C8" s="802"/>
      <c r="D8" s="802"/>
      <c r="E8" s="802"/>
      <c r="F8" s="802"/>
      <c r="G8" s="799"/>
      <c r="H8" s="799"/>
      <c r="I8" s="799"/>
      <c r="J8" s="442"/>
      <c r="K8" s="442"/>
      <c r="L8" s="442"/>
      <c r="M8" s="442"/>
      <c r="N8" s="442"/>
      <c r="O8" s="442"/>
      <c r="P8" s="442"/>
      <c r="Q8" s="442"/>
      <c r="R8" s="442"/>
      <c r="S8" s="442"/>
      <c r="T8" s="442"/>
      <c r="U8" s="442"/>
      <c r="V8" s="442"/>
    </row>
    <row r="9" spans="1:22" ht="11.25" customHeight="1">
      <c r="A9" s="803" t="s">
        <v>548</v>
      </c>
      <c r="B9" s="804"/>
      <c r="C9" s="805" t="s">
        <v>549</v>
      </c>
      <c r="D9" s="806" t="s">
        <v>550</v>
      </c>
      <c r="E9" s="807" t="s">
        <v>551</v>
      </c>
      <c r="F9" s="808"/>
      <c r="G9" s="809"/>
      <c r="H9" s="809"/>
      <c r="I9" s="810"/>
      <c r="J9" s="442"/>
      <c r="K9" s="442"/>
      <c r="L9" s="442"/>
      <c r="M9" s="442"/>
      <c r="N9" s="442"/>
      <c r="O9" s="442"/>
      <c r="P9" s="442"/>
      <c r="Q9" s="442"/>
      <c r="R9" s="442"/>
      <c r="S9" s="442"/>
      <c r="T9" s="442"/>
      <c r="U9" s="442"/>
      <c r="V9" s="442"/>
    </row>
    <row r="10" spans="1:22" ht="10.5" customHeight="1">
      <c r="A10" s="811"/>
      <c r="B10" s="812" t="s">
        <v>552</v>
      </c>
      <c r="C10" s="812" t="s">
        <v>553</v>
      </c>
      <c r="D10" s="813" t="s">
        <v>554</v>
      </c>
      <c r="E10" s="814" t="s">
        <v>555</v>
      </c>
      <c r="F10" s="815"/>
      <c r="G10" s="816"/>
      <c r="H10" s="122"/>
      <c r="I10" s="817">
        <f>BudgetYearSalary</f>
        <v>61241</v>
      </c>
      <c r="J10" s="442"/>
      <c r="K10" s="442"/>
      <c r="L10" s="442"/>
      <c r="M10" s="442"/>
      <c r="N10" s="442"/>
      <c r="O10" s="442"/>
      <c r="P10" s="442"/>
      <c r="Q10" s="442"/>
      <c r="R10" s="442"/>
      <c r="S10" s="442"/>
      <c r="T10" s="442"/>
      <c r="U10" s="442"/>
      <c r="V10" s="442"/>
    </row>
    <row r="11" spans="1:22" ht="10.5" customHeight="1">
      <c r="A11" s="1668" t="s">
        <v>556</v>
      </c>
      <c r="B11" s="818"/>
      <c r="C11" s="818"/>
      <c r="D11" s="819"/>
      <c r="E11" s="814" t="s">
        <v>557</v>
      </c>
      <c r="F11" s="815"/>
      <c r="G11" s="816"/>
      <c r="H11" s="122"/>
      <c r="I11" s="817">
        <f>PriorYearSalary</f>
        <v>58863</v>
      </c>
      <c r="J11" s="442"/>
      <c r="K11" s="442"/>
      <c r="M11" s="820"/>
      <c r="N11" s="442"/>
      <c r="O11" s="442"/>
      <c r="P11" s="442"/>
      <c r="Q11" s="442"/>
      <c r="R11" s="442"/>
      <c r="S11" s="442"/>
      <c r="T11" s="442"/>
      <c r="U11" s="442"/>
      <c r="V11" s="442"/>
    </row>
    <row r="12" spans="1:22" ht="11.25" customHeight="1">
      <c r="A12" s="1669"/>
      <c r="B12" s="821">
        <v>5326.5313999999998</v>
      </c>
      <c r="C12" s="821">
        <v>5259.2386999999999</v>
      </c>
      <c r="D12" s="822">
        <v>5259.2386999999999</v>
      </c>
      <c r="E12" s="823" t="s">
        <v>558</v>
      </c>
      <c r="F12" s="815"/>
      <c r="G12" s="816"/>
      <c r="H12" s="122"/>
      <c r="I12" s="824">
        <f>SalaryIncrease</f>
        <v>2378</v>
      </c>
      <c r="J12" s="442"/>
      <c r="K12" s="442"/>
      <c r="L12" s="442"/>
      <c r="M12" s="442"/>
      <c r="N12" s="442"/>
      <c r="O12" s="442"/>
      <c r="P12" s="442"/>
      <c r="Q12" s="442"/>
      <c r="R12" s="442"/>
      <c r="S12" s="442"/>
      <c r="T12" s="442"/>
      <c r="U12" s="442"/>
      <c r="V12" s="442"/>
    </row>
    <row r="13" spans="1:22" ht="10.5" customHeight="1">
      <c r="A13" s="825" t="s">
        <v>559</v>
      </c>
      <c r="B13" s="826"/>
      <c r="C13" s="827" t="s">
        <v>215</v>
      </c>
      <c r="D13" s="828" t="s">
        <v>560</v>
      </c>
      <c r="E13" s="823" t="s">
        <v>561</v>
      </c>
      <c r="F13" s="815"/>
      <c r="G13" s="816"/>
      <c r="H13" s="122"/>
      <c r="I13" s="829">
        <f>PercentageIncrease</f>
        <v>0.04</v>
      </c>
      <c r="J13" s="442"/>
      <c r="K13" s="442"/>
      <c r="L13" s="442"/>
      <c r="M13" s="442"/>
      <c r="N13" s="442"/>
      <c r="O13" s="442"/>
      <c r="P13" s="442"/>
      <c r="Q13" s="442"/>
      <c r="R13" s="442"/>
      <c r="S13" s="442"/>
      <c r="T13" s="442"/>
      <c r="U13" s="442"/>
      <c r="V13" s="442"/>
    </row>
    <row r="14" spans="1:22" ht="10.5" customHeight="1">
      <c r="A14" s="1670" t="s">
        <v>562</v>
      </c>
      <c r="B14" s="1671"/>
      <c r="C14" s="1677">
        <f>PrimTaxRateCurrFY</f>
        <v>1.7437</v>
      </c>
      <c r="D14" s="1672">
        <f>EstTaxRateBudgFY</f>
        <v>1.7093</v>
      </c>
      <c r="E14" s="830"/>
      <c r="I14" s="831"/>
      <c r="J14" s="442"/>
      <c r="K14" s="800"/>
      <c r="P14" s="442"/>
      <c r="Q14" s="442"/>
      <c r="R14" s="442"/>
      <c r="S14" s="442"/>
      <c r="T14" s="442"/>
      <c r="U14" s="442"/>
      <c r="V14" s="442"/>
    </row>
    <row r="15" spans="1:22" ht="10.5" customHeight="1">
      <c r="A15" s="1670"/>
      <c r="B15" s="1671"/>
      <c r="C15" s="1678"/>
      <c r="D15" s="1673"/>
      <c r="E15" s="1680" t="str">
        <f>IF(SalaryComments="","",SalaryComments)</f>
        <v xml:space="preserve">Comments on average salary calculation (Optional): </v>
      </c>
      <c r="F15" s="1681"/>
      <c r="G15" s="1681"/>
      <c r="H15" s="1681"/>
      <c r="I15" s="1682"/>
      <c r="J15" s="442"/>
      <c r="K15" s="832"/>
      <c r="P15" s="442"/>
      <c r="Q15" s="442"/>
      <c r="R15" s="442"/>
      <c r="S15" s="442"/>
      <c r="T15" s="442"/>
      <c r="U15" s="442"/>
      <c r="V15" s="442"/>
    </row>
    <row r="16" spans="1:22" ht="9.75" customHeight="1">
      <c r="A16" s="1670"/>
      <c r="B16" s="1671"/>
      <c r="C16" s="1679"/>
      <c r="D16" s="1674"/>
      <c r="E16" s="1683"/>
      <c r="F16" s="1684"/>
      <c r="G16" s="1684"/>
      <c r="H16" s="1684"/>
      <c r="I16" s="1685"/>
      <c r="J16" s="442"/>
      <c r="K16" s="832"/>
      <c r="P16" s="442"/>
      <c r="Q16" s="442"/>
      <c r="R16" s="442"/>
      <c r="S16" s="442"/>
      <c r="T16" s="442"/>
      <c r="U16" s="442"/>
      <c r="V16" s="442"/>
    </row>
    <row r="17" spans="1:22" ht="9.75" customHeight="1">
      <c r="A17" s="1658" t="s">
        <v>563</v>
      </c>
      <c r="B17" s="1659"/>
      <c r="C17" s="1662">
        <f>TotSecTaxRateCurrFY</f>
        <v>2.0695000000000001</v>
      </c>
      <c r="D17" s="1662">
        <f>TotSecTaxRateBudgFY</f>
        <v>2.0600999999999998</v>
      </c>
      <c r="E17" s="1683"/>
      <c r="F17" s="1684"/>
      <c r="G17" s="1684"/>
      <c r="H17" s="1684"/>
      <c r="I17" s="1685"/>
      <c r="J17" s="442"/>
      <c r="K17" s="832"/>
      <c r="P17" s="442"/>
      <c r="Q17" s="442"/>
      <c r="R17" s="442"/>
      <c r="S17" s="442"/>
      <c r="T17" s="442"/>
      <c r="U17" s="442"/>
      <c r="V17" s="442"/>
    </row>
    <row r="18" spans="1:22" ht="11.25" customHeight="1">
      <c r="A18" s="1658"/>
      <c r="B18" s="1659"/>
      <c r="C18" s="1662"/>
      <c r="D18" s="1662"/>
      <c r="E18" s="1683"/>
      <c r="F18" s="1684"/>
      <c r="G18" s="1684"/>
      <c r="H18" s="1684"/>
      <c r="I18" s="1685"/>
      <c r="J18" s="442"/>
      <c r="K18" s="442"/>
      <c r="P18" s="442"/>
      <c r="Q18" s="442"/>
      <c r="R18" s="442"/>
      <c r="S18" s="442"/>
      <c r="T18" s="442"/>
      <c r="U18" s="442"/>
      <c r="V18" s="442"/>
    </row>
    <row r="19" spans="1:22" ht="11.25" customHeight="1">
      <c r="A19" s="1660"/>
      <c r="B19" s="1661"/>
      <c r="C19" s="1662"/>
      <c r="D19" s="1662"/>
      <c r="E19" s="1683"/>
      <c r="F19" s="1684"/>
      <c r="G19" s="1684"/>
      <c r="H19" s="1684"/>
      <c r="I19" s="1685"/>
      <c r="J19" s="442"/>
      <c r="K19" s="442"/>
      <c r="L19" s="442"/>
      <c r="M19" s="442"/>
      <c r="N19" s="442"/>
      <c r="O19" s="442"/>
      <c r="P19" s="442"/>
      <c r="Q19" s="442"/>
      <c r="R19" s="442"/>
      <c r="S19" s="442"/>
      <c r="T19" s="442"/>
      <c r="U19" s="442"/>
      <c r="V19" s="442"/>
    </row>
    <row r="20" spans="1:22" ht="10.5" customHeight="1">
      <c r="A20" s="825" t="s">
        <v>564</v>
      </c>
      <c r="B20" s="833"/>
      <c r="C20" s="1655" t="s">
        <v>44</v>
      </c>
      <c r="D20" s="834"/>
      <c r="E20" s="1683"/>
      <c r="F20" s="1684"/>
      <c r="G20" s="1684"/>
      <c r="H20" s="1684"/>
      <c r="I20" s="1685"/>
      <c r="J20" s="442"/>
      <c r="K20" s="442"/>
      <c r="L20" s="442"/>
      <c r="M20" s="442"/>
      <c r="N20" s="442"/>
      <c r="O20" s="442"/>
      <c r="P20" s="442"/>
      <c r="Q20" s="442"/>
      <c r="R20" s="442"/>
      <c r="S20" s="442"/>
      <c r="T20" s="442"/>
      <c r="U20" s="442"/>
      <c r="V20" s="442"/>
    </row>
    <row r="21" spans="1:22" ht="10.5" customHeight="1">
      <c r="A21" s="835"/>
      <c r="B21" s="799"/>
      <c r="C21" s="1656"/>
      <c r="D21" s="836" t="s">
        <v>45</v>
      </c>
      <c r="E21" s="1683"/>
      <c r="F21" s="1684"/>
      <c r="G21" s="1684"/>
      <c r="H21" s="1684"/>
      <c r="I21" s="1685"/>
      <c r="J21" s="442"/>
      <c r="K21" s="442"/>
      <c r="L21" s="442"/>
      <c r="M21" s="442"/>
      <c r="N21" s="442"/>
      <c r="O21" s="442"/>
      <c r="P21" s="442"/>
      <c r="Q21" s="442"/>
      <c r="R21" s="442"/>
      <c r="S21" s="442"/>
      <c r="T21" s="442"/>
      <c r="U21" s="442"/>
      <c r="V21" s="442"/>
    </row>
    <row r="22" spans="1:22" ht="10.5" customHeight="1">
      <c r="A22" s="1663" t="s">
        <v>565</v>
      </c>
      <c r="B22" s="1664"/>
      <c r="C22" s="837">
        <f>F001TotalExp</f>
        <v>46802338</v>
      </c>
      <c r="D22" s="838">
        <f>GBLBudgFY</f>
        <v>46802338</v>
      </c>
      <c r="E22" s="1683"/>
      <c r="F22" s="1684"/>
      <c r="G22" s="1684"/>
      <c r="H22" s="1684"/>
      <c r="I22" s="1685"/>
      <c r="J22" s="442"/>
      <c r="K22" s="442"/>
      <c r="L22" s="442"/>
      <c r="M22" s="442"/>
      <c r="N22" s="442"/>
      <c r="O22" s="442"/>
      <c r="P22" s="442"/>
      <c r="Q22" s="442"/>
      <c r="R22" s="442"/>
      <c r="S22" s="442"/>
      <c r="T22" s="442"/>
      <c r="U22" s="442"/>
      <c r="V22" s="442"/>
    </row>
    <row r="23" spans="1:22" ht="10.5" customHeight="1">
      <c r="A23" s="1663" t="s">
        <v>566</v>
      </c>
      <c r="B23" s="1665"/>
      <c r="C23" s="839">
        <f>F010TotalExp</f>
        <v>8916772</v>
      </c>
      <c r="D23" s="840">
        <f>'Page 3'!CSFBLBudgFY</f>
        <v>8916772</v>
      </c>
      <c r="E23" s="1683"/>
      <c r="F23" s="1684"/>
      <c r="G23" s="1684"/>
      <c r="H23" s="1684"/>
      <c r="I23" s="1685"/>
      <c r="J23" s="442"/>
      <c r="K23" s="442"/>
      <c r="L23" s="442"/>
      <c r="M23" s="442"/>
      <c r="N23" s="442"/>
      <c r="O23" s="442"/>
      <c r="P23" s="442"/>
      <c r="Q23" s="442"/>
      <c r="R23" s="442"/>
      <c r="S23" s="442"/>
      <c r="T23" s="442"/>
      <c r="U23" s="442"/>
      <c r="V23" s="442"/>
    </row>
    <row r="24" spans="1:22" ht="10.5" customHeight="1">
      <c r="A24" s="1666" t="s">
        <v>567</v>
      </c>
      <c r="B24" s="1667"/>
      <c r="C24" s="842">
        <f>F610TotalBudgFY</f>
        <v>12957684</v>
      </c>
      <c r="D24" s="842">
        <f>UCBLBudgFY</f>
        <v>12957684</v>
      </c>
      <c r="E24" s="1686"/>
      <c r="F24" s="1687"/>
      <c r="G24" s="1687"/>
      <c r="H24" s="1687"/>
      <c r="I24" s="1688"/>
      <c r="J24" s="442"/>
      <c r="K24" s="442"/>
      <c r="L24" s="442"/>
      <c r="M24" s="442"/>
      <c r="N24" s="442"/>
      <c r="O24" s="442"/>
      <c r="P24" s="442"/>
      <c r="Q24" s="442"/>
      <c r="R24" s="442"/>
      <c r="S24" s="442"/>
      <c r="T24" s="442"/>
      <c r="U24" s="442"/>
      <c r="V24" s="442"/>
    </row>
    <row r="25" spans="1:22" ht="9" customHeight="1">
      <c r="B25" s="489"/>
      <c r="C25" s="843"/>
      <c r="J25" s="442"/>
      <c r="K25" s="442"/>
      <c r="L25" s="442"/>
      <c r="M25" s="442"/>
      <c r="N25" s="442"/>
      <c r="O25" s="442"/>
      <c r="P25" s="442"/>
      <c r="Q25" s="442"/>
      <c r="R25" s="442"/>
      <c r="S25" s="442"/>
      <c r="T25" s="442"/>
      <c r="U25" s="442"/>
      <c r="V25" s="442"/>
    </row>
    <row r="26" spans="1:22" ht="8.25" customHeight="1">
      <c r="A26" s="844"/>
      <c r="B26" s="844"/>
      <c r="C26" s="845"/>
      <c r="D26" s="845"/>
      <c r="E26" s="845"/>
      <c r="F26" s="845"/>
      <c r="G26" s="845"/>
      <c r="H26" s="845"/>
      <c r="I26" s="846"/>
      <c r="J26" s="442"/>
      <c r="K26" s="442"/>
      <c r="L26" s="442"/>
      <c r="M26" s="442"/>
      <c r="N26" s="442"/>
      <c r="O26" s="442"/>
      <c r="P26" s="442"/>
      <c r="Q26" s="442"/>
      <c r="R26" s="442"/>
      <c r="S26" s="442"/>
      <c r="T26" s="442"/>
      <c r="U26" s="442"/>
      <c r="V26" s="442"/>
    </row>
    <row r="27" spans="1:22" ht="11.4">
      <c r="A27" s="1652" t="s">
        <v>568</v>
      </c>
      <c r="B27" s="1653"/>
      <c r="C27" s="1653"/>
      <c r="D27" s="1653"/>
      <c r="E27" s="1653"/>
      <c r="F27" s="1653"/>
      <c r="G27" s="1653"/>
      <c r="H27" s="1653"/>
      <c r="I27" s="1654"/>
      <c r="J27" s="442"/>
      <c r="K27" s="442"/>
      <c r="L27" s="442"/>
      <c r="M27" s="442"/>
      <c r="N27" s="442"/>
      <c r="O27" s="442"/>
      <c r="P27" s="442"/>
      <c r="Q27" s="442"/>
      <c r="R27" s="442"/>
      <c r="S27" s="442"/>
      <c r="T27" s="442"/>
      <c r="U27" s="442"/>
      <c r="V27" s="442"/>
    </row>
    <row r="28" spans="1:22" ht="11.4">
      <c r="A28" s="811"/>
      <c r="B28" s="847"/>
      <c r="C28" s="848"/>
      <c r="D28" s="849"/>
      <c r="E28" s="850"/>
      <c r="F28" s="851"/>
      <c r="G28" s="852" t="s">
        <v>53</v>
      </c>
      <c r="H28" s="853"/>
      <c r="I28" s="854" t="s">
        <v>569</v>
      </c>
      <c r="J28" s="442"/>
      <c r="K28" s="442"/>
      <c r="L28" s="442"/>
      <c r="M28" s="442"/>
      <c r="N28" s="442"/>
      <c r="O28" s="442"/>
      <c r="P28" s="442"/>
      <c r="Q28" s="442"/>
      <c r="R28" s="442"/>
      <c r="S28" s="442"/>
      <c r="T28" s="442"/>
      <c r="U28" s="442"/>
      <c r="V28" s="442"/>
    </row>
    <row r="29" spans="1:22" ht="11.4">
      <c r="A29" s="811"/>
      <c r="B29" s="802"/>
      <c r="C29" s="855" t="s">
        <v>570</v>
      </c>
      <c r="D29" s="856"/>
      <c r="E29" s="857" t="s">
        <v>147</v>
      </c>
      <c r="F29" s="858"/>
      <c r="G29" s="856" t="s">
        <v>571</v>
      </c>
      <c r="H29" s="859"/>
      <c r="I29" s="860" t="s">
        <v>572</v>
      </c>
      <c r="J29" s="442"/>
      <c r="K29" s="442"/>
      <c r="L29" s="442"/>
      <c r="M29" s="442"/>
      <c r="N29" s="442"/>
      <c r="O29" s="442"/>
      <c r="P29" s="442"/>
      <c r="Q29" s="442"/>
      <c r="R29" s="442"/>
      <c r="S29" s="442"/>
      <c r="T29" s="442"/>
      <c r="U29" s="442"/>
      <c r="V29" s="442"/>
    </row>
    <row r="30" spans="1:22" ht="11.4">
      <c r="A30" s="811"/>
      <c r="B30" s="802"/>
      <c r="C30" s="854" t="s">
        <v>215</v>
      </c>
      <c r="D30" s="854" t="s">
        <v>216</v>
      </c>
      <c r="E30" s="860" t="s">
        <v>215</v>
      </c>
      <c r="F30" s="860" t="s">
        <v>216</v>
      </c>
      <c r="G30" s="854" t="s">
        <v>215</v>
      </c>
      <c r="H30" s="854" t="s">
        <v>216</v>
      </c>
      <c r="I30" s="860" t="s">
        <v>215</v>
      </c>
      <c r="J30" s="442"/>
      <c r="K30" s="442"/>
      <c r="L30" s="442"/>
      <c r="M30" s="442"/>
      <c r="N30" s="442"/>
      <c r="O30" s="442"/>
      <c r="P30" s="442"/>
      <c r="Q30" s="442"/>
      <c r="R30" s="442"/>
      <c r="S30" s="442"/>
      <c r="T30" s="442"/>
      <c r="U30" s="442"/>
      <c r="V30" s="442"/>
    </row>
    <row r="31" spans="1:22" ht="7.5" customHeight="1">
      <c r="A31" s="811"/>
      <c r="B31" s="802"/>
      <c r="C31" s="861"/>
      <c r="D31" s="861"/>
      <c r="E31" s="861"/>
      <c r="F31" s="861"/>
      <c r="G31" s="861"/>
      <c r="H31" s="861"/>
      <c r="I31" s="861"/>
      <c r="J31" s="442"/>
      <c r="K31" s="442"/>
      <c r="L31" s="442"/>
      <c r="M31" s="442"/>
      <c r="N31" s="442"/>
      <c r="O31" s="442"/>
      <c r="P31" s="442"/>
      <c r="Q31" s="442"/>
      <c r="R31" s="442"/>
      <c r="S31" s="442"/>
      <c r="T31" s="442"/>
      <c r="U31" s="442"/>
      <c r="V31" s="442"/>
    </row>
    <row r="32" spans="1:22" ht="12.75" customHeight="1">
      <c r="A32" s="835" t="s">
        <v>159</v>
      </c>
      <c r="B32" s="802"/>
      <c r="C32" s="1651">
        <f>[1]!F001P100F1000SBBudgFY</f>
        <v>16465075</v>
      </c>
      <c r="D32" s="1676">
        <f>F001P100F1000O6100+F001P100F1000O6200</f>
        <v>17701812</v>
      </c>
      <c r="E32" s="1651">
        <f>[1]!F001P100F1000OthBudgFY</f>
        <v>706000</v>
      </c>
      <c r="F32" s="1676">
        <f>F001P100F1000O630064006500+F001P100F1000O6600+F001P100F1000O6800</f>
        <v>706000</v>
      </c>
      <c r="G32" s="1651">
        <f>C32+E32</f>
        <v>17171075</v>
      </c>
      <c r="H32" s="1676">
        <f>D32+F32</f>
        <v>18407812</v>
      </c>
      <c r="I32" s="1675">
        <f>IF(G32=H32,0,IF(G32&gt;0,(H32-G32)/G32,""))</f>
        <v>7.1999999999999995E-2</v>
      </c>
      <c r="J32" s="442"/>
      <c r="K32" s="442"/>
      <c r="L32" s="442"/>
      <c r="M32" s="442"/>
      <c r="N32" s="442"/>
      <c r="O32" s="442"/>
      <c r="P32" s="442"/>
      <c r="Q32" s="442"/>
      <c r="R32" s="442"/>
      <c r="S32" s="442"/>
      <c r="T32" s="442"/>
      <c r="U32" s="442"/>
      <c r="V32" s="442"/>
    </row>
    <row r="33" spans="1:22" ht="12.75" customHeight="1">
      <c r="A33" s="835" t="s">
        <v>160</v>
      </c>
      <c r="B33" s="802"/>
      <c r="C33" s="1461"/>
      <c r="D33" s="1459"/>
      <c r="E33" s="1461"/>
      <c r="F33" s="1459"/>
      <c r="G33" s="1461"/>
      <c r="H33" s="1459"/>
      <c r="I33" s="1506"/>
      <c r="J33" s="442"/>
      <c r="K33" s="442"/>
      <c r="L33" s="442"/>
      <c r="M33" s="442"/>
      <c r="N33" s="442"/>
      <c r="O33" s="442"/>
      <c r="P33" s="442"/>
      <c r="Q33" s="442"/>
      <c r="R33" s="442"/>
      <c r="S33" s="442"/>
      <c r="T33" s="442"/>
      <c r="U33" s="442"/>
      <c r="V33" s="442"/>
    </row>
    <row r="34" spans="1:22" ht="12.75" customHeight="1">
      <c r="A34" s="835" t="s">
        <v>161</v>
      </c>
      <c r="B34" s="802"/>
      <c r="C34" s="1651">
        <f>[1]!F001P100F2100SBBudgFY</f>
        <v>1475000</v>
      </c>
      <c r="D34" s="1676">
        <f>F001P100F2100O6100+F001P100F2100O6200</f>
        <v>1923200</v>
      </c>
      <c r="E34" s="1651">
        <f>[1]!F001P100F2100OthBudgFY</f>
        <v>151000</v>
      </c>
      <c r="F34" s="1676">
        <f>F001P100F2100O630064006500+F001P100F2100O6600+F001P100F2100O6800</f>
        <v>151000</v>
      </c>
      <c r="G34" s="1651">
        <f>C34+E34</f>
        <v>1626000</v>
      </c>
      <c r="H34" s="1676">
        <f>D34+F34</f>
        <v>2074200</v>
      </c>
      <c r="I34" s="1675">
        <f>IF(G34=H34,0,IF(G34&gt;0,(H34-G34)/G34,""))</f>
        <v>0.27600000000000002</v>
      </c>
      <c r="J34" s="442"/>
      <c r="K34" s="442"/>
      <c r="L34" s="442"/>
      <c r="M34" s="442"/>
      <c r="N34" s="442"/>
      <c r="O34" s="442"/>
      <c r="P34" s="442"/>
      <c r="Q34" s="442"/>
      <c r="R34" s="442"/>
      <c r="S34" s="442"/>
      <c r="T34" s="442"/>
      <c r="U34" s="442"/>
      <c r="V34" s="442"/>
    </row>
    <row r="35" spans="1:22" ht="12.75" customHeight="1">
      <c r="A35" s="835" t="s">
        <v>162</v>
      </c>
      <c r="B35" s="863"/>
      <c r="C35" s="1461"/>
      <c r="D35" s="1459"/>
      <c r="E35" s="1461"/>
      <c r="F35" s="1459"/>
      <c r="G35" s="1461"/>
      <c r="H35" s="1459"/>
      <c r="I35" s="1506"/>
      <c r="J35" s="442"/>
      <c r="K35" s="442"/>
      <c r="L35" s="442"/>
      <c r="M35" s="442"/>
      <c r="N35" s="442"/>
      <c r="O35" s="442"/>
      <c r="P35" s="442"/>
      <c r="Q35" s="442"/>
      <c r="R35" s="442"/>
      <c r="S35" s="442"/>
      <c r="T35" s="442"/>
      <c r="U35" s="442"/>
      <c r="V35" s="442"/>
    </row>
    <row r="36" spans="1:22" ht="13.5" customHeight="1">
      <c r="A36" s="864" t="s">
        <v>163</v>
      </c>
      <c r="B36" s="802"/>
      <c r="C36" s="865">
        <f>[1]!F001P100F2200SBBudgFY</f>
        <v>1750000</v>
      </c>
      <c r="D36" s="866">
        <f>F001P100F2200O6100+F001P100F2200O6200</f>
        <v>1818000</v>
      </c>
      <c r="E36" s="865">
        <f>[1]!F001P100F2200OthBudgFY</f>
        <v>215100</v>
      </c>
      <c r="F36" s="866">
        <f>F001P100F2200O630064006500+F001P100F2200O6600+F001P100F2200O6800</f>
        <v>215100</v>
      </c>
      <c r="G36" s="865">
        <f t="shared" ref="G36:H43" si="0">C36+E36</f>
        <v>1965100</v>
      </c>
      <c r="H36" s="866">
        <f t="shared" si="0"/>
        <v>2033100</v>
      </c>
      <c r="I36" s="867">
        <f t="shared" ref="I36:I45" si="1">IF(G36=H36,0,IF(G36&gt;0,(H36-G36)/G36,""))</f>
        <v>3.5000000000000003E-2</v>
      </c>
      <c r="J36" s="442"/>
      <c r="K36" s="442"/>
      <c r="L36" s="442"/>
      <c r="M36" s="442"/>
      <c r="N36" s="442"/>
      <c r="O36" s="442"/>
      <c r="P36" s="442"/>
      <c r="Q36" s="442"/>
      <c r="R36" s="442"/>
      <c r="S36" s="442"/>
      <c r="T36" s="442"/>
      <c r="U36" s="442"/>
      <c r="V36" s="442"/>
    </row>
    <row r="37" spans="1:22" ht="13.5" customHeight="1">
      <c r="A37" s="864" t="s">
        <v>573</v>
      </c>
      <c r="B37" s="868"/>
      <c r="C37" s="865">
        <f>[1]!F001P100F230024002500SBBudgFY</f>
        <v>5425981</v>
      </c>
      <c r="D37" s="866">
        <f>F001P100F2300O6100+F001P100F2400O6100+F001P100F2500O6100+F001P100F2300O6200+F001P100F2400O6200+F001P100F2500O6200</f>
        <v>5593600</v>
      </c>
      <c r="E37" s="865">
        <f>[1]!F001P100F230024002500OthBudgFY</f>
        <v>1216700</v>
      </c>
      <c r="F37" s="866">
        <f>F001P100F2300O630064006500+F001P100F2300O6600+F001P100F2300O6800+F001P100F2400O630064006500+F001P100F2400O6600+F001P100F2400O6800+F001P100F2500O630064006500+F001P100F2500O6600+F001P100F2500O6800</f>
        <v>1216700</v>
      </c>
      <c r="G37" s="865">
        <f t="shared" si="0"/>
        <v>6642681</v>
      </c>
      <c r="H37" s="866">
        <f t="shared" si="0"/>
        <v>6810300</v>
      </c>
      <c r="I37" s="867">
        <f t="shared" si="1"/>
        <v>2.5000000000000001E-2</v>
      </c>
      <c r="J37" s="442"/>
      <c r="K37" s="442"/>
      <c r="L37" s="442"/>
      <c r="M37" s="442"/>
      <c r="N37" s="442"/>
      <c r="O37" s="442"/>
      <c r="P37" s="442"/>
      <c r="Q37" s="442"/>
      <c r="R37" s="442"/>
      <c r="S37" s="442"/>
      <c r="T37" s="442"/>
      <c r="U37" s="442"/>
      <c r="V37" s="442"/>
    </row>
    <row r="38" spans="1:22" ht="12.75" customHeight="1">
      <c r="A38" s="864" t="s">
        <v>574</v>
      </c>
      <c r="B38" s="869"/>
      <c r="C38" s="865">
        <f>[1]!F001P100F2600SBBudgFY</f>
        <v>2300000</v>
      </c>
      <c r="D38" s="866">
        <f>F001P100F2600O6100+F001P100F2600O6200</f>
        <v>2450000</v>
      </c>
      <c r="E38" s="865">
        <f>[1]!F001P100F2600OthBudgFY</f>
        <v>3719000</v>
      </c>
      <c r="F38" s="865">
        <f>F001P100F2600O630064006500+F001P100F2600O6600+F001P100F2600O6800</f>
        <v>3731000</v>
      </c>
      <c r="G38" s="865">
        <f t="shared" si="0"/>
        <v>6019000</v>
      </c>
      <c r="H38" s="866">
        <f t="shared" si="0"/>
        <v>6181000</v>
      </c>
      <c r="I38" s="867">
        <f t="shared" si="1"/>
        <v>2.7E-2</v>
      </c>
      <c r="J38" s="442"/>
      <c r="K38" s="442"/>
      <c r="L38" s="442"/>
      <c r="M38" s="442"/>
      <c r="N38" s="442"/>
      <c r="O38" s="442"/>
      <c r="P38" s="442"/>
      <c r="Q38" s="442"/>
      <c r="R38" s="442"/>
      <c r="S38" s="442"/>
      <c r="T38" s="442"/>
      <c r="U38" s="442"/>
      <c r="V38" s="442"/>
    </row>
    <row r="39" spans="1:22" ht="13.5" customHeight="1">
      <c r="A39" s="835" t="s">
        <v>575</v>
      </c>
      <c r="B39" s="802"/>
      <c r="C39" s="865">
        <f>[1]!F001P100F2900SBBudgFY</f>
        <v>0</v>
      </c>
      <c r="D39" s="866">
        <f>F001P100F2900O6100+F001P100F2900O6200</f>
        <v>0</v>
      </c>
      <c r="E39" s="865">
        <f>[1]!F001P100F2900OthBudgFY</f>
        <v>0</v>
      </c>
      <c r="F39" s="865">
        <f>F001P100F2900O630064006500+F001P100F2900O6600+F001P100F2900O6800</f>
        <v>0</v>
      </c>
      <c r="G39" s="865">
        <f t="shared" si="0"/>
        <v>0</v>
      </c>
      <c r="H39" s="866">
        <f t="shared" si="0"/>
        <v>0</v>
      </c>
      <c r="I39" s="867">
        <f t="shared" si="1"/>
        <v>0</v>
      </c>
      <c r="J39" s="442"/>
      <c r="K39" s="442"/>
      <c r="L39" s="442"/>
      <c r="M39" s="442"/>
      <c r="N39" s="442"/>
      <c r="O39" s="442"/>
      <c r="P39" s="442"/>
      <c r="Q39" s="442"/>
      <c r="R39" s="442"/>
      <c r="S39" s="442"/>
      <c r="T39" s="442"/>
      <c r="U39" s="442"/>
      <c r="V39" s="442"/>
    </row>
    <row r="40" spans="1:22" ht="13.5" customHeight="1">
      <c r="A40" s="835" t="s">
        <v>576</v>
      </c>
      <c r="B40" s="802"/>
      <c r="C40" s="865">
        <f>[1]!F001P100F3000SBBudgFY</f>
        <v>25775</v>
      </c>
      <c r="D40" s="866">
        <f>F001P100F3000O6100+F001P100F3000O6200</f>
        <v>25775</v>
      </c>
      <c r="E40" s="865">
        <f>[1]!F001P100F3000OthBudgFY</f>
        <v>135000</v>
      </c>
      <c r="F40" s="865">
        <f>F001P100F3000O630064006500+F001P100F3000O6600+F001P100F3000O6800</f>
        <v>140000</v>
      </c>
      <c r="G40" s="865">
        <f t="shared" si="0"/>
        <v>160775</v>
      </c>
      <c r="H40" s="866">
        <f t="shared" si="0"/>
        <v>165775</v>
      </c>
      <c r="I40" s="867">
        <f t="shared" si="1"/>
        <v>3.1E-2</v>
      </c>
      <c r="J40" s="442"/>
      <c r="K40" s="442"/>
      <c r="L40" s="442"/>
      <c r="M40" s="442"/>
      <c r="N40" s="442"/>
      <c r="O40" s="442"/>
      <c r="P40" s="442"/>
      <c r="Q40" s="442"/>
      <c r="R40" s="442"/>
      <c r="S40" s="442"/>
      <c r="T40" s="442"/>
      <c r="U40" s="442"/>
      <c r="V40" s="442"/>
    </row>
    <row r="41" spans="1:22" ht="13.5" customHeight="1">
      <c r="A41" s="811" t="s">
        <v>577</v>
      </c>
      <c r="B41" s="802"/>
      <c r="C41" s="865">
        <f>[1]!F001P610SBBudgFY</f>
        <v>0</v>
      </c>
      <c r="D41" s="866">
        <f>F001P610O6100+F001P610O6200</f>
        <v>0</v>
      </c>
      <c r="E41" s="865">
        <f>[1]!F001P610OthBudgFY</f>
        <v>0</v>
      </c>
      <c r="F41" s="865">
        <f>F001P610O630064006500+F001P610O6600+F001P610O6800</f>
        <v>0</v>
      </c>
      <c r="G41" s="865">
        <f t="shared" si="0"/>
        <v>0</v>
      </c>
      <c r="H41" s="866">
        <f t="shared" si="0"/>
        <v>0</v>
      </c>
      <c r="I41" s="867">
        <f t="shared" si="1"/>
        <v>0</v>
      </c>
      <c r="J41" s="442"/>
      <c r="K41" s="442"/>
      <c r="L41" s="442"/>
      <c r="M41" s="442"/>
      <c r="N41" s="442"/>
      <c r="O41" s="442"/>
      <c r="P41" s="442"/>
      <c r="Q41" s="442"/>
      <c r="R41" s="442"/>
      <c r="S41" s="442"/>
      <c r="T41" s="442"/>
      <c r="U41" s="442"/>
      <c r="V41" s="442"/>
    </row>
    <row r="42" spans="1:22" ht="13.5" customHeight="1">
      <c r="A42" s="811" t="s">
        <v>177</v>
      </c>
      <c r="B42" s="802"/>
      <c r="C42" s="865">
        <f>[1]!F001P620SBBudgFY</f>
        <v>0</v>
      </c>
      <c r="D42" s="866">
        <f>F001P620O6100+F001P620O6200</f>
        <v>0</v>
      </c>
      <c r="E42" s="865">
        <f>[1]!F001P620OthBudgFY</f>
        <v>0</v>
      </c>
      <c r="F42" s="865">
        <f>F001P620O630064006500+F001P620O6600+F001P620O6800</f>
        <v>0</v>
      </c>
      <c r="G42" s="865">
        <f t="shared" si="0"/>
        <v>0</v>
      </c>
      <c r="H42" s="866">
        <f t="shared" si="0"/>
        <v>0</v>
      </c>
      <c r="I42" s="867">
        <f t="shared" si="1"/>
        <v>0</v>
      </c>
      <c r="J42" s="442"/>
      <c r="K42" s="442"/>
      <c r="L42" s="442"/>
      <c r="M42" s="442"/>
      <c r="N42" s="442"/>
      <c r="O42" s="442"/>
      <c r="P42" s="442"/>
      <c r="Q42" s="442"/>
      <c r="R42" s="442"/>
      <c r="S42" s="442"/>
      <c r="T42" s="442"/>
      <c r="U42" s="442"/>
      <c r="V42" s="442"/>
    </row>
    <row r="43" spans="1:22" ht="13.5" customHeight="1">
      <c r="A43" s="811" t="s">
        <v>578</v>
      </c>
      <c r="B43" s="802"/>
      <c r="C43" s="865">
        <f>[1]!F001P630700800900SBBudgFY</f>
        <v>0</v>
      </c>
      <c r="D43" s="870">
        <f>F001P630O6100+F001P630O6200+F001P700800900O6100+F001P700800900O6200</f>
        <v>0</v>
      </c>
      <c r="E43" s="871">
        <f>[1]!F001P630700800900OthBudgFY</f>
        <v>0</v>
      </c>
      <c r="F43" s="871">
        <f>F001P630O630064006500+F001P630O6600+F001P630O6800+F001P700800900O630064006500+F001P700800900O6600+F001P700800900O6800</f>
        <v>0</v>
      </c>
      <c r="G43" s="871">
        <f t="shared" si="0"/>
        <v>0</v>
      </c>
      <c r="H43" s="870">
        <f t="shared" si="0"/>
        <v>0</v>
      </c>
      <c r="I43" s="867">
        <f t="shared" si="1"/>
        <v>0</v>
      </c>
      <c r="J43" s="442"/>
      <c r="K43" s="442"/>
      <c r="L43" s="442"/>
      <c r="M43" s="442"/>
      <c r="N43" s="442"/>
      <c r="O43" s="442"/>
      <c r="P43" s="442"/>
      <c r="Q43" s="442"/>
      <c r="R43" s="442"/>
      <c r="S43" s="442"/>
      <c r="T43" s="442"/>
      <c r="U43" s="442"/>
      <c r="V43" s="442"/>
    </row>
    <row r="44" spans="1:22" ht="12.75" customHeight="1">
      <c r="A44" s="872" t="s">
        <v>579</v>
      </c>
      <c r="B44" s="847"/>
      <c r="C44" s="866">
        <f t="shared" ref="C44:H44" si="2">SUM(C32:C43)</f>
        <v>27441831</v>
      </c>
      <c r="D44" s="866">
        <f t="shared" si="2"/>
        <v>29512387</v>
      </c>
      <c r="E44" s="866">
        <f t="shared" si="2"/>
        <v>6142800</v>
      </c>
      <c r="F44" s="866">
        <f t="shared" si="2"/>
        <v>6159800</v>
      </c>
      <c r="G44" s="866">
        <f t="shared" si="2"/>
        <v>33584631</v>
      </c>
      <c r="H44" s="866">
        <f t="shared" si="2"/>
        <v>35672187</v>
      </c>
      <c r="I44" s="867">
        <f t="shared" si="1"/>
        <v>6.2E-2</v>
      </c>
      <c r="J44" s="442"/>
      <c r="K44" s="442"/>
      <c r="L44" s="442"/>
      <c r="M44" s="442"/>
      <c r="N44" s="442"/>
      <c r="O44" s="442"/>
      <c r="P44" s="442"/>
      <c r="Q44" s="442"/>
      <c r="R44" s="442"/>
      <c r="S44" s="442"/>
      <c r="T44" s="442"/>
      <c r="U44" s="442"/>
      <c r="V44" s="442"/>
    </row>
    <row r="45" spans="1:22" ht="12.75" customHeight="1">
      <c r="A45" s="835" t="s">
        <v>185</v>
      </c>
      <c r="B45" s="802"/>
      <c r="C45" s="1651">
        <f>[1]!F001P200F1000SBBudgFY</f>
        <v>4000000</v>
      </c>
      <c r="D45" s="1676">
        <f>F001P200F1000O6100+F001P200F1000O6200</f>
        <v>4384000</v>
      </c>
      <c r="E45" s="1651">
        <f>[1]!F001P200F1000OthBudgFY</f>
        <v>625500</v>
      </c>
      <c r="F45" s="1676">
        <f>F001P200F1000O630064006500+F001P200F1000O6600+F001P200F1000O6800</f>
        <v>625500</v>
      </c>
      <c r="G45" s="1651">
        <f>C45+E45</f>
        <v>4625500</v>
      </c>
      <c r="H45" s="1676">
        <f>D45+F45</f>
        <v>5009500</v>
      </c>
      <c r="I45" s="1675">
        <f t="shared" si="1"/>
        <v>8.3000000000000004E-2</v>
      </c>
      <c r="J45" s="442"/>
      <c r="K45" s="442"/>
      <c r="L45" s="442"/>
      <c r="M45" s="442"/>
      <c r="N45" s="442"/>
      <c r="O45" s="442"/>
      <c r="P45" s="442"/>
      <c r="Q45" s="442"/>
      <c r="R45" s="442"/>
      <c r="S45" s="442"/>
      <c r="T45" s="442"/>
      <c r="U45" s="442"/>
      <c r="V45" s="442"/>
    </row>
    <row r="46" spans="1:22" ht="12.75" customHeight="1">
      <c r="A46" s="835" t="s">
        <v>160</v>
      </c>
      <c r="B46" s="802"/>
      <c r="C46" s="1461"/>
      <c r="D46" s="1459"/>
      <c r="E46" s="1461"/>
      <c r="F46" s="1459"/>
      <c r="G46" s="1461"/>
      <c r="H46" s="1459"/>
      <c r="I46" s="1506"/>
      <c r="J46" s="442"/>
      <c r="K46" s="442"/>
      <c r="L46" s="442"/>
      <c r="M46" s="442"/>
      <c r="N46" s="442"/>
      <c r="O46" s="442"/>
      <c r="P46" s="442"/>
      <c r="Q46" s="442"/>
      <c r="R46" s="442"/>
      <c r="S46" s="442"/>
      <c r="T46" s="442"/>
      <c r="U46" s="442"/>
      <c r="V46" s="442"/>
    </row>
    <row r="47" spans="1:22" ht="12.75" customHeight="1">
      <c r="A47" s="835" t="s">
        <v>161</v>
      </c>
      <c r="B47" s="802"/>
      <c r="C47" s="1651">
        <f>[1]!F001P200F2100SBBudgFY</f>
        <v>2175000</v>
      </c>
      <c r="D47" s="1676">
        <f>F001P200F2100O6100+F001P200F2100O6200</f>
        <v>2376000</v>
      </c>
      <c r="E47" s="1651">
        <f>[1]!F001P200F2100OthBudgFY</f>
        <v>372000</v>
      </c>
      <c r="F47" s="1676">
        <f>F001P200F2100O630064006500+F001P200F2100O6600+F001P200F2100O6800</f>
        <v>372000</v>
      </c>
      <c r="G47" s="1651">
        <f>C47+E47</f>
        <v>2547000</v>
      </c>
      <c r="H47" s="1676">
        <f>D47+F47</f>
        <v>2748000</v>
      </c>
      <c r="I47" s="1675">
        <f>IF(G47=H47,0,IF(G47&gt;0,(H47-G47)/G47,""))</f>
        <v>7.9000000000000001E-2</v>
      </c>
      <c r="J47" s="442"/>
      <c r="K47" s="442"/>
      <c r="L47" s="442"/>
      <c r="M47" s="442"/>
      <c r="N47" s="442"/>
      <c r="O47" s="442"/>
      <c r="P47" s="442"/>
      <c r="Q47" s="442"/>
      <c r="R47" s="442"/>
      <c r="S47" s="442"/>
      <c r="T47" s="442"/>
      <c r="U47" s="442"/>
      <c r="V47" s="442"/>
    </row>
    <row r="48" spans="1:22" ht="12.75" customHeight="1">
      <c r="A48" s="835" t="s">
        <v>162</v>
      </c>
      <c r="B48" s="863"/>
      <c r="C48" s="1461"/>
      <c r="D48" s="1459"/>
      <c r="E48" s="1461"/>
      <c r="F48" s="1459"/>
      <c r="G48" s="1459"/>
      <c r="H48" s="1459"/>
      <c r="I48" s="1506"/>
      <c r="J48" s="442"/>
      <c r="K48" s="442"/>
      <c r="L48" s="442"/>
      <c r="M48" s="442"/>
      <c r="N48" s="442"/>
      <c r="O48" s="442"/>
      <c r="P48" s="442"/>
      <c r="Q48" s="442"/>
      <c r="R48" s="442"/>
      <c r="S48" s="442"/>
      <c r="T48" s="442"/>
      <c r="U48" s="442"/>
      <c r="V48" s="442"/>
    </row>
    <row r="49" spans="1:22" ht="13.5" customHeight="1">
      <c r="A49" s="864" t="s">
        <v>163</v>
      </c>
      <c r="B49" s="802"/>
      <c r="C49" s="865">
        <f>[1]!F001P200F2200SBBudgFY</f>
        <v>500000</v>
      </c>
      <c r="D49" s="865">
        <f>F001P200F2200O6100+F001P200F2200O6200</f>
        <v>550000</v>
      </c>
      <c r="E49" s="865">
        <f>[1]!F001P200F2200OthBudgFY</f>
        <v>36800</v>
      </c>
      <c r="F49" s="866">
        <f>F001P200F2200O630064006500+F001P200F2200O6600+F001P200F2200O6800</f>
        <v>36800</v>
      </c>
      <c r="G49" s="865">
        <f t="shared" ref="G49:G58" si="3">C49+E49</f>
        <v>536800</v>
      </c>
      <c r="H49" s="866">
        <f t="shared" ref="H49:H58" si="4">D49+F49</f>
        <v>586800</v>
      </c>
      <c r="I49" s="867">
        <f t="shared" ref="I49:I58" si="5">IF(G49=H49,0,IF(G49&gt;0,(H49-G49)/G49,""))</f>
        <v>9.2999999999999999E-2</v>
      </c>
      <c r="J49" s="442"/>
      <c r="K49" s="442"/>
      <c r="L49" s="442"/>
      <c r="M49" s="442"/>
      <c r="N49" s="442"/>
      <c r="O49" s="442"/>
      <c r="P49" s="442"/>
      <c r="Q49" s="442"/>
      <c r="R49" s="442"/>
      <c r="S49" s="442"/>
      <c r="T49" s="442"/>
      <c r="U49" s="442"/>
      <c r="V49" s="442"/>
    </row>
    <row r="50" spans="1:22" ht="13.5" customHeight="1">
      <c r="A50" s="864" t="s">
        <v>573</v>
      </c>
      <c r="B50" s="868"/>
      <c r="C50" s="865">
        <f>[1]!F001P200F230024002500SBBudgFY</f>
        <v>0</v>
      </c>
      <c r="D50" s="865">
        <f>F001P200F2300O6100+F001P200F2300O6200+F001P200F2400O6100+F001P200F2400O6200+F001P200F2500O6100+F001P200F2500O6200</f>
        <v>0</v>
      </c>
      <c r="E50" s="865">
        <f>[1]!F001P200F230024002500OthBudgFY</f>
        <v>5000</v>
      </c>
      <c r="F50" s="865">
        <f>F001P200F2300O630064006500+F001P200F2300O6600+F001P200F2300O6800+F001P200F2400O630064006500+F001P200F2400O6600+F001P200F2400O6800+F001P200F2500O630064006500+F001P200F2500O6600+F001P200F2500O6800</f>
        <v>5000</v>
      </c>
      <c r="G50" s="865">
        <f t="shared" si="3"/>
        <v>5000</v>
      </c>
      <c r="H50" s="866">
        <f t="shared" si="4"/>
        <v>5000</v>
      </c>
      <c r="I50" s="867">
        <f t="shared" si="5"/>
        <v>0</v>
      </c>
      <c r="J50" s="442"/>
      <c r="K50" s="442"/>
      <c r="L50" s="442"/>
      <c r="M50" s="442"/>
      <c r="N50" s="442"/>
      <c r="O50" s="442"/>
      <c r="P50" s="442"/>
      <c r="Q50" s="442"/>
      <c r="R50" s="442"/>
      <c r="S50" s="442"/>
      <c r="T50" s="442"/>
      <c r="U50" s="442"/>
      <c r="V50" s="442"/>
    </row>
    <row r="51" spans="1:22" ht="13.5" customHeight="1">
      <c r="A51" s="864" t="s">
        <v>574</v>
      </c>
      <c r="B51" s="869"/>
      <c r="C51" s="865">
        <f>[1]!F001P200F2600SBBudgFY</f>
        <v>0</v>
      </c>
      <c r="D51" s="865">
        <f>F001P200F2600O6100+F001P200F2600O6200</f>
        <v>0</v>
      </c>
      <c r="E51" s="865">
        <f>[1]!F001P200F2600OthBudgFY</f>
        <v>0</v>
      </c>
      <c r="F51" s="865">
        <f>F001P200F2600O630064006500+F001P200F2600O6600+F001P200F2600O6800</f>
        <v>0</v>
      </c>
      <c r="G51" s="865">
        <f t="shared" si="3"/>
        <v>0</v>
      </c>
      <c r="H51" s="866">
        <f t="shared" si="4"/>
        <v>0</v>
      </c>
      <c r="I51" s="867">
        <f t="shared" si="5"/>
        <v>0</v>
      </c>
      <c r="J51" s="442"/>
      <c r="K51" s="442"/>
      <c r="L51" s="442"/>
      <c r="M51" s="442"/>
      <c r="N51" s="442"/>
      <c r="O51" s="442"/>
      <c r="P51" s="442"/>
      <c r="Q51" s="442"/>
      <c r="R51" s="442"/>
      <c r="S51" s="442"/>
      <c r="T51" s="442"/>
      <c r="U51" s="442"/>
      <c r="V51" s="442"/>
    </row>
    <row r="52" spans="1:22" ht="13.5" customHeight="1">
      <c r="A52" s="835" t="s">
        <v>575</v>
      </c>
      <c r="B52" s="802"/>
      <c r="C52" s="865">
        <f>[1]!F001P200F2900SBBudgFY</f>
        <v>0</v>
      </c>
      <c r="D52" s="865">
        <f>F001P200F2900O6100+F001P200F2900O6200</f>
        <v>0</v>
      </c>
      <c r="E52" s="865">
        <f>[1]!F001P200F2900OthBudgFY</f>
        <v>0</v>
      </c>
      <c r="F52" s="865">
        <f>F001P200F2900O630064006500+F001P200F2900O6600+F001P200F2900O6800</f>
        <v>0</v>
      </c>
      <c r="G52" s="865">
        <f t="shared" si="3"/>
        <v>0</v>
      </c>
      <c r="H52" s="866">
        <f t="shared" si="4"/>
        <v>0</v>
      </c>
      <c r="I52" s="867">
        <f t="shared" si="5"/>
        <v>0</v>
      </c>
      <c r="J52" s="442"/>
      <c r="K52" s="442"/>
      <c r="L52" s="442"/>
      <c r="M52" s="442"/>
      <c r="N52" s="442"/>
      <c r="O52" s="442"/>
      <c r="P52" s="442"/>
      <c r="Q52" s="442"/>
      <c r="R52" s="442"/>
      <c r="S52" s="442"/>
      <c r="T52" s="442"/>
      <c r="U52" s="442"/>
      <c r="V52" s="442"/>
    </row>
    <row r="53" spans="1:22" ht="13.5" customHeight="1">
      <c r="A53" s="835" t="s">
        <v>576</v>
      </c>
      <c r="B53" s="802"/>
      <c r="C53" s="865">
        <f>[1]!F001P200F3000SBBudgFY</f>
        <v>0</v>
      </c>
      <c r="D53" s="865">
        <f>F001P200F3000O6100+F001P200F3000O6200</f>
        <v>0</v>
      </c>
      <c r="E53" s="865">
        <f>[1]!F001P200F3000OthBudgFY</f>
        <v>0</v>
      </c>
      <c r="F53" s="865">
        <f>F001P200F3000O630064006500+F001P200F3000O6600+F001P200F3000O6800</f>
        <v>0</v>
      </c>
      <c r="G53" s="865">
        <f t="shared" si="3"/>
        <v>0</v>
      </c>
      <c r="H53" s="866">
        <f t="shared" si="4"/>
        <v>0</v>
      </c>
      <c r="I53" s="867">
        <f t="shared" si="5"/>
        <v>0</v>
      </c>
      <c r="J53" s="442"/>
      <c r="K53" s="442"/>
      <c r="L53" s="442"/>
      <c r="M53" s="442"/>
      <c r="N53" s="442"/>
      <c r="O53" s="442"/>
      <c r="P53" s="442"/>
      <c r="Q53" s="442"/>
      <c r="R53" s="442"/>
      <c r="S53" s="442"/>
      <c r="T53" s="442"/>
      <c r="U53" s="442"/>
      <c r="V53" s="442"/>
    </row>
    <row r="54" spans="1:22" ht="13.5" customHeight="1">
      <c r="A54" s="872" t="s">
        <v>580</v>
      </c>
      <c r="B54" s="802"/>
      <c r="C54" s="873">
        <f t="shared" ref="C54:H54" si="6">SUM(C45:C53)</f>
        <v>6675000</v>
      </c>
      <c r="D54" s="873">
        <f t="shared" si="6"/>
        <v>7310000</v>
      </c>
      <c r="E54" s="873">
        <f t="shared" si="6"/>
        <v>1039300</v>
      </c>
      <c r="F54" s="873">
        <f t="shared" si="6"/>
        <v>1039300</v>
      </c>
      <c r="G54" s="865">
        <f t="shared" si="6"/>
        <v>7714300</v>
      </c>
      <c r="H54" s="865">
        <f t="shared" si="6"/>
        <v>8349300</v>
      </c>
      <c r="I54" s="867">
        <f t="shared" si="5"/>
        <v>8.2000000000000003E-2</v>
      </c>
      <c r="J54" s="442"/>
      <c r="K54" s="442"/>
      <c r="L54" s="442"/>
      <c r="M54" s="442"/>
      <c r="N54" s="442"/>
      <c r="O54" s="442"/>
      <c r="P54" s="442"/>
      <c r="Q54" s="442"/>
      <c r="R54" s="442"/>
      <c r="S54" s="442"/>
      <c r="T54" s="442"/>
      <c r="U54" s="442"/>
      <c r="V54" s="442"/>
    </row>
    <row r="55" spans="1:22" ht="13.5" customHeight="1">
      <c r="A55" s="835" t="s">
        <v>197</v>
      </c>
      <c r="B55" s="874"/>
      <c r="C55" s="865">
        <f>[1]!F001P400SBBudgFY</f>
        <v>1450000</v>
      </c>
      <c r="D55" s="873">
        <f>F001P400O6100+F001P400O6200</f>
        <v>1549000</v>
      </c>
      <c r="E55" s="865">
        <f>[1]!F001P400OthBudgFy</f>
        <v>800000</v>
      </c>
      <c r="F55" s="873">
        <f>F001P400O630064006500+F001P400O6600+F001P400O6800</f>
        <v>801000</v>
      </c>
      <c r="G55" s="865">
        <f t="shared" si="3"/>
        <v>2250000</v>
      </c>
      <c r="H55" s="866">
        <f t="shared" si="4"/>
        <v>2350000</v>
      </c>
      <c r="I55" s="867">
        <f t="shared" si="5"/>
        <v>4.3999999999999997E-2</v>
      </c>
      <c r="J55" s="442"/>
      <c r="K55" s="442"/>
      <c r="L55" s="442"/>
      <c r="M55" s="442"/>
      <c r="N55" s="442"/>
      <c r="O55" s="442"/>
      <c r="P55" s="442"/>
      <c r="Q55" s="442"/>
      <c r="R55" s="442"/>
      <c r="S55" s="442"/>
      <c r="T55" s="442"/>
      <c r="U55" s="442"/>
      <c r="V55" s="442"/>
    </row>
    <row r="56" spans="1:22" ht="13.5" customHeight="1">
      <c r="A56" s="864" t="s">
        <v>581</v>
      </c>
      <c r="B56" s="875"/>
      <c r="C56" s="871">
        <f>[1]!F001P510SBBudgFY</f>
        <v>0</v>
      </c>
      <c r="D56" s="876">
        <f>F001P510O6100+F001P510O6200</f>
        <v>0</v>
      </c>
      <c r="E56" s="871">
        <f>[1]!F001P510OthBudgFY</f>
        <v>0</v>
      </c>
      <c r="F56" s="876">
        <f>F001P510O630064006500+F001P510O6600+F001P510O6800</f>
        <v>0</v>
      </c>
      <c r="G56" s="871">
        <f t="shared" si="3"/>
        <v>0</v>
      </c>
      <c r="H56" s="870">
        <f t="shared" si="4"/>
        <v>0</v>
      </c>
      <c r="I56" s="877">
        <f t="shared" si="5"/>
        <v>0</v>
      </c>
      <c r="J56" s="442"/>
      <c r="K56" s="442"/>
      <c r="L56" s="442"/>
      <c r="M56" s="442"/>
      <c r="N56" s="442"/>
      <c r="O56" s="442"/>
      <c r="P56" s="442"/>
      <c r="Q56" s="442"/>
      <c r="R56" s="442"/>
      <c r="S56" s="442"/>
      <c r="T56" s="442"/>
      <c r="U56" s="442"/>
      <c r="V56" s="442"/>
    </row>
    <row r="57" spans="1:22" ht="13.5" customHeight="1">
      <c r="A57" s="835" t="s">
        <v>202</v>
      </c>
      <c r="B57" s="874"/>
      <c r="C57" s="865">
        <f>[1]!F001P530SBBudgFY</f>
        <v>0</v>
      </c>
      <c r="D57" s="873">
        <f>F001P530O6100+F001P530O6200</f>
        <v>0</v>
      </c>
      <c r="E57" s="865">
        <f>[1]!F001P530OthBudgFY</f>
        <v>0</v>
      </c>
      <c r="F57" s="873">
        <f>F001P530O630064006500+F001P530O6600+F001P530O6800</f>
        <v>0</v>
      </c>
      <c r="G57" s="865">
        <f t="shared" si="3"/>
        <v>0</v>
      </c>
      <c r="H57" s="866">
        <f t="shared" si="4"/>
        <v>0</v>
      </c>
      <c r="I57" s="867">
        <f t="shared" si="5"/>
        <v>0</v>
      </c>
      <c r="J57" s="442"/>
      <c r="K57" s="442"/>
      <c r="L57" s="442"/>
      <c r="M57" s="442"/>
      <c r="N57" s="442"/>
      <c r="O57" s="442"/>
      <c r="P57" s="442"/>
      <c r="Q57" s="442"/>
      <c r="R57" s="442"/>
      <c r="S57" s="442"/>
      <c r="T57" s="442"/>
      <c r="U57" s="442"/>
      <c r="V57" s="442"/>
    </row>
    <row r="58" spans="1:22" ht="12.75" customHeight="1">
      <c r="A58" s="835" t="s">
        <v>582</v>
      </c>
      <c r="B58" s="317"/>
      <c r="C58" s="1651">
        <f>[1]!F001P540SBBudgFY</f>
        <v>0</v>
      </c>
      <c r="D58" s="1691">
        <f>F001P540O6100+F001P540O6200</f>
        <v>0</v>
      </c>
      <c r="E58" s="1651">
        <f>[1]!F001P540OthBudgFY</f>
        <v>0</v>
      </c>
      <c r="F58" s="1691">
        <f>F001P540O630064006500+F001P540O6600+F001P540O6800</f>
        <v>0</v>
      </c>
      <c r="G58" s="1651">
        <f t="shared" si="3"/>
        <v>0</v>
      </c>
      <c r="H58" s="1651">
        <f t="shared" si="4"/>
        <v>0</v>
      </c>
      <c r="I58" s="1675">
        <f t="shared" si="5"/>
        <v>0</v>
      </c>
      <c r="J58" s="442"/>
      <c r="K58" s="442"/>
      <c r="L58" s="442"/>
      <c r="M58" s="442"/>
      <c r="N58" s="442"/>
      <c r="O58" s="442"/>
      <c r="P58" s="442"/>
      <c r="Q58" s="442"/>
      <c r="R58" s="442"/>
      <c r="S58" s="442"/>
      <c r="T58" s="442"/>
      <c r="U58" s="442"/>
      <c r="V58" s="442"/>
    </row>
    <row r="59" spans="1:22" ht="12.75" customHeight="1">
      <c r="A59" s="835" t="s">
        <v>583</v>
      </c>
      <c r="B59" s="317"/>
      <c r="C59" s="1690"/>
      <c r="D59" s="1692"/>
      <c r="E59" s="1690"/>
      <c r="F59" s="1692"/>
      <c r="G59" s="1690"/>
      <c r="H59" s="1690"/>
      <c r="I59" s="1689"/>
      <c r="J59" s="442"/>
      <c r="K59" s="442"/>
      <c r="L59" s="442"/>
      <c r="M59" s="442"/>
      <c r="N59" s="442"/>
      <c r="O59" s="442"/>
      <c r="P59" s="442"/>
      <c r="Q59" s="442"/>
      <c r="R59" s="442"/>
      <c r="S59" s="442"/>
      <c r="T59" s="442"/>
      <c r="U59" s="442"/>
      <c r="V59" s="442"/>
    </row>
    <row r="60" spans="1:22" ht="9.75" customHeight="1">
      <c r="A60" s="864" t="s">
        <v>207</v>
      </c>
      <c r="B60" s="317"/>
      <c r="C60" s="865">
        <f>[1]!F001P550SBBudgFY</f>
        <v>416724</v>
      </c>
      <c r="D60" s="878">
        <f>F001P550O6100+F001P550O6200</f>
        <v>430851</v>
      </c>
      <c r="E60" s="865">
        <f>[1]!F001P550OthBudgFY</f>
        <v>0</v>
      </c>
      <c r="F60" s="878">
        <f>F001P550O630064006500+F001P550O6600+F001P550O6800</f>
        <v>0</v>
      </c>
      <c r="G60" s="865">
        <f>C60+E60</f>
        <v>416724</v>
      </c>
      <c r="H60" s="870">
        <f>D60+F60</f>
        <v>430851</v>
      </c>
      <c r="I60" s="879">
        <f>IF(G60=H60,0,IF(G60&gt;0,(H60-G60)/G60,""))</f>
        <v>3.4000000000000002E-2</v>
      </c>
      <c r="J60" s="442"/>
      <c r="K60" s="442"/>
      <c r="L60" s="442"/>
      <c r="M60" s="442"/>
      <c r="N60" s="442"/>
      <c r="O60" s="442"/>
      <c r="P60" s="442"/>
      <c r="Q60" s="442"/>
      <c r="R60" s="442"/>
      <c r="S60" s="442"/>
      <c r="T60" s="442"/>
      <c r="U60" s="442"/>
      <c r="V60" s="442"/>
    </row>
    <row r="61" spans="1:22" ht="12.75" customHeight="1">
      <c r="A61" s="841" t="s">
        <v>584</v>
      </c>
      <c r="B61" s="880"/>
      <c r="C61" s="873">
        <f t="shared" ref="C61:H61" si="7">SUM(C54:C60)+C44</f>
        <v>35983555</v>
      </c>
      <c r="D61" s="873">
        <f t="shared" si="7"/>
        <v>38802238</v>
      </c>
      <c r="E61" s="873">
        <f t="shared" si="7"/>
        <v>7982100</v>
      </c>
      <c r="F61" s="873">
        <f t="shared" si="7"/>
        <v>8000100</v>
      </c>
      <c r="G61" s="873">
        <f t="shared" si="7"/>
        <v>43965655</v>
      </c>
      <c r="H61" s="873">
        <f t="shared" si="7"/>
        <v>46802338</v>
      </c>
      <c r="I61" s="867">
        <f>IF(G61=H61,0,IF(G61&gt;0,(H61-G61)/G61,""))</f>
        <v>6.5000000000000002E-2</v>
      </c>
      <c r="J61" s="442"/>
      <c r="K61" s="442"/>
      <c r="L61" s="442"/>
      <c r="M61" s="442"/>
      <c r="N61" s="442"/>
      <c r="O61" s="442"/>
      <c r="P61" s="442"/>
      <c r="Q61" s="442"/>
      <c r="R61" s="442"/>
      <c r="S61" s="442"/>
      <c r="T61" s="442"/>
      <c r="U61" s="442"/>
      <c r="V61" s="442"/>
    </row>
    <row r="62" spans="1:22" ht="13.5" customHeight="1">
      <c r="A62" s="802"/>
      <c r="B62" s="799"/>
      <c r="C62" s="799"/>
      <c r="D62" s="799"/>
      <c r="E62" s="799"/>
      <c r="F62" s="799"/>
      <c r="G62" s="799"/>
      <c r="H62" s="799"/>
      <c r="I62" s="799"/>
      <c r="J62" s="442"/>
      <c r="K62" s="442"/>
      <c r="L62" s="442"/>
      <c r="M62" s="442"/>
      <c r="N62" s="442"/>
      <c r="O62" s="442"/>
      <c r="P62" s="442"/>
      <c r="Q62" s="442"/>
      <c r="R62" s="442"/>
      <c r="S62" s="442"/>
      <c r="T62" s="442"/>
      <c r="U62" s="442"/>
      <c r="V62" s="442"/>
    </row>
    <row r="63" spans="1:22" ht="11.4">
      <c r="A63" s="800"/>
      <c r="B63" s="881"/>
      <c r="C63" s="882"/>
      <c r="D63" s="882"/>
      <c r="E63" s="882"/>
      <c r="F63" s="882"/>
      <c r="G63" s="882"/>
      <c r="H63" s="882"/>
      <c r="I63" s="883"/>
      <c r="J63" s="442"/>
      <c r="K63" s="442"/>
      <c r="L63" s="442"/>
      <c r="M63" s="442"/>
      <c r="N63" s="442"/>
      <c r="O63" s="442"/>
      <c r="P63" s="442"/>
      <c r="Q63" s="442"/>
      <c r="R63" s="442"/>
      <c r="S63" s="442"/>
      <c r="T63" s="442"/>
      <c r="U63" s="442"/>
      <c r="V63" s="442"/>
    </row>
    <row r="64" spans="1:22" ht="11.4">
      <c r="A64" s="799"/>
      <c r="B64" s="799"/>
      <c r="H64" s="802"/>
      <c r="I64" s="799"/>
      <c r="J64" s="442"/>
      <c r="K64" s="442"/>
      <c r="L64" s="442"/>
      <c r="M64" s="442"/>
      <c r="N64" s="442"/>
      <c r="O64" s="442"/>
      <c r="P64" s="442"/>
      <c r="Q64" s="442"/>
      <c r="R64" s="442"/>
      <c r="S64" s="442"/>
      <c r="T64" s="442"/>
      <c r="U64" s="442"/>
      <c r="V64" s="442"/>
    </row>
    <row r="65" spans="1:22" ht="11.4">
      <c r="B65" s="799"/>
      <c r="H65" s="802"/>
      <c r="J65" s="442"/>
      <c r="K65" s="442"/>
      <c r="L65" s="442"/>
      <c r="M65" s="442"/>
      <c r="N65" s="442"/>
      <c r="O65" s="442"/>
      <c r="P65" s="442"/>
      <c r="Q65" s="442"/>
      <c r="R65" s="442"/>
      <c r="S65" s="442"/>
      <c r="T65" s="442"/>
      <c r="U65" s="442"/>
      <c r="V65" s="442"/>
    </row>
    <row r="66" spans="1:22" ht="11.4">
      <c r="A66" s="799"/>
      <c r="B66" s="799"/>
      <c r="H66" s="802"/>
      <c r="I66" s="799"/>
      <c r="J66" s="442"/>
      <c r="K66" s="442"/>
      <c r="L66" s="442"/>
      <c r="M66" s="442"/>
      <c r="N66" s="442"/>
      <c r="O66" s="442"/>
      <c r="P66" s="442"/>
      <c r="Q66" s="442"/>
      <c r="R66" s="442"/>
      <c r="S66" s="442"/>
      <c r="T66" s="442"/>
      <c r="U66" s="442"/>
      <c r="V66" s="442"/>
    </row>
    <row r="67" spans="1:22" ht="11.4">
      <c r="A67" s="799"/>
      <c r="B67" s="799"/>
      <c r="C67" s="800"/>
      <c r="D67" s="802"/>
      <c r="E67" s="802"/>
      <c r="F67" s="802"/>
      <c r="G67" s="802"/>
      <c r="H67" s="802"/>
      <c r="I67" s="799"/>
      <c r="J67" s="442"/>
      <c r="K67" s="442"/>
      <c r="L67" s="442"/>
      <c r="M67" s="442"/>
      <c r="N67" s="442"/>
      <c r="O67" s="442"/>
      <c r="P67" s="442"/>
      <c r="Q67" s="442"/>
      <c r="R67" s="442"/>
      <c r="S67" s="442"/>
      <c r="T67" s="442"/>
      <c r="U67" s="442"/>
      <c r="V67" s="442"/>
    </row>
    <row r="68" spans="1:22" ht="11.4">
      <c r="B68" s="799"/>
      <c r="D68" s="802"/>
      <c r="E68" s="802"/>
      <c r="F68" s="802"/>
      <c r="G68" s="802"/>
      <c r="H68" s="802"/>
      <c r="I68" s="799"/>
      <c r="J68" s="442"/>
      <c r="K68" s="442"/>
      <c r="L68" s="442"/>
      <c r="M68" s="442"/>
      <c r="N68" s="442"/>
      <c r="O68" s="442"/>
      <c r="P68" s="442"/>
      <c r="Q68" s="442"/>
      <c r="R68" s="442"/>
      <c r="S68" s="442"/>
      <c r="T68" s="442"/>
      <c r="U68" s="442"/>
      <c r="V68" s="442"/>
    </row>
    <row r="69" spans="1:22" ht="11.4">
      <c r="A69" s="799"/>
      <c r="B69" s="799"/>
      <c r="C69" s="799"/>
      <c r="D69" s="799"/>
      <c r="E69" s="799"/>
      <c r="F69" s="799"/>
      <c r="G69" s="799"/>
      <c r="H69" s="799"/>
      <c r="I69" s="799"/>
      <c r="J69" s="442"/>
      <c r="K69" s="442"/>
      <c r="L69" s="442"/>
      <c r="M69" s="442"/>
      <c r="N69" s="442"/>
      <c r="O69" s="442"/>
      <c r="P69" s="442"/>
      <c r="Q69" s="442"/>
      <c r="R69" s="442"/>
      <c r="S69" s="442"/>
      <c r="T69" s="442"/>
      <c r="U69" s="442"/>
      <c r="V69" s="442"/>
    </row>
    <row r="70" spans="1:22" ht="11.4">
      <c r="A70" s="799"/>
      <c r="B70" s="799"/>
      <c r="C70" s="799"/>
      <c r="D70" s="799"/>
      <c r="E70" s="799"/>
      <c r="F70" s="799"/>
      <c r="G70" s="799"/>
      <c r="H70" s="799"/>
      <c r="I70" s="799"/>
      <c r="J70" s="442"/>
      <c r="K70" s="442"/>
      <c r="L70" s="442"/>
      <c r="M70" s="442"/>
      <c r="N70" s="442"/>
      <c r="O70" s="442"/>
      <c r="P70" s="442"/>
      <c r="Q70" s="442"/>
      <c r="R70" s="442"/>
      <c r="S70" s="442"/>
      <c r="T70" s="442"/>
      <c r="U70" s="442"/>
      <c r="V70" s="442"/>
    </row>
    <row r="71" spans="1:22" ht="11.4">
      <c r="A71" s="799"/>
      <c r="B71" s="799"/>
      <c r="C71" s="799"/>
      <c r="D71" s="799"/>
      <c r="E71" s="799"/>
      <c r="F71" s="799"/>
      <c r="G71" s="799"/>
      <c r="H71" s="799"/>
      <c r="I71" s="799"/>
      <c r="J71" s="442"/>
      <c r="K71" s="442"/>
      <c r="L71" s="442"/>
      <c r="M71" s="442"/>
      <c r="N71" s="442"/>
      <c r="O71" s="442"/>
      <c r="P71" s="442"/>
      <c r="Q71" s="442"/>
      <c r="R71" s="442"/>
      <c r="S71" s="442"/>
      <c r="T71" s="442"/>
      <c r="U71" s="442"/>
      <c r="V71" s="442"/>
    </row>
    <row r="72" spans="1:22" ht="11.4">
      <c r="A72" s="799"/>
      <c r="B72" s="799"/>
      <c r="C72" s="799"/>
      <c r="D72" s="799"/>
      <c r="E72" s="799"/>
      <c r="F72" s="799"/>
      <c r="G72" s="799"/>
      <c r="H72" s="799"/>
      <c r="I72" s="799"/>
      <c r="J72" s="442"/>
      <c r="K72" s="442"/>
      <c r="L72" s="442"/>
      <c r="M72" s="442"/>
      <c r="N72" s="442"/>
      <c r="O72" s="442"/>
      <c r="P72" s="442"/>
      <c r="Q72" s="442"/>
      <c r="R72" s="442"/>
      <c r="S72" s="442"/>
      <c r="T72" s="442"/>
      <c r="U72" s="442"/>
      <c r="V72" s="442"/>
    </row>
    <row r="73" spans="1:22" ht="11.4">
      <c r="A73" s="799"/>
      <c r="B73" s="799"/>
      <c r="C73" s="799"/>
      <c r="D73" s="799"/>
      <c r="E73" s="799"/>
      <c r="F73" s="799"/>
      <c r="G73" s="799"/>
      <c r="H73" s="799"/>
      <c r="I73" s="799"/>
      <c r="J73" s="442"/>
      <c r="K73" s="442"/>
      <c r="L73" s="442"/>
      <c r="M73" s="442"/>
      <c r="N73" s="442"/>
      <c r="O73" s="442"/>
      <c r="P73" s="442"/>
      <c r="Q73" s="442"/>
      <c r="R73" s="442"/>
      <c r="S73" s="442"/>
      <c r="T73" s="442"/>
      <c r="U73" s="442"/>
      <c r="V73" s="442"/>
    </row>
    <row r="74" spans="1:22" ht="11.4">
      <c r="A74" s="799"/>
      <c r="B74" s="799"/>
      <c r="C74" s="799"/>
      <c r="D74" s="799"/>
      <c r="E74" s="799"/>
      <c r="F74" s="799"/>
      <c r="G74" s="799"/>
      <c r="H74" s="799"/>
      <c r="I74" s="799"/>
      <c r="J74" s="442"/>
      <c r="K74" s="442"/>
      <c r="L74" s="442"/>
      <c r="M74" s="442"/>
      <c r="N74" s="442"/>
      <c r="O74" s="442"/>
      <c r="P74" s="442"/>
      <c r="Q74" s="442"/>
      <c r="R74" s="442"/>
      <c r="S74" s="442"/>
      <c r="T74" s="442"/>
      <c r="U74" s="442"/>
      <c r="V74" s="442"/>
    </row>
    <row r="75" spans="1:22" ht="11.4">
      <c r="A75" s="799"/>
      <c r="B75" s="799"/>
      <c r="C75" s="799"/>
      <c r="D75" s="799"/>
      <c r="E75" s="799"/>
      <c r="F75" s="799"/>
      <c r="G75" s="799"/>
      <c r="H75" s="799"/>
      <c r="I75" s="799"/>
      <c r="J75" s="442"/>
      <c r="K75" s="442"/>
      <c r="L75" s="442"/>
      <c r="M75" s="442"/>
      <c r="N75" s="442"/>
      <c r="O75" s="442"/>
      <c r="P75" s="442"/>
      <c r="Q75" s="442"/>
      <c r="R75" s="442"/>
      <c r="S75" s="442"/>
      <c r="T75" s="442"/>
      <c r="U75" s="442"/>
      <c r="V75" s="442"/>
    </row>
    <row r="76" spans="1:22" ht="11.4">
      <c r="A76" s="799"/>
      <c r="B76" s="799"/>
      <c r="C76" s="799"/>
      <c r="D76" s="799"/>
      <c r="E76" s="799"/>
      <c r="F76" s="799"/>
      <c r="G76" s="799"/>
      <c r="H76" s="799"/>
      <c r="I76" s="799"/>
      <c r="J76" s="442"/>
      <c r="K76" s="442"/>
      <c r="L76" s="442"/>
      <c r="M76" s="442"/>
      <c r="N76" s="442"/>
      <c r="O76" s="442"/>
      <c r="P76" s="442"/>
      <c r="Q76" s="442"/>
      <c r="R76" s="442"/>
      <c r="S76" s="442"/>
      <c r="T76" s="442"/>
      <c r="U76" s="442"/>
      <c r="V76" s="442"/>
    </row>
    <row r="77" spans="1:22" ht="11.4">
      <c r="J77" s="442"/>
      <c r="K77" s="442"/>
      <c r="L77" s="442"/>
      <c r="M77" s="442"/>
      <c r="N77" s="442"/>
      <c r="O77" s="442"/>
      <c r="P77" s="442"/>
      <c r="Q77" s="442"/>
      <c r="R77" s="442"/>
      <c r="S77" s="442"/>
      <c r="T77" s="442"/>
      <c r="U77" s="442"/>
      <c r="V77" s="442"/>
    </row>
    <row r="78" spans="1:22" ht="11.4">
      <c r="J78" s="442"/>
      <c r="K78" s="442"/>
      <c r="L78" s="442"/>
      <c r="M78" s="442"/>
      <c r="N78" s="442"/>
      <c r="O78" s="442"/>
      <c r="P78" s="442"/>
      <c r="Q78" s="442"/>
      <c r="R78" s="442"/>
      <c r="S78" s="442"/>
      <c r="T78" s="442"/>
      <c r="U78" s="442"/>
      <c r="V78" s="442"/>
    </row>
    <row r="79" spans="1:22" ht="11.4">
      <c r="J79" s="442"/>
      <c r="K79" s="442"/>
      <c r="L79" s="442"/>
      <c r="M79" s="442"/>
      <c r="N79" s="442"/>
      <c r="O79" s="442"/>
      <c r="P79" s="442"/>
      <c r="Q79" s="442"/>
      <c r="R79" s="442"/>
      <c r="S79" s="442"/>
      <c r="T79" s="442"/>
      <c r="U79" s="442"/>
      <c r="V79" s="442"/>
    </row>
    <row r="80" spans="1:22" ht="11.4">
      <c r="J80" s="442"/>
      <c r="K80" s="442"/>
      <c r="L80" s="442"/>
      <c r="M80" s="442"/>
      <c r="N80" s="442"/>
      <c r="O80" s="442"/>
      <c r="P80" s="442"/>
      <c r="Q80" s="442"/>
      <c r="R80" s="442"/>
      <c r="S80" s="442"/>
      <c r="T80" s="442"/>
      <c r="U80" s="442"/>
      <c r="V80" s="442"/>
    </row>
    <row r="81" spans="10:22" ht="11.4">
      <c r="J81" s="442"/>
      <c r="K81" s="442"/>
      <c r="L81" s="442"/>
      <c r="M81" s="442"/>
      <c r="N81" s="442"/>
      <c r="O81" s="442"/>
      <c r="P81" s="442"/>
      <c r="Q81" s="442"/>
      <c r="R81" s="442"/>
      <c r="S81" s="442"/>
      <c r="T81" s="442"/>
      <c r="U81" s="442"/>
      <c r="V81" s="442"/>
    </row>
    <row r="82" spans="10:22" ht="11.4">
      <c r="J82" s="442"/>
      <c r="K82" s="442"/>
      <c r="L82" s="442"/>
      <c r="M82" s="442"/>
      <c r="N82" s="442"/>
      <c r="O82" s="442"/>
      <c r="P82" s="442"/>
      <c r="Q82" s="442"/>
      <c r="R82" s="442"/>
      <c r="S82" s="442"/>
      <c r="T82" s="442"/>
      <c r="U82" s="442"/>
      <c r="V82" s="442"/>
    </row>
    <row r="83" spans="10:22" ht="11.4">
      <c r="J83" s="442"/>
      <c r="K83" s="442"/>
      <c r="L83" s="442"/>
      <c r="M83" s="442"/>
      <c r="N83" s="442"/>
      <c r="O83" s="442"/>
      <c r="P83" s="442"/>
      <c r="Q83" s="442"/>
      <c r="R83" s="442"/>
      <c r="S83" s="442"/>
      <c r="T83" s="442"/>
      <c r="U83" s="442"/>
      <c r="V83" s="442"/>
    </row>
    <row r="84" spans="10:22" ht="11.4">
      <c r="J84" s="442"/>
      <c r="K84" s="442"/>
      <c r="L84" s="442"/>
      <c r="M84" s="442"/>
      <c r="N84" s="442"/>
      <c r="O84" s="442"/>
      <c r="P84" s="442"/>
      <c r="Q84" s="442"/>
      <c r="R84" s="442"/>
      <c r="S84" s="442"/>
      <c r="T84" s="442"/>
      <c r="U84" s="442"/>
      <c r="V84" s="442"/>
    </row>
    <row r="85" spans="10:22" ht="11.4">
      <c r="J85" s="442"/>
      <c r="K85" s="442"/>
      <c r="L85" s="442"/>
      <c r="M85" s="442"/>
      <c r="N85" s="442"/>
      <c r="O85" s="442"/>
      <c r="P85" s="442"/>
      <c r="Q85" s="442"/>
      <c r="R85" s="442"/>
      <c r="S85" s="442"/>
      <c r="T85" s="442"/>
      <c r="U85" s="442"/>
      <c r="V85" s="442"/>
    </row>
    <row r="86" spans="10:22" ht="11.4">
      <c r="J86" s="442"/>
      <c r="K86" s="442"/>
      <c r="L86" s="442"/>
      <c r="M86" s="442"/>
      <c r="N86" s="442"/>
      <c r="O86" s="442"/>
      <c r="P86" s="442"/>
      <c r="Q86" s="442"/>
      <c r="R86" s="442"/>
      <c r="S86" s="442"/>
      <c r="T86" s="442"/>
      <c r="U86" s="442"/>
      <c r="V86" s="442"/>
    </row>
    <row r="87" spans="10:22" ht="11.4">
      <c r="J87" s="442"/>
      <c r="K87" s="442"/>
      <c r="L87" s="442"/>
      <c r="M87" s="442"/>
      <c r="N87" s="442"/>
      <c r="O87" s="442"/>
      <c r="P87" s="442"/>
      <c r="Q87" s="442"/>
      <c r="R87" s="442"/>
      <c r="S87" s="442"/>
      <c r="T87" s="442"/>
      <c r="U87" s="442"/>
      <c r="V87" s="442"/>
    </row>
    <row r="88" spans="10:22" ht="11.4">
      <c r="J88" s="442"/>
      <c r="K88" s="442"/>
      <c r="L88" s="442"/>
      <c r="M88" s="442"/>
      <c r="N88" s="442"/>
      <c r="O88" s="442"/>
      <c r="P88" s="442"/>
      <c r="Q88" s="442"/>
      <c r="R88" s="442"/>
      <c r="S88" s="442"/>
      <c r="T88" s="442"/>
      <c r="U88" s="442"/>
      <c r="V88" s="442"/>
    </row>
    <row r="89" spans="10:22" ht="11.4">
      <c r="J89" s="442"/>
      <c r="K89" s="442"/>
      <c r="L89" s="442"/>
      <c r="M89" s="442"/>
      <c r="N89" s="442"/>
      <c r="O89" s="442"/>
      <c r="P89" s="442"/>
      <c r="Q89" s="442"/>
      <c r="R89" s="442"/>
      <c r="S89" s="442"/>
      <c r="T89" s="442"/>
      <c r="U89" s="442"/>
      <c r="V89" s="442"/>
    </row>
    <row r="90" spans="10:22" ht="11.4">
      <c r="J90" s="442"/>
      <c r="K90" s="442"/>
      <c r="L90" s="442"/>
      <c r="M90" s="442"/>
      <c r="N90" s="442"/>
      <c r="O90" s="442"/>
      <c r="P90" s="442"/>
      <c r="Q90" s="442"/>
      <c r="R90" s="442"/>
      <c r="S90" s="442"/>
      <c r="T90" s="442"/>
      <c r="U90" s="442"/>
      <c r="V90" s="442"/>
    </row>
    <row r="91" spans="10:22" ht="11.4">
      <c r="J91" s="442"/>
      <c r="K91" s="442"/>
      <c r="L91" s="442"/>
      <c r="M91" s="442"/>
      <c r="N91" s="442"/>
      <c r="O91" s="442"/>
      <c r="P91" s="442"/>
      <c r="Q91" s="442"/>
      <c r="R91" s="442"/>
      <c r="S91" s="442"/>
      <c r="T91" s="442"/>
      <c r="U91" s="442"/>
      <c r="V91" s="442"/>
    </row>
    <row r="92" spans="10:22" ht="11.4">
      <c r="J92" s="442"/>
      <c r="K92" s="442"/>
      <c r="L92" s="442"/>
      <c r="M92" s="442"/>
      <c r="N92" s="442"/>
      <c r="O92" s="442"/>
      <c r="P92" s="442"/>
      <c r="Q92" s="442"/>
      <c r="R92" s="442"/>
      <c r="S92" s="442"/>
      <c r="T92" s="442"/>
      <c r="U92" s="442"/>
      <c r="V92" s="442"/>
    </row>
    <row r="93" spans="10:22" ht="11.4">
      <c r="J93" s="442"/>
      <c r="K93" s="442"/>
      <c r="L93" s="442"/>
      <c r="M93" s="442"/>
      <c r="N93" s="442"/>
      <c r="O93" s="442"/>
      <c r="P93" s="442"/>
      <c r="Q93" s="442"/>
      <c r="R93" s="442"/>
      <c r="S93" s="442"/>
      <c r="T93" s="442"/>
      <c r="U93" s="442"/>
      <c r="V93" s="442"/>
    </row>
    <row r="94" spans="10:22" ht="11.4">
      <c r="J94" s="442"/>
      <c r="K94" s="442"/>
      <c r="L94" s="442"/>
      <c r="M94" s="442"/>
      <c r="N94" s="442"/>
      <c r="O94" s="442"/>
      <c r="P94" s="442"/>
      <c r="Q94" s="442"/>
      <c r="R94" s="442"/>
      <c r="S94" s="442"/>
      <c r="T94" s="442"/>
      <c r="U94" s="442"/>
      <c r="V94" s="442"/>
    </row>
    <row r="95" spans="10:22" ht="11.4">
      <c r="J95" s="442"/>
      <c r="K95" s="442"/>
      <c r="L95" s="442"/>
      <c r="M95" s="442"/>
      <c r="N95" s="442"/>
      <c r="O95" s="442"/>
      <c r="P95" s="442"/>
      <c r="Q95" s="442"/>
      <c r="R95" s="442"/>
      <c r="S95" s="442"/>
      <c r="T95" s="442"/>
      <c r="U95" s="442"/>
      <c r="V95" s="442"/>
    </row>
    <row r="96" spans="10:22" ht="11.4">
      <c r="J96" s="442"/>
      <c r="K96" s="442"/>
      <c r="L96" s="442"/>
      <c r="M96" s="442"/>
      <c r="N96" s="442"/>
      <c r="O96" s="442"/>
      <c r="P96" s="442"/>
      <c r="Q96" s="442"/>
      <c r="R96" s="442"/>
      <c r="S96" s="442"/>
      <c r="T96" s="442"/>
      <c r="U96" s="442"/>
      <c r="V96" s="442"/>
    </row>
    <row r="97" spans="10:22" ht="11.4">
      <c r="J97" s="442"/>
      <c r="K97" s="442"/>
      <c r="L97" s="442"/>
      <c r="M97" s="442"/>
      <c r="N97" s="442"/>
      <c r="O97" s="442"/>
      <c r="P97" s="442"/>
      <c r="Q97" s="442"/>
      <c r="R97" s="442"/>
      <c r="S97" s="442"/>
      <c r="T97" s="442"/>
      <c r="U97" s="442"/>
      <c r="V97" s="442"/>
    </row>
    <row r="98" spans="10:22" ht="11.4">
      <c r="J98" s="442"/>
      <c r="K98" s="442"/>
      <c r="L98" s="442"/>
      <c r="M98" s="442"/>
      <c r="N98" s="442"/>
      <c r="O98" s="442"/>
      <c r="P98" s="442"/>
      <c r="Q98" s="442"/>
      <c r="R98" s="442"/>
      <c r="S98" s="442"/>
      <c r="T98" s="442"/>
      <c r="U98" s="442"/>
      <c r="V98" s="442"/>
    </row>
    <row r="99" spans="10:22" ht="11.4">
      <c r="J99" s="442"/>
      <c r="K99" s="442"/>
      <c r="L99" s="442"/>
      <c r="M99" s="442"/>
      <c r="N99" s="442"/>
      <c r="O99" s="442"/>
      <c r="P99" s="442"/>
      <c r="Q99" s="442"/>
      <c r="R99" s="442"/>
      <c r="S99" s="442"/>
      <c r="T99" s="442"/>
      <c r="U99" s="442"/>
      <c r="V99" s="442"/>
    </row>
    <row r="100" spans="10:22" ht="11.4">
      <c r="J100" s="442"/>
      <c r="K100" s="442"/>
      <c r="L100" s="442"/>
      <c r="M100" s="442"/>
      <c r="N100" s="442"/>
      <c r="O100" s="442"/>
      <c r="P100" s="442"/>
      <c r="Q100" s="442"/>
      <c r="R100" s="442"/>
      <c r="S100" s="442"/>
      <c r="T100" s="442"/>
      <c r="U100" s="442"/>
      <c r="V100" s="442"/>
    </row>
    <row r="101" spans="10:22" ht="11.4">
      <c r="J101" s="442"/>
      <c r="K101" s="442"/>
      <c r="L101" s="442"/>
      <c r="M101" s="442"/>
      <c r="N101" s="442"/>
      <c r="O101" s="442"/>
      <c r="P101" s="442"/>
      <c r="Q101" s="442"/>
      <c r="R101" s="442"/>
      <c r="S101" s="442"/>
      <c r="T101" s="442"/>
      <c r="U101" s="442"/>
      <c r="V101" s="442"/>
    </row>
    <row r="102" spans="10:22" ht="11.4">
      <c r="J102" s="442"/>
      <c r="K102" s="442"/>
      <c r="L102" s="442"/>
      <c r="M102" s="442"/>
      <c r="N102" s="442"/>
      <c r="O102" s="442"/>
      <c r="P102" s="442"/>
      <c r="Q102" s="442"/>
      <c r="R102" s="442"/>
      <c r="S102" s="442"/>
      <c r="T102" s="442"/>
      <c r="U102" s="442"/>
      <c r="V102" s="442"/>
    </row>
    <row r="103" spans="10:22" ht="11.4">
      <c r="J103" s="442"/>
      <c r="K103" s="442"/>
      <c r="L103" s="442"/>
      <c r="M103" s="442"/>
      <c r="N103" s="442"/>
      <c r="O103" s="442"/>
      <c r="P103" s="442"/>
      <c r="Q103" s="442"/>
      <c r="R103" s="442"/>
      <c r="S103" s="442"/>
      <c r="T103" s="442"/>
      <c r="U103" s="442"/>
      <c r="V103" s="442"/>
    </row>
    <row r="104" spans="10:22" ht="11.4">
      <c r="J104" s="442"/>
      <c r="K104" s="442"/>
      <c r="L104" s="442"/>
      <c r="M104" s="442"/>
      <c r="N104" s="442"/>
      <c r="O104" s="442"/>
      <c r="P104" s="442"/>
      <c r="Q104" s="442"/>
      <c r="R104" s="442"/>
      <c r="S104" s="442"/>
      <c r="T104" s="442"/>
      <c r="U104" s="442"/>
      <c r="V104" s="442"/>
    </row>
    <row r="105" spans="10:22" ht="11.4">
      <c r="J105" s="442"/>
      <c r="K105" s="442"/>
      <c r="L105" s="442"/>
      <c r="M105" s="442"/>
      <c r="N105" s="442"/>
      <c r="O105" s="442"/>
      <c r="P105" s="442"/>
      <c r="Q105" s="442"/>
      <c r="R105" s="442"/>
      <c r="S105" s="442"/>
      <c r="T105" s="442"/>
      <c r="U105" s="442"/>
      <c r="V105" s="442"/>
    </row>
    <row r="106" spans="10:22" ht="11.4">
      <c r="J106" s="442"/>
      <c r="K106" s="442"/>
      <c r="L106" s="442"/>
      <c r="M106" s="442"/>
      <c r="N106" s="442"/>
      <c r="O106" s="442"/>
      <c r="P106" s="442"/>
      <c r="Q106" s="442"/>
      <c r="R106" s="442"/>
      <c r="S106" s="442"/>
      <c r="T106" s="442"/>
      <c r="U106" s="442"/>
      <c r="V106" s="442"/>
    </row>
    <row r="107" spans="10:22" ht="11.4">
      <c r="J107" s="442"/>
      <c r="K107" s="442"/>
      <c r="L107" s="442"/>
      <c r="M107" s="442"/>
      <c r="N107" s="442"/>
      <c r="O107" s="442"/>
      <c r="P107" s="442"/>
      <c r="Q107" s="442"/>
      <c r="R107" s="442"/>
      <c r="S107" s="442"/>
      <c r="T107" s="442"/>
      <c r="U107" s="442"/>
      <c r="V107" s="442"/>
    </row>
    <row r="108" spans="10:22" ht="11.4">
      <c r="J108" s="442"/>
      <c r="K108" s="442"/>
      <c r="L108" s="442"/>
      <c r="M108" s="442"/>
      <c r="N108" s="442"/>
      <c r="O108" s="442"/>
      <c r="P108" s="442"/>
      <c r="Q108" s="442"/>
      <c r="R108" s="442"/>
      <c r="S108" s="442"/>
      <c r="T108" s="442"/>
      <c r="U108" s="442"/>
      <c r="V108" s="442"/>
    </row>
    <row r="109" spans="10:22" ht="11.4">
      <c r="J109" s="442"/>
      <c r="K109" s="442"/>
      <c r="L109" s="442"/>
      <c r="M109" s="442"/>
      <c r="N109" s="442"/>
      <c r="O109" s="442"/>
      <c r="P109" s="442"/>
      <c r="Q109" s="442"/>
      <c r="R109" s="442"/>
      <c r="S109" s="442"/>
      <c r="T109" s="442"/>
      <c r="U109" s="442"/>
      <c r="V109" s="442"/>
    </row>
    <row r="110" spans="10:22" ht="11.4">
      <c r="J110" s="442"/>
      <c r="K110" s="442"/>
      <c r="L110" s="442"/>
      <c r="M110" s="442"/>
      <c r="N110" s="442"/>
      <c r="O110" s="442"/>
      <c r="P110" s="442"/>
      <c r="Q110" s="442"/>
      <c r="R110" s="442"/>
      <c r="S110" s="442"/>
      <c r="T110" s="442"/>
      <c r="U110" s="442"/>
      <c r="V110" s="442"/>
    </row>
    <row r="111" spans="10:22" ht="11.4">
      <c r="J111" s="442"/>
      <c r="K111" s="442"/>
      <c r="L111" s="442"/>
      <c r="M111" s="442"/>
      <c r="N111" s="442"/>
      <c r="O111" s="442"/>
      <c r="P111" s="442"/>
      <c r="Q111" s="442"/>
      <c r="R111" s="442"/>
      <c r="S111" s="442"/>
      <c r="T111" s="442"/>
      <c r="U111" s="442"/>
      <c r="V111" s="442"/>
    </row>
    <row r="112" spans="10:22" ht="11.4">
      <c r="J112" s="442"/>
      <c r="K112" s="442"/>
      <c r="L112" s="442"/>
      <c r="M112" s="442"/>
      <c r="N112" s="442"/>
      <c r="O112" s="442"/>
      <c r="P112" s="442"/>
      <c r="Q112" s="442"/>
      <c r="R112" s="442"/>
      <c r="S112" s="442"/>
      <c r="T112" s="442"/>
      <c r="U112" s="442"/>
      <c r="V112" s="442"/>
    </row>
    <row r="113" spans="10:22" ht="11.4">
      <c r="J113" s="442"/>
      <c r="K113" s="442"/>
      <c r="L113" s="442"/>
      <c r="M113" s="442"/>
      <c r="N113" s="442"/>
      <c r="O113" s="442"/>
      <c r="P113" s="442"/>
      <c r="Q113" s="442"/>
      <c r="R113" s="442"/>
      <c r="S113" s="442"/>
      <c r="T113" s="442"/>
      <c r="U113" s="442"/>
      <c r="V113" s="442"/>
    </row>
    <row r="114" spans="10:22" ht="11.4">
      <c r="J114" s="442"/>
      <c r="K114" s="442"/>
      <c r="L114" s="442"/>
      <c r="M114" s="442"/>
      <c r="N114" s="442"/>
      <c r="O114" s="442"/>
      <c r="P114" s="442"/>
      <c r="Q114" s="442"/>
      <c r="R114" s="442"/>
      <c r="S114" s="442"/>
      <c r="T114" s="442"/>
      <c r="U114" s="442"/>
      <c r="V114" s="442"/>
    </row>
    <row r="115" spans="10:22" ht="11.4">
      <c r="J115" s="442"/>
      <c r="K115" s="442"/>
      <c r="L115" s="442"/>
      <c r="M115" s="442"/>
      <c r="N115" s="442"/>
      <c r="O115" s="442"/>
      <c r="P115" s="442"/>
      <c r="Q115" s="442"/>
      <c r="R115" s="442"/>
      <c r="S115" s="442"/>
      <c r="T115" s="442"/>
      <c r="U115" s="442"/>
      <c r="V115" s="442"/>
    </row>
    <row r="116" spans="10:22" ht="11.4">
      <c r="J116" s="442"/>
      <c r="K116" s="442"/>
      <c r="L116" s="442"/>
      <c r="M116" s="442"/>
      <c r="N116" s="442"/>
      <c r="O116" s="442"/>
      <c r="P116" s="442"/>
      <c r="Q116" s="442"/>
      <c r="R116" s="442"/>
      <c r="S116" s="442"/>
      <c r="T116" s="442"/>
      <c r="U116" s="442"/>
      <c r="V116" s="442"/>
    </row>
    <row r="117" spans="10:22" ht="11.4">
      <c r="J117" s="442"/>
      <c r="K117" s="442"/>
      <c r="L117" s="442"/>
      <c r="M117" s="442"/>
      <c r="N117" s="442"/>
      <c r="O117" s="442"/>
      <c r="P117" s="442"/>
      <c r="Q117" s="442"/>
      <c r="R117" s="442"/>
      <c r="S117" s="442"/>
      <c r="T117" s="442"/>
      <c r="U117" s="442"/>
      <c r="V117" s="442"/>
    </row>
    <row r="118" spans="10:22" ht="11.4">
      <c r="J118" s="442"/>
      <c r="K118" s="442"/>
      <c r="L118" s="442"/>
      <c r="M118" s="442"/>
      <c r="N118" s="442"/>
      <c r="O118" s="442"/>
      <c r="P118" s="442"/>
      <c r="Q118" s="442"/>
      <c r="R118" s="442"/>
      <c r="S118" s="442"/>
      <c r="T118" s="442"/>
      <c r="U118" s="442"/>
      <c r="V118" s="442"/>
    </row>
    <row r="119" spans="10:22" ht="11.4">
      <c r="J119" s="442"/>
      <c r="K119" s="442"/>
      <c r="L119" s="442"/>
      <c r="M119" s="442"/>
      <c r="N119" s="442"/>
      <c r="O119" s="442"/>
      <c r="P119" s="442"/>
      <c r="Q119" s="442"/>
      <c r="R119" s="442"/>
      <c r="S119" s="442"/>
      <c r="T119" s="442"/>
      <c r="U119" s="442"/>
      <c r="V119" s="442"/>
    </row>
    <row r="120" spans="10:22" ht="11.4">
      <c r="J120" s="442"/>
      <c r="K120" s="442"/>
      <c r="L120" s="442"/>
      <c r="M120" s="442"/>
      <c r="N120" s="442"/>
      <c r="O120" s="442"/>
      <c r="P120" s="442"/>
      <c r="Q120" s="442"/>
      <c r="R120" s="442"/>
      <c r="S120" s="442"/>
      <c r="T120" s="442"/>
      <c r="U120" s="442"/>
      <c r="V120" s="442"/>
    </row>
    <row r="121" spans="10:22" ht="11.4">
      <c r="J121" s="442"/>
      <c r="K121" s="442"/>
      <c r="L121" s="442"/>
      <c r="M121" s="442"/>
      <c r="N121" s="442"/>
      <c r="O121" s="442"/>
      <c r="P121" s="442"/>
      <c r="Q121" s="442"/>
      <c r="R121" s="442"/>
      <c r="S121" s="442"/>
      <c r="T121" s="442"/>
      <c r="U121" s="442"/>
      <c r="V121" s="442"/>
    </row>
    <row r="122" spans="10:22" ht="11.4">
      <c r="J122" s="442"/>
      <c r="K122" s="442"/>
      <c r="L122" s="442"/>
      <c r="M122" s="442"/>
      <c r="N122" s="442"/>
      <c r="O122" s="442"/>
      <c r="P122" s="442"/>
      <c r="Q122" s="442"/>
      <c r="R122" s="442"/>
      <c r="S122" s="442"/>
      <c r="T122" s="442"/>
      <c r="U122" s="442"/>
      <c r="V122" s="442"/>
    </row>
    <row r="123" spans="10:22" ht="11.4">
      <c r="J123" s="442"/>
      <c r="K123" s="442"/>
      <c r="L123" s="442"/>
      <c r="M123" s="442"/>
      <c r="N123" s="442"/>
      <c r="O123" s="442"/>
      <c r="P123" s="442"/>
      <c r="Q123" s="442"/>
      <c r="R123" s="442"/>
      <c r="S123" s="442"/>
      <c r="T123" s="442"/>
      <c r="U123" s="442"/>
      <c r="V123" s="442"/>
    </row>
    <row r="124" spans="10:22" ht="11.4">
      <c r="J124" s="442"/>
      <c r="K124" s="442"/>
      <c r="L124" s="442"/>
      <c r="M124" s="442"/>
      <c r="N124" s="442"/>
      <c r="O124" s="442"/>
      <c r="P124" s="442"/>
      <c r="Q124" s="442"/>
      <c r="R124" s="442"/>
      <c r="S124" s="442"/>
      <c r="T124" s="442"/>
      <c r="U124" s="442"/>
      <c r="V124" s="442"/>
    </row>
    <row r="125" spans="10:22" ht="11.4">
      <c r="J125" s="442"/>
      <c r="K125" s="442"/>
      <c r="L125" s="442"/>
      <c r="M125" s="442"/>
      <c r="N125" s="442"/>
      <c r="O125" s="442"/>
      <c r="P125" s="442"/>
      <c r="Q125" s="442"/>
      <c r="R125" s="442"/>
      <c r="S125" s="442"/>
      <c r="T125" s="442"/>
      <c r="U125" s="442"/>
      <c r="V125" s="442"/>
    </row>
    <row r="126" spans="10:22" ht="11.4">
      <c r="J126" s="442"/>
      <c r="K126" s="442"/>
      <c r="L126" s="442"/>
      <c r="M126" s="442"/>
      <c r="N126" s="442"/>
      <c r="O126" s="442"/>
      <c r="P126" s="442"/>
      <c r="Q126" s="442"/>
      <c r="R126" s="442"/>
      <c r="S126" s="442"/>
      <c r="T126" s="442"/>
      <c r="U126" s="442"/>
      <c r="V126" s="442"/>
    </row>
    <row r="127" spans="10:22" ht="11.4">
      <c r="J127" s="442"/>
      <c r="K127" s="442"/>
      <c r="L127" s="442"/>
      <c r="M127" s="442"/>
      <c r="N127" s="442"/>
      <c r="O127" s="442"/>
      <c r="P127" s="442"/>
      <c r="Q127" s="442"/>
      <c r="R127" s="442"/>
      <c r="S127" s="442"/>
      <c r="T127" s="442"/>
      <c r="U127" s="442"/>
      <c r="V127" s="442"/>
    </row>
    <row r="128" spans="10:22" ht="11.4">
      <c r="J128" s="442"/>
      <c r="K128" s="442"/>
      <c r="L128" s="442"/>
      <c r="M128" s="442"/>
      <c r="N128" s="442"/>
      <c r="O128" s="442"/>
      <c r="P128" s="442"/>
      <c r="Q128" s="442"/>
      <c r="R128" s="442"/>
      <c r="S128" s="442"/>
      <c r="T128" s="442"/>
      <c r="U128" s="442"/>
      <c r="V128" s="442"/>
    </row>
    <row r="129" spans="10:22" ht="11.4">
      <c r="J129" s="442"/>
      <c r="K129" s="442"/>
      <c r="L129" s="442"/>
      <c r="M129" s="442"/>
      <c r="N129" s="442"/>
      <c r="O129" s="442"/>
      <c r="P129" s="442"/>
      <c r="Q129" s="442"/>
      <c r="R129" s="442"/>
      <c r="S129" s="442"/>
      <c r="T129" s="442"/>
      <c r="U129" s="442"/>
      <c r="V129" s="442"/>
    </row>
    <row r="130" spans="10:22" ht="11.4">
      <c r="J130" s="442"/>
      <c r="K130" s="442"/>
      <c r="L130" s="442"/>
      <c r="M130" s="442"/>
      <c r="N130" s="442"/>
      <c r="O130" s="442"/>
      <c r="P130" s="442"/>
      <c r="Q130" s="442"/>
      <c r="R130" s="442"/>
      <c r="S130" s="442"/>
      <c r="T130" s="442"/>
      <c r="U130" s="442"/>
      <c r="V130" s="442"/>
    </row>
    <row r="131" spans="10:22" ht="11.4">
      <c r="J131" s="442"/>
      <c r="K131" s="442"/>
      <c r="L131" s="442"/>
      <c r="M131" s="442"/>
      <c r="N131" s="442"/>
      <c r="O131" s="442"/>
      <c r="P131" s="442"/>
      <c r="Q131" s="442"/>
      <c r="R131" s="442"/>
      <c r="S131" s="442"/>
      <c r="T131" s="442"/>
      <c r="U131" s="442"/>
      <c r="V131" s="442"/>
    </row>
    <row r="132" spans="10:22" ht="11.4">
      <c r="J132" s="442"/>
      <c r="K132" s="442"/>
      <c r="L132" s="442"/>
      <c r="M132" s="442"/>
      <c r="N132" s="442"/>
      <c r="O132" s="442"/>
      <c r="P132" s="442"/>
      <c r="Q132" s="442"/>
      <c r="R132" s="442"/>
      <c r="S132" s="442"/>
      <c r="T132" s="442"/>
      <c r="U132" s="442"/>
      <c r="V132" s="442"/>
    </row>
    <row r="133" spans="10:22" ht="11.4">
      <c r="J133" s="442"/>
      <c r="K133" s="442"/>
      <c r="L133" s="442"/>
      <c r="M133" s="442"/>
      <c r="N133" s="442"/>
      <c r="O133" s="442"/>
      <c r="P133" s="442"/>
      <c r="Q133" s="442"/>
      <c r="R133" s="442"/>
      <c r="S133" s="442"/>
      <c r="T133" s="442"/>
      <c r="U133" s="442"/>
      <c r="V133" s="442"/>
    </row>
    <row r="134" spans="10:22" ht="11.4">
      <c r="J134" s="442"/>
      <c r="K134" s="442"/>
      <c r="L134" s="442"/>
      <c r="M134" s="442"/>
      <c r="N134" s="442"/>
      <c r="O134" s="442"/>
      <c r="P134" s="442"/>
      <c r="Q134" s="442"/>
      <c r="R134" s="442"/>
      <c r="S134" s="442"/>
      <c r="T134" s="442"/>
      <c r="U134" s="442"/>
      <c r="V134" s="442"/>
    </row>
    <row r="135" spans="10:22" ht="11.4">
      <c r="J135" s="442"/>
      <c r="K135" s="442"/>
      <c r="L135" s="442"/>
      <c r="M135" s="442"/>
      <c r="N135" s="442"/>
      <c r="O135" s="442"/>
      <c r="P135" s="442"/>
      <c r="Q135" s="442"/>
      <c r="R135" s="442"/>
      <c r="S135" s="442"/>
      <c r="T135" s="442"/>
      <c r="U135" s="442"/>
      <c r="V135" s="442"/>
    </row>
    <row r="136" spans="10:22" ht="11.4">
      <c r="J136" s="442"/>
      <c r="K136" s="442"/>
      <c r="L136" s="442"/>
      <c r="M136" s="442"/>
      <c r="N136" s="442"/>
      <c r="O136" s="442"/>
      <c r="P136" s="442"/>
      <c r="Q136" s="442"/>
      <c r="R136" s="442"/>
      <c r="S136" s="442"/>
      <c r="T136" s="442"/>
      <c r="U136" s="442"/>
      <c r="V136" s="442"/>
    </row>
    <row r="137" spans="10:22" ht="11.4">
      <c r="J137" s="442"/>
      <c r="K137" s="442"/>
      <c r="L137" s="442"/>
      <c r="M137" s="442"/>
      <c r="N137" s="442"/>
      <c r="O137" s="442"/>
      <c r="P137" s="442"/>
      <c r="Q137" s="442"/>
      <c r="R137" s="442"/>
      <c r="S137" s="442"/>
      <c r="T137" s="442"/>
      <c r="U137" s="442"/>
      <c r="V137" s="442"/>
    </row>
    <row r="138" spans="10:22" ht="11.4">
      <c r="J138" s="442"/>
      <c r="K138" s="442"/>
      <c r="L138" s="442"/>
      <c r="M138" s="442"/>
      <c r="N138" s="442"/>
      <c r="O138" s="442"/>
      <c r="P138" s="442"/>
      <c r="Q138" s="442"/>
      <c r="R138" s="442"/>
      <c r="S138" s="442"/>
      <c r="T138" s="442"/>
      <c r="U138" s="442"/>
      <c r="V138" s="442"/>
    </row>
    <row r="139" spans="10:22" ht="11.4">
      <c r="J139" s="442"/>
      <c r="K139" s="442"/>
      <c r="L139" s="442"/>
      <c r="M139" s="442"/>
      <c r="N139" s="442"/>
      <c r="O139" s="442"/>
      <c r="P139" s="442"/>
      <c r="Q139" s="442"/>
      <c r="R139" s="442"/>
      <c r="S139" s="442"/>
      <c r="T139" s="442"/>
      <c r="U139" s="442"/>
      <c r="V139" s="442"/>
    </row>
    <row r="140" spans="10:22" ht="11.4">
      <c r="J140" s="442"/>
      <c r="K140" s="442"/>
      <c r="L140" s="442"/>
      <c r="M140" s="442"/>
      <c r="N140" s="442"/>
      <c r="O140" s="442"/>
      <c r="P140" s="442"/>
      <c r="Q140" s="442"/>
      <c r="R140" s="442"/>
      <c r="S140" s="442"/>
      <c r="T140" s="442"/>
      <c r="U140" s="442"/>
      <c r="V140" s="442"/>
    </row>
    <row r="141" spans="10:22" ht="11.4">
      <c r="J141" s="442"/>
      <c r="K141" s="442"/>
      <c r="L141" s="442"/>
      <c r="M141" s="442"/>
      <c r="N141" s="442"/>
      <c r="O141" s="442"/>
      <c r="P141" s="442"/>
      <c r="Q141" s="442"/>
      <c r="R141" s="442"/>
      <c r="S141" s="442"/>
      <c r="T141" s="442"/>
      <c r="U141" s="442"/>
      <c r="V141" s="442"/>
    </row>
    <row r="142" spans="10:22" ht="11.4">
      <c r="J142" s="442"/>
      <c r="K142" s="442"/>
      <c r="L142" s="442"/>
      <c r="M142" s="442"/>
      <c r="N142" s="442"/>
      <c r="O142" s="442"/>
      <c r="P142" s="442"/>
      <c r="Q142" s="442"/>
      <c r="R142" s="442"/>
      <c r="S142" s="442"/>
      <c r="T142" s="442"/>
      <c r="U142" s="442"/>
      <c r="V142" s="442"/>
    </row>
    <row r="143" spans="10:22" ht="11.4">
      <c r="J143" s="442"/>
      <c r="K143" s="442"/>
      <c r="L143" s="442"/>
      <c r="M143" s="442"/>
      <c r="N143" s="442"/>
      <c r="O143" s="442"/>
      <c r="P143" s="442"/>
      <c r="Q143" s="442"/>
      <c r="R143" s="442"/>
      <c r="S143" s="442"/>
      <c r="T143" s="442"/>
      <c r="U143" s="442"/>
      <c r="V143" s="442"/>
    </row>
    <row r="144" spans="10:22" ht="11.4">
      <c r="J144" s="442"/>
      <c r="K144" s="442"/>
      <c r="L144" s="442"/>
      <c r="M144" s="442"/>
      <c r="N144" s="442"/>
      <c r="O144" s="442"/>
      <c r="P144" s="442"/>
      <c r="Q144" s="442"/>
      <c r="R144" s="442"/>
      <c r="S144" s="442"/>
      <c r="T144" s="442"/>
      <c r="U144" s="442"/>
      <c r="V144" s="442"/>
    </row>
    <row r="145" spans="10:22" ht="11.4">
      <c r="J145" s="442"/>
      <c r="K145" s="442"/>
      <c r="L145" s="442"/>
      <c r="M145" s="442"/>
      <c r="N145" s="442"/>
      <c r="O145" s="442"/>
      <c r="P145" s="442"/>
      <c r="Q145" s="442"/>
      <c r="R145" s="442"/>
      <c r="S145" s="442"/>
      <c r="T145" s="442"/>
      <c r="U145" s="442"/>
      <c r="V145" s="442"/>
    </row>
    <row r="146" spans="10:22" ht="11.4">
      <c r="J146" s="442"/>
      <c r="K146" s="442"/>
      <c r="L146" s="442"/>
      <c r="M146" s="442"/>
      <c r="N146" s="442"/>
      <c r="O146" s="442"/>
      <c r="P146" s="442"/>
      <c r="Q146" s="442"/>
      <c r="R146" s="442"/>
      <c r="S146" s="442"/>
      <c r="T146" s="442"/>
      <c r="U146" s="442"/>
      <c r="V146" s="442"/>
    </row>
    <row r="147" spans="10:22" ht="11.4">
      <c r="J147" s="442"/>
      <c r="K147" s="442"/>
      <c r="L147" s="442"/>
      <c r="M147" s="442"/>
      <c r="N147" s="442"/>
      <c r="O147" s="442"/>
      <c r="P147" s="442"/>
      <c r="Q147" s="442"/>
      <c r="R147" s="442"/>
      <c r="S147" s="442"/>
      <c r="T147" s="442"/>
      <c r="U147" s="442"/>
      <c r="V147" s="442"/>
    </row>
    <row r="148" spans="10:22" ht="11.4">
      <c r="J148" s="442"/>
      <c r="K148" s="442"/>
      <c r="L148" s="442"/>
      <c r="M148" s="442"/>
      <c r="N148" s="442"/>
      <c r="O148" s="442"/>
      <c r="P148" s="442"/>
      <c r="Q148" s="442"/>
      <c r="R148" s="442"/>
      <c r="S148" s="442"/>
      <c r="T148" s="442"/>
      <c r="U148" s="442"/>
      <c r="V148" s="442"/>
    </row>
    <row r="149" spans="10:22" ht="11.4">
      <c r="J149" s="442"/>
      <c r="K149" s="442"/>
      <c r="L149" s="442"/>
      <c r="M149" s="442"/>
      <c r="N149" s="442"/>
      <c r="O149" s="442"/>
      <c r="P149" s="442"/>
      <c r="Q149" s="442"/>
      <c r="R149" s="442"/>
      <c r="S149" s="442"/>
      <c r="T149" s="442"/>
      <c r="U149" s="442"/>
      <c r="V149" s="442"/>
    </row>
    <row r="150" spans="10:22" ht="11.4">
      <c r="J150" s="442"/>
      <c r="K150" s="442"/>
      <c r="L150" s="442"/>
      <c r="M150" s="442"/>
      <c r="N150" s="442"/>
      <c r="O150" s="442"/>
      <c r="P150" s="442"/>
      <c r="Q150" s="442"/>
      <c r="R150" s="442"/>
      <c r="S150" s="442"/>
      <c r="T150" s="442"/>
      <c r="U150" s="442"/>
      <c r="V150" s="442"/>
    </row>
    <row r="151" spans="10:22" ht="11.4">
      <c r="J151" s="442"/>
      <c r="K151" s="442"/>
      <c r="L151" s="442"/>
      <c r="M151" s="442"/>
      <c r="N151" s="442"/>
      <c r="O151" s="442"/>
      <c r="P151" s="442"/>
      <c r="Q151" s="442"/>
      <c r="R151" s="442"/>
      <c r="S151" s="442"/>
      <c r="T151" s="442"/>
      <c r="U151" s="442"/>
      <c r="V151" s="442"/>
    </row>
    <row r="152" spans="10:22" ht="11.4">
      <c r="J152" s="442"/>
      <c r="K152" s="442"/>
      <c r="L152" s="442"/>
      <c r="M152" s="442"/>
      <c r="N152" s="442"/>
      <c r="O152" s="442"/>
      <c r="P152" s="442"/>
      <c r="Q152" s="442"/>
      <c r="R152" s="442"/>
      <c r="S152" s="442"/>
      <c r="T152" s="442"/>
      <c r="U152" s="442"/>
      <c r="V152" s="442"/>
    </row>
    <row r="153" spans="10:22" ht="11.4">
      <c r="J153" s="442"/>
      <c r="K153" s="442"/>
      <c r="L153" s="442"/>
      <c r="M153" s="442"/>
      <c r="N153" s="442"/>
      <c r="O153" s="442"/>
      <c r="P153" s="442"/>
      <c r="Q153" s="442"/>
      <c r="R153" s="442"/>
      <c r="S153" s="442"/>
      <c r="T153" s="442"/>
      <c r="U153" s="442"/>
      <c r="V153" s="442"/>
    </row>
    <row r="154" spans="10:22" ht="11.4">
      <c r="J154" s="442"/>
      <c r="K154" s="442"/>
      <c r="L154" s="442"/>
      <c r="M154" s="442"/>
      <c r="N154" s="442"/>
      <c r="O154" s="442"/>
      <c r="P154" s="442"/>
      <c r="Q154" s="442"/>
      <c r="R154" s="442"/>
      <c r="S154" s="442"/>
      <c r="T154" s="442"/>
      <c r="U154" s="442"/>
      <c r="V154" s="442"/>
    </row>
    <row r="155" spans="10:22" ht="11.4">
      <c r="J155" s="442"/>
      <c r="K155" s="442"/>
      <c r="L155" s="442"/>
      <c r="M155" s="442"/>
      <c r="N155" s="442"/>
      <c r="O155" s="442"/>
      <c r="P155" s="442"/>
      <c r="Q155" s="442"/>
      <c r="R155" s="442"/>
      <c r="S155" s="442"/>
      <c r="T155" s="442"/>
      <c r="U155" s="442"/>
      <c r="V155" s="442"/>
    </row>
    <row r="156" spans="10:22" ht="11.4">
      <c r="J156" s="442"/>
      <c r="K156" s="442"/>
      <c r="L156" s="442"/>
      <c r="M156" s="442"/>
      <c r="N156" s="442"/>
      <c r="O156" s="442"/>
      <c r="P156" s="442"/>
      <c r="Q156" s="442"/>
      <c r="R156" s="442"/>
      <c r="S156" s="442"/>
      <c r="T156" s="442"/>
      <c r="U156" s="442"/>
      <c r="V156" s="442"/>
    </row>
    <row r="157" spans="10:22" ht="11.4">
      <c r="J157" s="442"/>
      <c r="K157" s="442"/>
      <c r="L157" s="442"/>
      <c r="M157" s="442"/>
      <c r="N157" s="442"/>
      <c r="O157" s="442"/>
      <c r="P157" s="442"/>
      <c r="Q157" s="442"/>
      <c r="R157" s="442"/>
      <c r="S157" s="442"/>
      <c r="T157" s="442"/>
      <c r="U157" s="442"/>
      <c r="V157" s="442"/>
    </row>
    <row r="158" spans="10:22" ht="11.4">
      <c r="J158" s="442"/>
      <c r="K158" s="442"/>
      <c r="L158" s="442"/>
      <c r="M158" s="442"/>
      <c r="N158" s="442"/>
      <c r="O158" s="442"/>
      <c r="P158" s="442"/>
      <c r="Q158" s="442"/>
      <c r="R158" s="442"/>
      <c r="S158" s="442"/>
      <c r="T158" s="442"/>
      <c r="U158" s="442"/>
      <c r="V158" s="442"/>
    </row>
    <row r="159" spans="10:22" ht="11.4">
      <c r="J159" s="442"/>
      <c r="K159" s="442"/>
      <c r="L159" s="442"/>
      <c r="M159" s="442"/>
      <c r="N159" s="442"/>
      <c r="O159" s="442"/>
      <c r="P159" s="442"/>
      <c r="Q159" s="442"/>
      <c r="R159" s="442"/>
      <c r="S159" s="442"/>
      <c r="T159" s="442"/>
      <c r="U159" s="442"/>
      <c r="V159" s="442"/>
    </row>
    <row r="160" spans="10:22" ht="11.4">
      <c r="J160" s="442"/>
      <c r="K160" s="442"/>
      <c r="L160" s="442"/>
      <c r="M160" s="442"/>
      <c r="N160" s="442"/>
      <c r="O160" s="442"/>
      <c r="P160" s="442"/>
      <c r="Q160" s="442"/>
      <c r="R160" s="442"/>
      <c r="S160" s="442"/>
      <c r="T160" s="442"/>
      <c r="U160" s="442"/>
      <c r="V160" s="442"/>
    </row>
    <row r="161" spans="10:22" ht="11.4">
      <c r="J161" s="442"/>
      <c r="K161" s="442"/>
      <c r="L161" s="442"/>
      <c r="M161" s="442"/>
      <c r="N161" s="442"/>
      <c r="O161" s="442"/>
      <c r="P161" s="442"/>
      <c r="Q161" s="442"/>
      <c r="R161" s="442"/>
      <c r="S161" s="442"/>
      <c r="T161" s="442"/>
      <c r="U161" s="442"/>
      <c r="V161" s="442"/>
    </row>
    <row r="162" spans="10:22" ht="11.4">
      <c r="J162" s="442"/>
      <c r="K162" s="442"/>
      <c r="L162" s="442"/>
      <c r="M162" s="442"/>
      <c r="N162" s="442"/>
      <c r="O162" s="442"/>
      <c r="P162" s="442"/>
      <c r="Q162" s="442"/>
      <c r="R162" s="442"/>
      <c r="S162" s="442"/>
      <c r="T162" s="442"/>
      <c r="U162" s="442"/>
      <c r="V162" s="442"/>
    </row>
    <row r="163" spans="10:22" ht="11.4">
      <c r="J163" s="442"/>
      <c r="K163" s="442"/>
      <c r="L163" s="442"/>
      <c r="M163" s="442"/>
      <c r="N163" s="442"/>
      <c r="O163" s="442"/>
      <c r="P163" s="442"/>
      <c r="Q163" s="442"/>
      <c r="R163" s="442"/>
      <c r="S163" s="442"/>
      <c r="T163" s="442"/>
      <c r="U163" s="442"/>
      <c r="V163" s="442"/>
    </row>
    <row r="164" spans="10:22" ht="11.4">
      <c r="J164" s="442"/>
      <c r="K164" s="442"/>
      <c r="L164" s="442"/>
      <c r="M164" s="442"/>
      <c r="N164" s="442"/>
      <c r="O164" s="442"/>
      <c r="P164" s="442"/>
      <c r="Q164" s="442"/>
      <c r="R164" s="442"/>
      <c r="S164" s="442"/>
      <c r="T164" s="442"/>
      <c r="U164" s="442"/>
      <c r="V164" s="442"/>
    </row>
    <row r="165" spans="10:22" ht="11.4">
      <c r="J165" s="442"/>
      <c r="K165" s="442"/>
      <c r="L165" s="442"/>
      <c r="M165" s="442"/>
      <c r="N165" s="442"/>
      <c r="O165" s="442"/>
      <c r="P165" s="442"/>
      <c r="Q165" s="442"/>
      <c r="R165" s="442"/>
      <c r="S165" s="442"/>
      <c r="T165" s="442"/>
      <c r="U165" s="442"/>
      <c r="V165" s="442"/>
    </row>
    <row r="166" spans="10:22" ht="11.4">
      <c r="J166" s="442"/>
      <c r="K166" s="442"/>
      <c r="L166" s="442"/>
      <c r="M166" s="442"/>
      <c r="N166" s="442"/>
      <c r="O166" s="442"/>
      <c r="P166" s="442"/>
      <c r="Q166" s="442"/>
      <c r="R166" s="442"/>
      <c r="S166" s="442"/>
      <c r="T166" s="442"/>
      <c r="U166" s="442"/>
      <c r="V166" s="442"/>
    </row>
    <row r="167" spans="10:22" ht="11.4">
      <c r="J167" s="442"/>
      <c r="K167" s="442"/>
      <c r="L167" s="442"/>
      <c r="M167" s="442"/>
      <c r="N167" s="442"/>
      <c r="O167" s="442"/>
      <c r="P167" s="442"/>
      <c r="Q167" s="442"/>
      <c r="R167" s="442"/>
      <c r="S167" s="442"/>
      <c r="T167" s="442"/>
      <c r="U167" s="442"/>
      <c r="V167" s="442"/>
    </row>
    <row r="168" spans="10:22" ht="11.4">
      <c r="J168" s="442"/>
      <c r="K168" s="442"/>
      <c r="L168" s="442"/>
      <c r="M168" s="442"/>
      <c r="N168" s="442"/>
      <c r="O168" s="442"/>
      <c r="P168" s="442"/>
      <c r="Q168" s="442"/>
      <c r="R168" s="442"/>
      <c r="S168" s="442"/>
      <c r="T168" s="442"/>
      <c r="U168" s="442"/>
      <c r="V168" s="442"/>
    </row>
    <row r="169" spans="10:22" ht="11.4">
      <c r="J169" s="442"/>
      <c r="K169" s="442"/>
      <c r="L169" s="442"/>
      <c r="M169" s="442"/>
      <c r="N169" s="442"/>
      <c r="O169" s="442"/>
      <c r="P169" s="442"/>
      <c r="Q169" s="442"/>
      <c r="R169" s="442"/>
      <c r="S169" s="442"/>
      <c r="T169" s="442"/>
      <c r="U169" s="442"/>
      <c r="V169" s="442"/>
    </row>
    <row r="170" spans="10:22" ht="11.4">
      <c r="J170" s="442"/>
      <c r="K170" s="442"/>
      <c r="L170" s="442"/>
      <c r="M170" s="442"/>
      <c r="N170" s="442"/>
      <c r="O170" s="442"/>
      <c r="P170" s="442"/>
      <c r="Q170" s="442"/>
      <c r="R170" s="442"/>
      <c r="S170" s="442"/>
      <c r="T170" s="442"/>
      <c r="U170" s="442"/>
      <c r="V170" s="442"/>
    </row>
    <row r="171" spans="10:22" ht="11.4">
      <c r="J171" s="442"/>
      <c r="K171" s="442"/>
      <c r="L171" s="442"/>
      <c r="M171" s="442"/>
      <c r="N171" s="442"/>
      <c r="O171" s="442"/>
      <c r="P171" s="442"/>
      <c r="Q171" s="442"/>
      <c r="R171" s="442"/>
      <c r="S171" s="442"/>
      <c r="T171" s="442"/>
      <c r="U171" s="442"/>
      <c r="V171" s="442"/>
    </row>
    <row r="172" spans="10:22" ht="11.4">
      <c r="J172" s="442"/>
      <c r="K172" s="442"/>
      <c r="L172" s="442"/>
      <c r="M172" s="442"/>
      <c r="N172" s="442"/>
      <c r="O172" s="442"/>
      <c r="P172" s="442"/>
      <c r="Q172" s="442"/>
      <c r="R172" s="442"/>
      <c r="S172" s="442"/>
      <c r="T172" s="442"/>
      <c r="U172" s="442"/>
      <c r="V172" s="442"/>
    </row>
    <row r="173" spans="10:22" ht="11.4">
      <c r="J173" s="442"/>
      <c r="K173" s="442"/>
      <c r="L173" s="442"/>
      <c r="M173" s="442"/>
      <c r="N173" s="442"/>
      <c r="O173" s="442"/>
      <c r="P173" s="442"/>
      <c r="Q173" s="442"/>
      <c r="R173" s="442"/>
      <c r="S173" s="442"/>
      <c r="T173" s="442"/>
      <c r="U173" s="442"/>
      <c r="V173" s="442"/>
    </row>
    <row r="174" spans="10:22" ht="11.4">
      <c r="J174" s="442"/>
      <c r="K174" s="442"/>
      <c r="L174" s="442"/>
      <c r="M174" s="442"/>
      <c r="N174" s="442"/>
      <c r="O174" s="442"/>
      <c r="P174" s="442"/>
      <c r="Q174" s="442"/>
      <c r="R174" s="442"/>
      <c r="S174" s="442"/>
      <c r="T174" s="442"/>
      <c r="U174" s="442"/>
      <c r="V174" s="442"/>
    </row>
    <row r="175" spans="10:22" ht="11.4">
      <c r="J175" s="442"/>
      <c r="K175" s="442"/>
      <c r="L175" s="442"/>
      <c r="M175" s="442"/>
      <c r="N175" s="442"/>
      <c r="O175" s="442"/>
      <c r="P175" s="442"/>
      <c r="Q175" s="442"/>
      <c r="R175" s="442"/>
      <c r="S175" s="442"/>
      <c r="T175" s="442"/>
      <c r="U175" s="442"/>
      <c r="V175" s="442"/>
    </row>
    <row r="176" spans="10:22" ht="11.4">
      <c r="J176" s="442"/>
      <c r="K176" s="442"/>
      <c r="L176" s="442"/>
      <c r="M176" s="442"/>
      <c r="N176" s="442"/>
      <c r="O176" s="442"/>
      <c r="P176" s="442"/>
      <c r="Q176" s="442"/>
      <c r="R176" s="442"/>
      <c r="S176" s="442"/>
      <c r="T176" s="442"/>
      <c r="U176" s="442"/>
      <c r="V176" s="442"/>
    </row>
    <row r="177" spans="10:22" ht="11.4">
      <c r="J177" s="442"/>
      <c r="K177" s="442"/>
      <c r="L177" s="442"/>
      <c r="M177" s="442"/>
      <c r="N177" s="442"/>
      <c r="O177" s="442"/>
      <c r="P177" s="442"/>
      <c r="Q177" s="442"/>
      <c r="R177" s="442"/>
      <c r="S177" s="442"/>
      <c r="T177" s="442"/>
      <c r="U177" s="442"/>
      <c r="V177" s="442"/>
    </row>
    <row r="178" spans="10:22" ht="11.4">
      <c r="J178" s="442"/>
      <c r="K178" s="442"/>
      <c r="L178" s="442"/>
      <c r="M178" s="442"/>
      <c r="N178" s="442"/>
      <c r="O178" s="442"/>
      <c r="P178" s="442"/>
      <c r="Q178" s="442"/>
      <c r="R178" s="442"/>
      <c r="S178" s="442"/>
      <c r="T178" s="442"/>
      <c r="U178" s="442"/>
      <c r="V178" s="442"/>
    </row>
    <row r="179" spans="10:22" ht="11.4">
      <c r="J179" s="442"/>
      <c r="K179" s="442"/>
      <c r="L179" s="442"/>
      <c r="M179" s="442"/>
      <c r="N179" s="442"/>
      <c r="O179" s="442"/>
      <c r="P179" s="442"/>
      <c r="Q179" s="442"/>
      <c r="R179" s="442"/>
      <c r="S179" s="442"/>
      <c r="T179" s="442"/>
      <c r="U179" s="442"/>
      <c r="V179" s="442"/>
    </row>
    <row r="180" spans="10:22" ht="11.4">
      <c r="J180" s="442"/>
      <c r="K180" s="442"/>
      <c r="L180" s="442"/>
      <c r="M180" s="442"/>
      <c r="N180" s="442"/>
      <c r="O180" s="442"/>
      <c r="P180" s="442"/>
      <c r="Q180" s="442"/>
      <c r="R180" s="442"/>
      <c r="S180" s="442"/>
      <c r="T180" s="442"/>
      <c r="U180" s="442"/>
      <c r="V180" s="442"/>
    </row>
    <row r="181" spans="10:22" ht="11.4">
      <c r="J181" s="442"/>
      <c r="K181" s="442"/>
      <c r="L181" s="442"/>
      <c r="M181" s="442"/>
      <c r="N181" s="442"/>
      <c r="O181" s="442"/>
      <c r="P181" s="442"/>
      <c r="Q181" s="442"/>
      <c r="R181" s="442"/>
      <c r="S181" s="442"/>
      <c r="T181" s="442"/>
      <c r="U181" s="442"/>
      <c r="V181" s="442"/>
    </row>
    <row r="182" spans="10:22" ht="11.4">
      <c r="J182" s="442"/>
      <c r="K182" s="442"/>
      <c r="L182" s="442"/>
      <c r="M182" s="442"/>
      <c r="N182" s="442"/>
      <c r="O182" s="442"/>
      <c r="P182" s="442"/>
      <c r="Q182" s="442"/>
      <c r="R182" s="442"/>
      <c r="S182" s="442"/>
      <c r="T182" s="442"/>
      <c r="U182" s="442"/>
      <c r="V182" s="442"/>
    </row>
    <row r="183" spans="10:22" ht="11.4">
      <c r="J183" s="442"/>
      <c r="K183" s="442"/>
      <c r="L183" s="442"/>
      <c r="M183" s="442"/>
      <c r="N183" s="442"/>
      <c r="O183" s="442"/>
      <c r="P183" s="442"/>
      <c r="Q183" s="442"/>
      <c r="R183" s="442"/>
      <c r="S183" s="442"/>
      <c r="T183" s="442"/>
      <c r="U183" s="442"/>
      <c r="V183" s="442"/>
    </row>
    <row r="184" spans="10:22" ht="11.4">
      <c r="J184" s="442"/>
      <c r="K184" s="442"/>
      <c r="L184" s="442"/>
      <c r="M184" s="442"/>
      <c r="N184" s="442"/>
      <c r="O184" s="442"/>
      <c r="P184" s="442"/>
      <c r="Q184" s="442"/>
      <c r="R184" s="442"/>
      <c r="S184" s="442"/>
      <c r="T184" s="442"/>
      <c r="U184" s="442"/>
      <c r="V184" s="442"/>
    </row>
    <row r="185" spans="10:22" ht="11.4">
      <c r="J185" s="442"/>
      <c r="K185" s="442"/>
      <c r="L185" s="442"/>
      <c r="M185" s="442"/>
      <c r="N185" s="442"/>
      <c r="O185" s="442"/>
      <c r="P185" s="442"/>
      <c r="Q185" s="442"/>
      <c r="R185" s="442"/>
      <c r="S185" s="442"/>
      <c r="T185" s="442"/>
      <c r="U185" s="442"/>
      <c r="V185" s="442"/>
    </row>
    <row r="186" spans="10:22" ht="11.4">
      <c r="J186" s="442"/>
      <c r="K186" s="442"/>
      <c r="L186" s="442"/>
      <c r="M186" s="442"/>
      <c r="N186" s="442"/>
      <c r="O186" s="442"/>
      <c r="P186" s="442"/>
      <c r="Q186" s="442"/>
      <c r="R186" s="442"/>
      <c r="S186" s="442"/>
      <c r="T186" s="442"/>
      <c r="U186" s="442"/>
      <c r="V186" s="442"/>
    </row>
    <row r="187" spans="10:22" ht="11.4">
      <c r="J187" s="442"/>
      <c r="K187" s="442"/>
      <c r="L187" s="442"/>
      <c r="M187" s="442"/>
      <c r="N187" s="442"/>
      <c r="O187" s="442"/>
      <c r="P187" s="442"/>
      <c r="Q187" s="442"/>
      <c r="R187" s="442"/>
      <c r="S187" s="442"/>
      <c r="T187" s="442"/>
      <c r="U187" s="442"/>
      <c r="V187" s="442"/>
    </row>
    <row r="188" spans="10:22" ht="11.4">
      <c r="J188" s="442"/>
      <c r="K188" s="442"/>
      <c r="L188" s="442"/>
      <c r="M188" s="442"/>
      <c r="N188" s="442"/>
      <c r="O188" s="442"/>
      <c r="P188" s="442"/>
      <c r="Q188" s="442"/>
      <c r="R188" s="442"/>
      <c r="S188" s="442"/>
      <c r="T188" s="442"/>
      <c r="U188" s="442"/>
      <c r="V188" s="442"/>
    </row>
    <row r="189" spans="10:22" ht="11.4">
      <c r="J189" s="442"/>
      <c r="K189" s="442"/>
      <c r="L189" s="442"/>
      <c r="M189" s="442"/>
      <c r="N189" s="442"/>
      <c r="O189" s="442"/>
      <c r="P189" s="442"/>
      <c r="Q189" s="442"/>
      <c r="R189" s="442"/>
      <c r="S189" s="442"/>
      <c r="T189" s="442"/>
      <c r="U189" s="442"/>
      <c r="V189" s="442"/>
    </row>
    <row r="190" spans="10:22" ht="11.4">
      <c r="J190" s="442"/>
      <c r="K190" s="442"/>
      <c r="L190" s="442"/>
      <c r="M190" s="442"/>
      <c r="N190" s="442"/>
      <c r="O190" s="442"/>
      <c r="P190" s="442"/>
      <c r="Q190" s="442"/>
      <c r="R190" s="442"/>
      <c r="S190" s="442"/>
      <c r="T190" s="442"/>
      <c r="U190" s="442"/>
      <c r="V190" s="442"/>
    </row>
    <row r="191" spans="10:22" ht="11.4">
      <c r="J191" s="442"/>
      <c r="K191" s="442"/>
      <c r="L191" s="442"/>
      <c r="M191" s="442"/>
      <c r="N191" s="442"/>
      <c r="O191" s="442"/>
      <c r="P191" s="442"/>
      <c r="Q191" s="442"/>
      <c r="R191" s="442"/>
      <c r="S191" s="442"/>
      <c r="T191" s="442"/>
      <c r="U191" s="442"/>
      <c r="V191" s="442"/>
    </row>
    <row r="192" spans="10:22" ht="11.4">
      <c r="J192" s="442"/>
      <c r="K192" s="442"/>
      <c r="L192" s="442"/>
      <c r="M192" s="442"/>
      <c r="N192" s="442"/>
      <c r="O192" s="442"/>
      <c r="P192" s="442"/>
      <c r="Q192" s="442"/>
      <c r="R192" s="442"/>
      <c r="S192" s="442"/>
      <c r="T192" s="442"/>
      <c r="U192" s="442"/>
      <c r="V192" s="442"/>
    </row>
    <row r="193" spans="10:22" ht="11.4">
      <c r="J193" s="442"/>
      <c r="K193" s="442"/>
      <c r="L193" s="442"/>
      <c r="M193" s="442"/>
      <c r="N193" s="442"/>
      <c r="O193" s="442"/>
      <c r="P193" s="442"/>
      <c r="Q193" s="442"/>
      <c r="R193" s="442"/>
      <c r="S193" s="442"/>
      <c r="T193" s="442"/>
      <c r="U193" s="442"/>
      <c r="V193" s="442"/>
    </row>
    <row r="194" spans="10:22" ht="11.4">
      <c r="J194" s="442"/>
      <c r="K194" s="442"/>
      <c r="L194" s="442"/>
      <c r="M194" s="442"/>
      <c r="N194" s="442"/>
      <c r="O194" s="442"/>
      <c r="P194" s="442"/>
      <c r="Q194" s="442"/>
      <c r="R194" s="442"/>
      <c r="S194" s="442"/>
      <c r="T194" s="442"/>
      <c r="U194" s="442"/>
      <c r="V194" s="442"/>
    </row>
    <row r="195" spans="10:22" ht="11.4">
      <c r="J195" s="442"/>
      <c r="K195" s="442"/>
      <c r="L195" s="442"/>
      <c r="M195" s="442"/>
      <c r="N195" s="442"/>
      <c r="O195" s="442"/>
      <c r="P195" s="442"/>
      <c r="Q195" s="442"/>
      <c r="R195" s="442"/>
      <c r="S195" s="442"/>
      <c r="T195" s="442"/>
      <c r="U195" s="442"/>
      <c r="V195" s="442"/>
    </row>
    <row r="196" spans="10:22" ht="11.4">
      <c r="J196" s="442"/>
      <c r="K196" s="442"/>
      <c r="L196" s="442"/>
      <c r="M196" s="442"/>
      <c r="N196" s="442"/>
      <c r="O196" s="442"/>
      <c r="P196" s="442"/>
      <c r="Q196" s="442"/>
      <c r="R196" s="442"/>
      <c r="S196" s="442"/>
      <c r="T196" s="442"/>
      <c r="U196" s="442"/>
      <c r="V196" s="442"/>
    </row>
    <row r="197" spans="10:22" ht="11.4">
      <c r="J197" s="442"/>
      <c r="K197" s="442"/>
      <c r="L197" s="442"/>
      <c r="M197" s="442"/>
      <c r="N197" s="442"/>
      <c r="O197" s="442"/>
      <c r="P197" s="442"/>
      <c r="Q197" s="442"/>
      <c r="R197" s="442"/>
      <c r="S197" s="442"/>
      <c r="T197" s="442"/>
      <c r="U197" s="442"/>
      <c r="V197" s="442"/>
    </row>
    <row r="198" spans="10:22" ht="11.4">
      <c r="J198" s="442"/>
      <c r="K198" s="442"/>
      <c r="L198" s="442"/>
      <c r="M198" s="442"/>
      <c r="N198" s="442"/>
      <c r="O198" s="442"/>
      <c r="P198" s="442"/>
      <c r="Q198" s="442"/>
      <c r="R198" s="442"/>
      <c r="S198" s="442"/>
      <c r="T198" s="442"/>
      <c r="U198" s="442"/>
      <c r="V198" s="442"/>
    </row>
    <row r="199" spans="10:22" ht="11.4">
      <c r="J199" s="442"/>
      <c r="K199" s="442"/>
      <c r="L199" s="442"/>
      <c r="M199" s="442"/>
      <c r="N199" s="442"/>
      <c r="O199" s="442"/>
      <c r="P199" s="442"/>
      <c r="Q199" s="442"/>
      <c r="R199" s="442"/>
      <c r="S199" s="442"/>
      <c r="T199" s="442"/>
      <c r="U199" s="442"/>
      <c r="V199" s="442"/>
    </row>
    <row r="200" spans="10:22" ht="11.4">
      <c r="J200" s="442"/>
      <c r="K200" s="442"/>
      <c r="L200" s="442"/>
      <c r="M200" s="442"/>
      <c r="N200" s="442"/>
      <c r="O200" s="442"/>
      <c r="P200" s="442"/>
      <c r="Q200" s="442"/>
      <c r="R200" s="442"/>
      <c r="S200" s="442"/>
      <c r="T200" s="442"/>
      <c r="U200" s="442"/>
      <c r="V200" s="442"/>
    </row>
    <row r="201" spans="10:22" ht="11.4">
      <c r="J201" s="442"/>
      <c r="K201" s="442"/>
      <c r="L201" s="442"/>
      <c r="M201" s="442"/>
      <c r="N201" s="442"/>
      <c r="O201" s="442"/>
      <c r="P201" s="442"/>
      <c r="Q201" s="442"/>
      <c r="R201" s="442"/>
      <c r="S201" s="442"/>
      <c r="T201" s="442"/>
      <c r="U201" s="442"/>
      <c r="V201" s="442"/>
    </row>
    <row r="202" spans="10:22" ht="11.4">
      <c r="J202" s="442"/>
      <c r="K202" s="442"/>
      <c r="L202" s="442"/>
      <c r="M202" s="442"/>
      <c r="N202" s="442"/>
      <c r="O202" s="442"/>
      <c r="P202" s="442"/>
      <c r="Q202" s="442"/>
      <c r="R202" s="442"/>
      <c r="S202" s="442"/>
      <c r="T202" s="442"/>
      <c r="U202" s="442"/>
      <c r="V202" s="442"/>
    </row>
    <row r="203" spans="10:22" ht="11.4">
      <c r="J203" s="442"/>
      <c r="K203" s="442"/>
      <c r="L203" s="442"/>
      <c r="M203" s="442"/>
      <c r="N203" s="442"/>
      <c r="O203" s="442"/>
      <c r="P203" s="442"/>
      <c r="Q203" s="442"/>
      <c r="R203" s="442"/>
      <c r="S203" s="442"/>
      <c r="T203" s="442"/>
      <c r="U203" s="442"/>
      <c r="V203" s="442"/>
    </row>
    <row r="204" spans="10:22" ht="11.4">
      <c r="J204" s="442"/>
      <c r="K204" s="442"/>
      <c r="L204" s="442"/>
      <c r="M204" s="442"/>
      <c r="N204" s="442"/>
      <c r="O204" s="442"/>
      <c r="P204" s="442"/>
      <c r="Q204" s="442"/>
      <c r="R204" s="442"/>
      <c r="S204" s="442"/>
      <c r="T204" s="442"/>
      <c r="U204" s="442"/>
      <c r="V204" s="442"/>
    </row>
    <row r="205" spans="10:22" ht="11.4">
      <c r="J205" s="442"/>
      <c r="K205" s="442"/>
      <c r="L205" s="442"/>
      <c r="M205" s="442"/>
      <c r="N205" s="442"/>
      <c r="O205" s="442"/>
      <c r="P205" s="442"/>
      <c r="Q205" s="442"/>
      <c r="R205" s="442"/>
      <c r="S205" s="442"/>
      <c r="T205" s="442"/>
      <c r="U205" s="442"/>
      <c r="V205" s="442"/>
    </row>
    <row r="206" spans="10:22" ht="11.4">
      <c r="J206" s="442"/>
      <c r="K206" s="442"/>
      <c r="L206" s="442"/>
      <c r="M206" s="442"/>
      <c r="N206" s="442"/>
      <c r="O206" s="442"/>
      <c r="P206" s="442"/>
      <c r="Q206" s="442"/>
      <c r="R206" s="442"/>
      <c r="S206" s="442"/>
      <c r="T206" s="442"/>
      <c r="U206" s="442"/>
      <c r="V206" s="442"/>
    </row>
    <row r="207" spans="10:22" ht="11.4">
      <c r="J207" s="442"/>
      <c r="K207" s="442"/>
      <c r="L207" s="442"/>
      <c r="M207" s="442"/>
      <c r="N207" s="442"/>
      <c r="O207" s="442"/>
      <c r="P207" s="442"/>
      <c r="Q207" s="442"/>
      <c r="R207" s="442"/>
      <c r="S207" s="442"/>
      <c r="T207" s="442"/>
      <c r="U207" s="442"/>
      <c r="V207" s="442"/>
    </row>
    <row r="208" spans="10:22" ht="11.4">
      <c r="J208" s="442"/>
      <c r="K208" s="442"/>
      <c r="L208" s="442"/>
      <c r="M208" s="442"/>
      <c r="N208" s="442"/>
      <c r="O208" s="442"/>
      <c r="P208" s="442"/>
      <c r="Q208" s="442"/>
      <c r="R208" s="442"/>
      <c r="S208" s="442"/>
      <c r="T208" s="442"/>
      <c r="U208" s="442"/>
      <c r="V208" s="442"/>
    </row>
    <row r="209" spans="10:22" ht="11.4">
      <c r="J209" s="442"/>
      <c r="K209" s="442"/>
      <c r="L209" s="442"/>
      <c r="M209" s="442"/>
      <c r="N209" s="442"/>
      <c r="O209" s="442"/>
      <c r="P209" s="442"/>
      <c r="Q209" s="442"/>
      <c r="R209" s="442"/>
      <c r="S209" s="442"/>
      <c r="T209" s="442"/>
      <c r="U209" s="442"/>
      <c r="V209" s="442"/>
    </row>
    <row r="210" spans="10:22" ht="11.4">
      <c r="J210" s="442"/>
      <c r="K210" s="442"/>
      <c r="L210" s="442"/>
      <c r="M210" s="442"/>
      <c r="N210" s="442"/>
      <c r="O210" s="442"/>
      <c r="P210" s="442"/>
      <c r="Q210" s="442"/>
      <c r="R210" s="442"/>
      <c r="S210" s="442"/>
      <c r="T210" s="442"/>
      <c r="U210" s="442"/>
      <c r="V210" s="442"/>
    </row>
    <row r="211" spans="10:22" ht="11.4">
      <c r="J211" s="442"/>
      <c r="K211" s="442"/>
      <c r="L211" s="442"/>
      <c r="M211" s="442"/>
      <c r="N211" s="442"/>
      <c r="O211" s="442"/>
      <c r="P211" s="442"/>
      <c r="Q211" s="442"/>
      <c r="R211" s="442"/>
      <c r="S211" s="442"/>
      <c r="T211" s="442"/>
      <c r="U211" s="442"/>
      <c r="V211" s="442"/>
    </row>
    <row r="212" spans="10:22" ht="11.4">
      <c r="J212" s="442"/>
      <c r="K212" s="442"/>
      <c r="L212" s="442"/>
      <c r="M212" s="442"/>
      <c r="N212" s="442"/>
      <c r="O212" s="442"/>
      <c r="P212" s="442"/>
      <c r="Q212" s="442"/>
      <c r="R212" s="442"/>
      <c r="S212" s="442"/>
      <c r="T212" s="442"/>
      <c r="U212" s="442"/>
      <c r="V212" s="442"/>
    </row>
    <row r="213" spans="10:22" ht="11.4">
      <c r="J213" s="442"/>
      <c r="K213" s="442"/>
      <c r="L213" s="442"/>
      <c r="M213" s="442"/>
      <c r="N213" s="442"/>
      <c r="O213" s="442"/>
      <c r="P213" s="442"/>
      <c r="Q213" s="442"/>
      <c r="R213" s="442"/>
      <c r="S213" s="442"/>
      <c r="T213" s="442"/>
      <c r="U213" s="442"/>
      <c r="V213" s="442"/>
    </row>
    <row r="214" spans="10:22" ht="11.4">
      <c r="J214" s="442"/>
      <c r="K214" s="442"/>
      <c r="L214" s="442"/>
      <c r="M214" s="442"/>
      <c r="N214" s="442"/>
      <c r="O214" s="442"/>
      <c r="P214" s="442"/>
      <c r="Q214" s="442"/>
      <c r="R214" s="442"/>
      <c r="S214" s="442"/>
      <c r="T214" s="442"/>
      <c r="U214" s="442"/>
      <c r="V214" s="442"/>
    </row>
    <row r="215" spans="10:22" ht="11.4">
      <c r="J215" s="442"/>
      <c r="K215" s="442"/>
      <c r="L215" s="442"/>
      <c r="M215" s="442"/>
      <c r="N215" s="442"/>
      <c r="O215" s="442"/>
      <c r="P215" s="442"/>
      <c r="Q215" s="442"/>
      <c r="R215" s="442"/>
      <c r="S215" s="442"/>
      <c r="T215" s="442"/>
      <c r="U215" s="442"/>
      <c r="V215" s="442"/>
    </row>
    <row r="216" spans="10:22" ht="11.4">
      <c r="J216" s="442"/>
      <c r="K216" s="442"/>
      <c r="L216" s="442"/>
      <c r="M216" s="442"/>
      <c r="N216" s="442"/>
      <c r="O216" s="442"/>
      <c r="P216" s="442"/>
      <c r="Q216" s="442"/>
      <c r="R216" s="442"/>
      <c r="S216" s="442"/>
      <c r="T216" s="442"/>
      <c r="U216" s="442"/>
      <c r="V216" s="442"/>
    </row>
    <row r="217" spans="10:22" ht="11.4">
      <c r="J217" s="442"/>
      <c r="K217" s="442"/>
      <c r="L217" s="442"/>
      <c r="M217" s="442"/>
      <c r="N217" s="442"/>
      <c r="O217" s="442"/>
      <c r="P217" s="442"/>
      <c r="Q217" s="442"/>
      <c r="R217" s="442"/>
      <c r="S217" s="442"/>
      <c r="T217" s="442"/>
      <c r="U217" s="442"/>
      <c r="V217" s="442"/>
    </row>
    <row r="218" spans="10:22" ht="11.4">
      <c r="J218" s="442"/>
      <c r="K218" s="442"/>
      <c r="L218" s="442"/>
      <c r="M218" s="442"/>
      <c r="N218" s="442"/>
      <c r="O218" s="442"/>
      <c r="P218" s="442"/>
      <c r="Q218" s="442"/>
      <c r="R218" s="442"/>
      <c r="S218" s="442"/>
      <c r="T218" s="442"/>
      <c r="U218" s="442"/>
      <c r="V218" s="442"/>
    </row>
    <row r="219" spans="10:22" ht="11.4">
      <c r="J219" s="442"/>
      <c r="K219" s="442"/>
      <c r="L219" s="442"/>
      <c r="M219" s="442"/>
      <c r="N219" s="442"/>
      <c r="O219" s="442"/>
      <c r="P219" s="442"/>
      <c r="Q219" s="442"/>
      <c r="R219" s="442"/>
      <c r="S219" s="442"/>
      <c r="T219" s="442"/>
      <c r="U219" s="442"/>
      <c r="V219" s="442"/>
    </row>
    <row r="220" spans="10:22" ht="11.4">
      <c r="J220" s="442"/>
      <c r="K220" s="442"/>
      <c r="L220" s="442"/>
      <c r="M220" s="442"/>
      <c r="N220" s="442"/>
      <c r="O220" s="442"/>
      <c r="P220" s="442"/>
      <c r="Q220" s="442"/>
      <c r="R220" s="442"/>
      <c r="S220" s="442"/>
      <c r="T220" s="442"/>
      <c r="U220" s="442"/>
      <c r="V220" s="442"/>
    </row>
    <row r="221" spans="10:22" ht="11.4">
      <c r="J221" s="442"/>
      <c r="K221" s="442"/>
      <c r="L221" s="442"/>
      <c r="M221" s="442"/>
      <c r="N221" s="442"/>
      <c r="O221" s="442"/>
      <c r="P221" s="442"/>
      <c r="Q221" s="442"/>
      <c r="R221" s="442"/>
      <c r="S221" s="442"/>
      <c r="T221" s="442"/>
      <c r="U221" s="442"/>
      <c r="V221" s="442"/>
    </row>
    <row r="222" spans="10:22" ht="11.4">
      <c r="J222" s="442"/>
      <c r="K222" s="442"/>
      <c r="L222" s="442"/>
      <c r="M222" s="442"/>
      <c r="N222" s="442"/>
      <c r="O222" s="442"/>
      <c r="P222" s="442"/>
      <c r="Q222" s="442"/>
      <c r="R222" s="442"/>
      <c r="S222" s="442"/>
      <c r="T222" s="442"/>
      <c r="U222" s="442"/>
      <c r="V222" s="442"/>
    </row>
    <row r="223" spans="10:22" ht="11.4">
      <c r="J223" s="442"/>
      <c r="K223" s="442"/>
      <c r="L223" s="442"/>
      <c r="M223" s="442"/>
      <c r="N223" s="442"/>
      <c r="O223" s="442"/>
      <c r="P223" s="442"/>
      <c r="Q223" s="442"/>
      <c r="R223" s="442"/>
      <c r="S223" s="442"/>
      <c r="T223" s="442"/>
      <c r="U223" s="442"/>
      <c r="V223" s="442"/>
    </row>
    <row r="224" spans="10:22" ht="11.4">
      <c r="J224" s="442"/>
      <c r="K224" s="442"/>
      <c r="L224" s="442"/>
      <c r="M224" s="442"/>
      <c r="N224" s="442"/>
      <c r="O224" s="442"/>
      <c r="P224" s="442"/>
      <c r="Q224" s="442"/>
      <c r="R224" s="442"/>
      <c r="S224" s="442"/>
      <c r="T224" s="442"/>
      <c r="U224" s="442"/>
      <c r="V224" s="442"/>
    </row>
    <row r="225" spans="10:22" ht="11.4">
      <c r="J225" s="442"/>
      <c r="K225" s="442"/>
      <c r="L225" s="442"/>
      <c r="M225" s="442"/>
      <c r="N225" s="442"/>
      <c r="O225" s="442"/>
      <c r="P225" s="442"/>
      <c r="Q225" s="442"/>
      <c r="R225" s="442"/>
      <c r="S225" s="442"/>
      <c r="T225" s="442"/>
      <c r="U225" s="442"/>
      <c r="V225" s="442"/>
    </row>
    <row r="226" spans="10:22" ht="11.4">
      <c r="J226" s="442"/>
      <c r="K226" s="442"/>
      <c r="L226" s="442"/>
      <c r="M226" s="442"/>
      <c r="N226" s="442"/>
      <c r="O226" s="442"/>
      <c r="P226" s="442"/>
      <c r="Q226" s="442"/>
      <c r="R226" s="442"/>
      <c r="S226" s="442"/>
      <c r="T226" s="442"/>
      <c r="U226" s="442"/>
      <c r="V226" s="442"/>
    </row>
    <row r="227" spans="10:22" ht="11.4">
      <c r="J227" s="442"/>
      <c r="K227" s="442"/>
      <c r="L227" s="442"/>
      <c r="M227" s="442"/>
      <c r="N227" s="442"/>
      <c r="O227" s="442"/>
      <c r="P227" s="442"/>
      <c r="Q227" s="442"/>
      <c r="R227" s="442"/>
      <c r="S227" s="442"/>
      <c r="T227" s="442"/>
      <c r="U227" s="442"/>
      <c r="V227" s="442"/>
    </row>
    <row r="228" spans="10:22" ht="11.4">
      <c r="J228" s="442"/>
      <c r="K228" s="442"/>
      <c r="L228" s="442"/>
      <c r="M228" s="442"/>
      <c r="N228" s="442"/>
      <c r="O228" s="442"/>
      <c r="P228" s="442"/>
      <c r="Q228" s="442"/>
      <c r="R228" s="442"/>
      <c r="S228" s="442"/>
      <c r="T228" s="442"/>
      <c r="U228" s="442"/>
      <c r="V228" s="442"/>
    </row>
    <row r="229" spans="10:22" ht="11.4">
      <c r="J229" s="442"/>
      <c r="K229" s="442"/>
      <c r="L229" s="442"/>
      <c r="M229" s="442"/>
      <c r="N229" s="442"/>
      <c r="O229" s="442"/>
      <c r="P229" s="442"/>
      <c r="Q229" s="442"/>
      <c r="R229" s="442"/>
      <c r="S229" s="442"/>
      <c r="T229" s="442"/>
      <c r="U229" s="442"/>
      <c r="V229" s="442"/>
    </row>
    <row r="230" spans="10:22" ht="11.4">
      <c r="J230" s="442"/>
      <c r="K230" s="442"/>
      <c r="L230" s="442"/>
      <c r="M230" s="442"/>
      <c r="N230" s="442"/>
      <c r="O230" s="442"/>
      <c r="P230" s="442"/>
      <c r="Q230" s="442"/>
      <c r="R230" s="442"/>
      <c r="S230" s="442"/>
      <c r="T230" s="442"/>
      <c r="U230" s="442"/>
      <c r="V230" s="442"/>
    </row>
    <row r="231" spans="10:22" ht="11.4">
      <c r="J231" s="442"/>
      <c r="K231" s="442"/>
      <c r="L231" s="442"/>
      <c r="M231" s="442"/>
      <c r="N231" s="442"/>
      <c r="O231" s="442"/>
      <c r="P231" s="442"/>
      <c r="Q231" s="442"/>
      <c r="R231" s="442"/>
      <c r="S231" s="442"/>
      <c r="T231" s="442"/>
      <c r="U231" s="442"/>
      <c r="V231" s="442"/>
    </row>
    <row r="232" spans="10:22" ht="11.4">
      <c r="J232" s="442"/>
      <c r="K232" s="442"/>
      <c r="L232" s="442"/>
      <c r="M232" s="442"/>
      <c r="N232" s="442"/>
      <c r="O232" s="442"/>
      <c r="P232" s="442"/>
      <c r="Q232" s="442"/>
      <c r="R232" s="442"/>
      <c r="S232" s="442"/>
      <c r="T232" s="442"/>
      <c r="U232" s="442"/>
      <c r="V232" s="442"/>
    </row>
    <row r="233" spans="10:22" ht="11.4">
      <c r="J233" s="442"/>
      <c r="K233" s="442"/>
      <c r="L233" s="442"/>
      <c r="M233" s="442"/>
      <c r="N233" s="442"/>
      <c r="O233" s="442"/>
      <c r="P233" s="442"/>
      <c r="Q233" s="442"/>
      <c r="R233" s="442"/>
      <c r="S233" s="442"/>
      <c r="T233" s="442"/>
      <c r="U233" s="442"/>
      <c r="V233" s="442"/>
    </row>
    <row r="234" spans="10:22" ht="11.4">
      <c r="J234" s="442"/>
      <c r="K234" s="442"/>
      <c r="L234" s="442"/>
      <c r="M234" s="442"/>
      <c r="N234" s="442"/>
      <c r="O234" s="442"/>
      <c r="P234" s="442"/>
      <c r="Q234" s="442"/>
      <c r="R234" s="442"/>
      <c r="S234" s="442"/>
      <c r="T234" s="442"/>
      <c r="U234" s="442"/>
      <c r="V234" s="442"/>
    </row>
    <row r="235" spans="10:22" ht="11.4">
      <c r="J235" s="442"/>
      <c r="K235" s="442"/>
      <c r="L235" s="442"/>
      <c r="M235" s="442"/>
      <c r="N235" s="442"/>
      <c r="O235" s="442"/>
      <c r="P235" s="442"/>
      <c r="Q235" s="442"/>
      <c r="R235" s="442"/>
      <c r="S235" s="442"/>
      <c r="T235" s="442"/>
      <c r="U235" s="442"/>
      <c r="V235" s="442"/>
    </row>
    <row r="236" spans="10:22" ht="11.4">
      <c r="J236" s="442"/>
      <c r="K236" s="442"/>
      <c r="L236" s="442"/>
      <c r="M236" s="442"/>
      <c r="N236" s="442"/>
      <c r="O236" s="442"/>
      <c r="P236" s="442"/>
      <c r="Q236" s="442"/>
      <c r="R236" s="442"/>
      <c r="S236" s="442"/>
      <c r="T236" s="442"/>
      <c r="U236" s="442"/>
      <c r="V236" s="442"/>
    </row>
    <row r="237" spans="10:22" ht="11.4">
      <c r="J237" s="442"/>
      <c r="K237" s="442"/>
      <c r="L237" s="442"/>
      <c r="M237" s="442"/>
      <c r="N237" s="442"/>
      <c r="O237" s="442"/>
      <c r="P237" s="442"/>
      <c r="Q237" s="442"/>
      <c r="R237" s="442"/>
      <c r="S237" s="442"/>
      <c r="T237" s="442"/>
      <c r="U237" s="442"/>
      <c r="V237" s="442"/>
    </row>
    <row r="238" spans="10:22" ht="11.4">
      <c r="J238" s="442"/>
      <c r="K238" s="442"/>
      <c r="L238" s="442"/>
      <c r="M238" s="442"/>
      <c r="N238" s="442"/>
      <c r="O238" s="442"/>
      <c r="P238" s="442"/>
      <c r="Q238" s="442"/>
      <c r="R238" s="442"/>
      <c r="S238" s="442"/>
      <c r="T238" s="442"/>
      <c r="U238" s="442"/>
      <c r="V238" s="442"/>
    </row>
    <row r="239" spans="10:22" ht="11.4">
      <c r="J239" s="442"/>
      <c r="K239" s="442"/>
      <c r="L239" s="442"/>
      <c r="M239" s="442"/>
      <c r="N239" s="442"/>
      <c r="O239" s="442"/>
      <c r="P239" s="442"/>
      <c r="Q239" s="442"/>
      <c r="R239" s="442"/>
      <c r="S239" s="442"/>
      <c r="T239" s="442"/>
      <c r="U239" s="442"/>
      <c r="V239" s="442"/>
    </row>
    <row r="240" spans="10:22" ht="11.4">
      <c r="J240" s="442"/>
      <c r="K240" s="442"/>
      <c r="L240" s="442"/>
      <c r="M240" s="442"/>
      <c r="N240" s="442"/>
      <c r="O240" s="442"/>
      <c r="P240" s="442"/>
      <c r="Q240" s="442"/>
      <c r="R240" s="442"/>
      <c r="S240" s="442"/>
      <c r="T240" s="442"/>
      <c r="U240" s="442"/>
      <c r="V240" s="442"/>
    </row>
    <row r="241" spans="10:22" ht="11.4">
      <c r="J241" s="442"/>
      <c r="K241" s="442"/>
      <c r="L241" s="442"/>
      <c r="M241" s="442"/>
      <c r="N241" s="442"/>
      <c r="O241" s="442"/>
      <c r="P241" s="442"/>
      <c r="Q241" s="442"/>
      <c r="R241" s="442"/>
      <c r="S241" s="442"/>
      <c r="T241" s="442"/>
      <c r="U241" s="442"/>
      <c r="V241" s="442"/>
    </row>
    <row r="242" spans="10:22" ht="11.4">
      <c r="J242" s="442"/>
      <c r="K242" s="442"/>
      <c r="L242" s="442"/>
      <c r="M242" s="442"/>
      <c r="N242" s="442"/>
      <c r="O242" s="442"/>
      <c r="P242" s="442"/>
      <c r="Q242" s="442"/>
      <c r="R242" s="442"/>
      <c r="S242" s="442"/>
      <c r="T242" s="442"/>
      <c r="U242" s="442"/>
      <c r="V242" s="442"/>
    </row>
    <row r="243" spans="10:22" ht="11.4">
      <c r="J243" s="442"/>
      <c r="K243" s="442"/>
      <c r="L243" s="442"/>
      <c r="M243" s="442"/>
      <c r="N243" s="442"/>
      <c r="O243" s="442"/>
      <c r="P243" s="442"/>
      <c r="Q243" s="442"/>
      <c r="R243" s="442"/>
      <c r="S243" s="442"/>
      <c r="T243" s="442"/>
      <c r="U243" s="442"/>
      <c r="V243" s="442"/>
    </row>
    <row r="244" spans="10:22" ht="11.4">
      <c r="J244" s="442"/>
      <c r="K244" s="442"/>
      <c r="L244" s="442"/>
      <c r="M244" s="442"/>
      <c r="N244" s="442"/>
      <c r="O244" s="442"/>
      <c r="P244" s="442"/>
      <c r="Q244" s="442"/>
      <c r="R244" s="442"/>
      <c r="S244" s="442"/>
      <c r="T244" s="442"/>
      <c r="U244" s="442"/>
      <c r="V244" s="442"/>
    </row>
    <row r="245" spans="10:22" ht="11.4">
      <c r="J245" s="442"/>
      <c r="K245" s="442"/>
      <c r="L245" s="442"/>
      <c r="M245" s="442"/>
      <c r="N245" s="442"/>
      <c r="O245" s="442"/>
      <c r="P245" s="442"/>
      <c r="Q245" s="442"/>
      <c r="R245" s="442"/>
      <c r="S245" s="442"/>
      <c r="T245" s="442"/>
      <c r="U245" s="442"/>
      <c r="V245" s="442"/>
    </row>
    <row r="246" spans="10:22" ht="11.4">
      <c r="J246" s="442"/>
      <c r="K246" s="442"/>
      <c r="L246" s="442"/>
      <c r="M246" s="442"/>
      <c r="N246" s="442"/>
      <c r="O246" s="442"/>
      <c r="P246" s="442"/>
      <c r="Q246" s="442"/>
      <c r="R246" s="442"/>
      <c r="S246" s="442"/>
      <c r="T246" s="442"/>
      <c r="U246" s="442"/>
      <c r="V246" s="442"/>
    </row>
    <row r="247" spans="10:22" ht="11.4">
      <c r="J247" s="442"/>
      <c r="K247" s="442"/>
      <c r="L247" s="442"/>
      <c r="M247" s="442"/>
      <c r="N247" s="442"/>
      <c r="O247" s="442"/>
      <c r="P247" s="442"/>
      <c r="Q247" s="442"/>
      <c r="R247" s="442"/>
      <c r="S247" s="442"/>
      <c r="T247" s="442"/>
      <c r="U247" s="442"/>
      <c r="V247" s="442"/>
    </row>
    <row r="248" spans="10:22" ht="11.4">
      <c r="J248" s="442"/>
      <c r="K248" s="442"/>
      <c r="L248" s="442"/>
      <c r="M248" s="442"/>
      <c r="N248" s="442"/>
      <c r="O248" s="442"/>
      <c r="P248" s="442"/>
      <c r="Q248" s="442"/>
      <c r="R248" s="442"/>
      <c r="S248" s="442"/>
      <c r="T248" s="442"/>
      <c r="U248" s="442"/>
      <c r="V248" s="442"/>
    </row>
    <row r="249" spans="10:22" ht="11.4">
      <c r="J249" s="442"/>
      <c r="K249" s="442"/>
      <c r="L249" s="442"/>
      <c r="M249" s="442"/>
      <c r="N249" s="442"/>
      <c r="O249" s="442"/>
      <c r="P249" s="442"/>
      <c r="Q249" s="442"/>
      <c r="R249" s="442"/>
      <c r="S249" s="442"/>
      <c r="T249" s="442"/>
      <c r="U249" s="442"/>
      <c r="V249" s="442"/>
    </row>
    <row r="250" spans="10:22" ht="11.4">
      <c r="J250" s="442"/>
      <c r="K250" s="442"/>
      <c r="L250" s="442"/>
      <c r="M250" s="442"/>
      <c r="N250" s="442"/>
      <c r="O250" s="442"/>
      <c r="P250" s="442"/>
      <c r="Q250" s="442"/>
      <c r="R250" s="442"/>
      <c r="S250" s="442"/>
      <c r="T250" s="442"/>
      <c r="U250" s="442"/>
      <c r="V250" s="442"/>
    </row>
    <row r="251" spans="10:22" ht="11.4">
      <c r="J251" s="442"/>
      <c r="K251" s="442"/>
      <c r="L251" s="442"/>
      <c r="M251" s="442"/>
      <c r="N251" s="442"/>
      <c r="O251" s="442"/>
      <c r="P251" s="442"/>
      <c r="Q251" s="442"/>
      <c r="R251" s="442"/>
      <c r="S251" s="442"/>
      <c r="T251" s="442"/>
      <c r="U251" s="442"/>
      <c r="V251" s="442"/>
    </row>
    <row r="252" spans="10:22" ht="11.4">
      <c r="J252" s="442"/>
      <c r="K252" s="442"/>
      <c r="L252" s="442"/>
      <c r="M252" s="442"/>
      <c r="N252" s="442"/>
      <c r="O252" s="442"/>
      <c r="P252" s="442"/>
      <c r="Q252" s="442"/>
      <c r="R252" s="442"/>
      <c r="S252" s="442"/>
      <c r="T252" s="442"/>
      <c r="U252" s="442"/>
      <c r="V252" s="442"/>
    </row>
    <row r="253" spans="10:22" ht="11.4">
      <c r="J253" s="442"/>
      <c r="K253" s="442"/>
      <c r="L253" s="442"/>
      <c r="M253" s="442"/>
      <c r="N253" s="442"/>
      <c r="O253" s="442"/>
      <c r="P253" s="442"/>
      <c r="Q253" s="442"/>
      <c r="R253" s="442"/>
      <c r="S253" s="442"/>
      <c r="T253" s="442"/>
      <c r="U253" s="442"/>
      <c r="V253" s="442"/>
    </row>
    <row r="254" spans="10:22" ht="11.4">
      <c r="J254" s="442"/>
      <c r="K254" s="442"/>
      <c r="L254" s="442"/>
      <c r="M254" s="442"/>
      <c r="N254" s="442"/>
      <c r="O254" s="442"/>
      <c r="P254" s="442"/>
      <c r="Q254" s="442"/>
      <c r="R254" s="442"/>
      <c r="S254" s="442"/>
      <c r="T254" s="442"/>
      <c r="U254" s="442"/>
      <c r="V254" s="442"/>
    </row>
    <row r="255" spans="10:22" ht="11.4">
      <c r="J255" s="442"/>
      <c r="K255" s="442"/>
      <c r="L255" s="442"/>
      <c r="M255" s="442"/>
      <c r="N255" s="442"/>
      <c r="O255" s="442"/>
      <c r="P255" s="442"/>
      <c r="Q255" s="442"/>
      <c r="R255" s="442"/>
      <c r="S255" s="442"/>
      <c r="T255" s="442"/>
      <c r="U255" s="442"/>
      <c r="V255" s="442"/>
    </row>
    <row r="256" spans="10:22" ht="11.4">
      <c r="J256" s="442"/>
      <c r="K256" s="442"/>
      <c r="L256" s="442"/>
      <c r="M256" s="442"/>
      <c r="N256" s="442"/>
      <c r="O256" s="442"/>
      <c r="P256" s="442"/>
      <c r="Q256" s="442"/>
      <c r="R256" s="442"/>
      <c r="S256" s="442"/>
      <c r="T256" s="442"/>
      <c r="U256" s="442"/>
      <c r="V256" s="442"/>
    </row>
    <row r="257" spans="10:22" ht="11.4">
      <c r="J257" s="442"/>
      <c r="K257" s="442"/>
      <c r="L257" s="442"/>
      <c r="M257" s="442"/>
      <c r="N257" s="442"/>
      <c r="O257" s="442"/>
      <c r="P257" s="442"/>
      <c r="Q257" s="442"/>
      <c r="R257" s="442"/>
      <c r="S257" s="442"/>
      <c r="T257" s="442"/>
      <c r="U257" s="442"/>
      <c r="V257" s="442"/>
    </row>
    <row r="258" spans="10:22" ht="11.4">
      <c r="J258" s="442"/>
      <c r="K258" s="442"/>
      <c r="L258" s="442"/>
      <c r="M258" s="442"/>
      <c r="N258" s="442"/>
      <c r="O258" s="442"/>
      <c r="P258" s="442"/>
      <c r="Q258" s="442"/>
      <c r="R258" s="442"/>
      <c r="S258" s="442"/>
      <c r="T258" s="442"/>
      <c r="U258" s="442"/>
      <c r="V258" s="442"/>
    </row>
    <row r="259" spans="10:22" ht="11.4">
      <c r="J259" s="442"/>
      <c r="K259" s="442"/>
      <c r="L259" s="442"/>
      <c r="M259" s="442"/>
      <c r="N259" s="442"/>
      <c r="O259" s="442"/>
      <c r="P259" s="442"/>
      <c r="Q259" s="442"/>
      <c r="R259" s="442"/>
      <c r="S259" s="442"/>
      <c r="T259" s="442"/>
      <c r="U259" s="442"/>
      <c r="V259" s="442"/>
    </row>
    <row r="260" spans="10:22" ht="11.4">
      <c r="J260" s="442"/>
      <c r="K260" s="442"/>
      <c r="L260" s="442"/>
      <c r="M260" s="442"/>
      <c r="N260" s="442"/>
      <c r="O260" s="442"/>
      <c r="P260" s="442"/>
      <c r="Q260" s="442"/>
      <c r="R260" s="442"/>
      <c r="S260" s="442"/>
      <c r="T260" s="442"/>
      <c r="U260" s="442"/>
      <c r="V260" s="442"/>
    </row>
    <row r="261" spans="10:22" ht="11.4">
      <c r="J261" s="442"/>
      <c r="K261" s="442"/>
      <c r="L261" s="442"/>
      <c r="M261" s="442"/>
      <c r="N261" s="442"/>
      <c r="O261" s="442"/>
      <c r="P261" s="442"/>
      <c r="Q261" s="442"/>
      <c r="R261" s="442"/>
      <c r="S261" s="442"/>
      <c r="T261" s="442"/>
      <c r="U261" s="442"/>
      <c r="V261" s="442"/>
    </row>
    <row r="262" spans="10:22" ht="11.4">
      <c r="J262" s="442"/>
      <c r="K262" s="442"/>
      <c r="L262" s="442"/>
      <c r="M262" s="442"/>
      <c r="N262" s="442"/>
      <c r="O262" s="442"/>
      <c r="P262" s="442"/>
      <c r="Q262" s="442"/>
      <c r="R262" s="442"/>
      <c r="S262" s="442"/>
      <c r="T262" s="442"/>
      <c r="U262" s="442"/>
      <c r="V262" s="442"/>
    </row>
    <row r="263" spans="10:22" ht="11.4">
      <c r="J263" s="442"/>
      <c r="K263" s="442"/>
      <c r="L263" s="442"/>
      <c r="M263" s="442"/>
      <c r="N263" s="442"/>
      <c r="O263" s="442"/>
      <c r="P263" s="442"/>
      <c r="Q263" s="442"/>
      <c r="R263" s="442"/>
      <c r="S263" s="442"/>
      <c r="T263" s="442"/>
      <c r="U263" s="442"/>
      <c r="V263" s="442"/>
    </row>
    <row r="264" spans="10:22" ht="11.4">
      <c r="J264" s="442"/>
      <c r="K264" s="442"/>
      <c r="L264" s="442"/>
      <c r="M264" s="442"/>
      <c r="N264" s="442"/>
      <c r="O264" s="442"/>
      <c r="P264" s="442"/>
      <c r="Q264" s="442"/>
      <c r="R264" s="442"/>
      <c r="S264" s="442"/>
      <c r="T264" s="442"/>
      <c r="U264" s="442"/>
      <c r="V264" s="442"/>
    </row>
    <row r="265" spans="10:22" ht="11.4">
      <c r="J265" s="442"/>
      <c r="K265" s="442"/>
      <c r="L265" s="442"/>
      <c r="M265" s="442"/>
      <c r="N265" s="442"/>
      <c r="O265" s="442"/>
      <c r="P265" s="442"/>
      <c r="Q265" s="442"/>
      <c r="R265" s="442"/>
      <c r="S265" s="442"/>
      <c r="T265" s="442"/>
      <c r="U265" s="442"/>
      <c r="V265" s="442"/>
    </row>
    <row r="266" spans="10:22" ht="11.4">
      <c r="J266" s="442"/>
      <c r="K266" s="442"/>
      <c r="L266" s="442"/>
      <c r="M266" s="442"/>
      <c r="N266" s="442"/>
      <c r="O266" s="442"/>
      <c r="P266" s="442"/>
      <c r="Q266" s="442"/>
      <c r="R266" s="442"/>
      <c r="S266" s="442"/>
      <c r="T266" s="442"/>
      <c r="U266" s="442"/>
      <c r="V266" s="442"/>
    </row>
    <row r="267" spans="10:22" ht="11.4">
      <c r="J267" s="442"/>
      <c r="K267" s="442"/>
      <c r="L267" s="442"/>
      <c r="M267" s="442"/>
      <c r="N267" s="442"/>
      <c r="O267" s="442"/>
      <c r="P267" s="442"/>
      <c r="Q267" s="442"/>
      <c r="R267" s="442"/>
      <c r="S267" s="442"/>
      <c r="T267" s="442"/>
      <c r="U267" s="442"/>
      <c r="V267" s="442"/>
    </row>
    <row r="268" spans="10:22" ht="11.4">
      <c r="J268" s="442"/>
      <c r="K268" s="442"/>
      <c r="L268" s="442"/>
      <c r="M268" s="442"/>
      <c r="N268" s="442"/>
      <c r="O268" s="442"/>
      <c r="P268" s="442"/>
      <c r="Q268" s="442"/>
      <c r="R268" s="442"/>
      <c r="S268" s="442"/>
      <c r="T268" s="442"/>
      <c r="U268" s="442"/>
      <c r="V268" s="442"/>
    </row>
    <row r="269" spans="10:22" ht="11.4">
      <c r="J269" s="442"/>
      <c r="K269" s="442"/>
      <c r="L269" s="442"/>
      <c r="M269" s="442"/>
      <c r="N269" s="442"/>
      <c r="O269" s="442"/>
      <c r="P269" s="442"/>
      <c r="Q269" s="442"/>
      <c r="R269" s="442"/>
      <c r="S269" s="442"/>
      <c r="T269" s="442"/>
      <c r="U269" s="442"/>
      <c r="V269" s="442"/>
    </row>
    <row r="270" spans="10:22" ht="11.4">
      <c r="J270" s="442"/>
      <c r="K270" s="442"/>
      <c r="L270" s="442"/>
      <c r="M270" s="442"/>
      <c r="N270" s="442"/>
      <c r="O270" s="442"/>
      <c r="P270" s="442"/>
      <c r="Q270" s="442"/>
      <c r="R270" s="442"/>
      <c r="S270" s="442"/>
      <c r="T270" s="442"/>
      <c r="U270" s="442"/>
      <c r="V270" s="442"/>
    </row>
    <row r="271" spans="10:22" ht="11.4">
      <c r="J271" s="442"/>
      <c r="K271" s="442"/>
      <c r="L271" s="442"/>
      <c r="M271" s="442"/>
      <c r="N271" s="442"/>
      <c r="O271" s="442"/>
      <c r="P271" s="442"/>
      <c r="Q271" s="442"/>
      <c r="R271" s="442"/>
      <c r="S271" s="442"/>
      <c r="T271" s="442"/>
      <c r="U271" s="442"/>
      <c r="V271" s="442"/>
    </row>
  </sheetData>
  <sheetProtection formatCells="0" formatColumns="0" formatRows="0"/>
  <mergeCells count="58">
    <mergeCell ref="I58:I59"/>
    <mergeCell ref="I32:I33"/>
    <mergeCell ref="C58:C59"/>
    <mergeCell ref="D58:D59"/>
    <mergeCell ref="E58:E59"/>
    <mergeCell ref="I45:I46"/>
    <mergeCell ref="D45:D46"/>
    <mergeCell ref="G45:G46"/>
    <mergeCell ref="C45:C46"/>
    <mergeCell ref="F32:F33"/>
    <mergeCell ref="H58:H59"/>
    <mergeCell ref="D47:D48"/>
    <mergeCell ref="H45:H46"/>
    <mergeCell ref="H47:H48"/>
    <mergeCell ref="F58:F59"/>
    <mergeCell ref="G58:G59"/>
    <mergeCell ref="G47:G48"/>
    <mergeCell ref="F47:F48"/>
    <mergeCell ref="C34:C35"/>
    <mergeCell ref="D32:D33"/>
    <mergeCell ref="E47:E48"/>
    <mergeCell ref="I47:I48"/>
    <mergeCell ref="C47:C48"/>
    <mergeCell ref="C17:C19"/>
    <mergeCell ref="G32:G33"/>
    <mergeCell ref="E7:G7"/>
    <mergeCell ref="H32:H33"/>
    <mergeCell ref="C14:C16"/>
    <mergeCell ref="F34:F35"/>
    <mergeCell ref="E45:E46"/>
    <mergeCell ref="F45:F46"/>
    <mergeCell ref="E15:I24"/>
    <mergeCell ref="D34:D35"/>
    <mergeCell ref="I34:I35"/>
    <mergeCell ref="E34:E35"/>
    <mergeCell ref="G34:G35"/>
    <mergeCell ref="H34:H35"/>
    <mergeCell ref="K5:K7"/>
    <mergeCell ref="C32:C33"/>
    <mergeCell ref="E32:E33"/>
    <mergeCell ref="A27:I27"/>
    <mergeCell ref="C20:C21"/>
    <mergeCell ref="D5:E5"/>
    <mergeCell ref="A17:B19"/>
    <mergeCell ref="D17:D19"/>
    <mergeCell ref="A22:B22"/>
    <mergeCell ref="A23:B23"/>
    <mergeCell ref="A24:B24"/>
    <mergeCell ref="A11:A12"/>
    <mergeCell ref="A14:B16"/>
    <mergeCell ref="D14:D16"/>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formula1>0</formula1>
    </dataValidation>
  </dataValidations>
  <hyperlinks>
    <hyperlink ref="A9" location="Summ_Page1_StudentCount" display="1.  Student Count"/>
  </hyperlinks>
  <printOptions horizontalCentered="1"/>
  <pageMargins left="0.25" right="0.25" top="0.25" bottom="0.25" header="0" footer="0.25"/>
  <pageSetup scale="95" orientation="portrait" r:id="rId1"/>
  <headerFooter>
    <oddFooter>&amp;L&amp;"Times New Roman,Bold"&amp;9Rev. 5/23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showGridLines="0" tabSelected="1" topLeftCell="A14" workbookViewId="0">
      <selection activeCell="S31" sqref="S31"/>
    </sheetView>
  </sheetViews>
  <sheetFormatPr defaultColWidth="5.90625" defaultRowHeight="10.199999999999999"/>
  <cols>
    <col min="1" max="1" width="1.90625" style="886" customWidth="1"/>
    <col min="2" max="2" width="14.08984375" style="886" customWidth="1"/>
    <col min="3" max="3" width="10.54296875" style="886" customWidth="1"/>
    <col min="4" max="4" width="10.90625" style="886" customWidth="1"/>
    <col min="5" max="5" width="13" style="886" customWidth="1"/>
    <col min="6" max="6" width="13.08984375" style="886" customWidth="1"/>
    <col min="7" max="7" width="6" style="886" customWidth="1"/>
    <col min="8" max="8" width="5.08984375" style="886" customWidth="1"/>
    <col min="9" max="9" width="4.90625" style="886" customWidth="1"/>
    <col min="10" max="10" width="4" style="886" customWidth="1"/>
    <col min="11" max="11" width="5.90625" style="886" customWidth="1"/>
    <col min="12" max="12" width="25.54296875" style="886" customWidth="1"/>
    <col min="13" max="13" width="8" style="886" customWidth="1"/>
    <col min="14" max="14" width="8.453125" style="886" customWidth="1"/>
    <col min="15" max="16" width="5.90625" style="886" customWidth="1"/>
    <col min="17" max="16384" width="5.90625" style="886"/>
  </cols>
  <sheetData>
    <row r="1" spans="1:21" ht="12.75" customHeight="1">
      <c r="A1" s="1697"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697"/>
      <c r="C1" s="1697"/>
      <c r="D1" s="1697"/>
      <c r="E1" s="1697"/>
      <c r="F1" s="1697"/>
      <c r="G1" s="884"/>
      <c r="H1" s="885" t="s">
        <v>438</v>
      </c>
      <c r="I1" s="1695" t="str">
        <f>Cover!S1</f>
        <v>070438000</v>
      </c>
      <c r="J1" s="1696"/>
      <c r="K1" s="792"/>
      <c r="L1" s="1693" t="s">
        <v>585</v>
      </c>
      <c r="M1" s="1693"/>
      <c r="N1" s="1693"/>
      <c r="O1" s="792"/>
      <c r="P1" s="792"/>
      <c r="Q1" s="792"/>
      <c r="R1" s="792"/>
      <c r="S1" s="792"/>
      <c r="T1" s="792"/>
      <c r="U1" s="792"/>
    </row>
    <row r="2" spans="1:21" ht="12" customHeight="1">
      <c r="A2" s="1703" t="s">
        <v>586</v>
      </c>
      <c r="B2" s="1704"/>
      <c r="C2" s="1704"/>
      <c r="D2" s="1704"/>
      <c r="E2" s="1704"/>
      <c r="F2" s="1704"/>
      <c r="G2" s="884"/>
      <c r="H2" s="887" t="s">
        <v>74</v>
      </c>
      <c r="I2" s="1698" t="str">
        <f>Cover!C8</f>
        <v>Adopted</v>
      </c>
      <c r="J2" s="1699"/>
      <c r="K2" s="882"/>
      <c r="L2" s="1693"/>
      <c r="M2" s="1693"/>
      <c r="N2" s="1693"/>
      <c r="O2" s="792"/>
      <c r="P2" s="792"/>
      <c r="Q2" s="792"/>
      <c r="R2" s="792"/>
      <c r="S2" s="792"/>
      <c r="T2" s="792"/>
      <c r="U2" s="792"/>
    </row>
    <row r="3" spans="1:21" ht="9.75" customHeight="1">
      <c r="A3" s="848"/>
      <c r="B3" s="888"/>
      <c r="C3" s="1700" t="s">
        <v>44</v>
      </c>
      <c r="D3" s="1705"/>
      <c r="E3" s="889" t="s">
        <v>587</v>
      </c>
      <c r="F3" s="890" t="s">
        <v>588</v>
      </c>
      <c r="G3" s="884"/>
      <c r="H3" s="884"/>
      <c r="I3" s="884"/>
      <c r="J3" s="800"/>
      <c r="K3" s="891"/>
      <c r="L3" s="1694"/>
      <c r="M3" s="1694"/>
      <c r="N3" s="1694"/>
      <c r="O3" s="792"/>
      <c r="P3" s="792"/>
      <c r="Q3" s="792"/>
      <c r="R3" s="792"/>
      <c r="S3" s="792"/>
      <c r="T3" s="792"/>
      <c r="U3" s="792"/>
    </row>
    <row r="4" spans="1:21" ht="9" customHeight="1">
      <c r="A4" s="1714" t="s">
        <v>589</v>
      </c>
      <c r="B4" s="1715"/>
      <c r="C4" s="889"/>
      <c r="D4" s="854"/>
      <c r="E4" s="892" t="s">
        <v>572</v>
      </c>
      <c r="F4" s="893" t="s">
        <v>572</v>
      </c>
      <c r="G4" s="1702" t="str">
        <f>IF((F001TotalExp&gt;0)*AND(OR(TotalFTECertSubtotal=0,TotalFTEClassSubtotal=0)),"Incomplete: Please complete the Certified and Classified sections of the Proposed Staffing Table below."," ")</f>
        <v xml:space="preserve"> </v>
      </c>
      <c r="H4" s="1702"/>
      <c r="I4" s="1702"/>
      <c r="J4" s="1702"/>
      <c r="K4" s="891"/>
      <c r="L4" s="894" t="s">
        <v>590</v>
      </c>
      <c r="M4" s="895" t="s">
        <v>215</v>
      </c>
      <c r="N4" s="896" t="s">
        <v>216</v>
      </c>
      <c r="O4" s="792"/>
      <c r="P4" s="792"/>
      <c r="Q4" s="792"/>
      <c r="R4" s="792"/>
      <c r="S4" s="792"/>
      <c r="T4" s="792"/>
      <c r="U4" s="792"/>
    </row>
    <row r="5" spans="1:21" ht="10.5" customHeight="1">
      <c r="A5" s="897"/>
      <c r="B5" s="898"/>
      <c r="C5" s="899" t="s">
        <v>215</v>
      </c>
      <c r="D5" s="900" t="s">
        <v>216</v>
      </c>
      <c r="E5" s="900" t="s">
        <v>591</v>
      </c>
      <c r="F5" s="901" t="s">
        <v>215</v>
      </c>
      <c r="G5" s="1702"/>
      <c r="H5" s="1702"/>
      <c r="I5" s="1702"/>
      <c r="J5" s="1702"/>
      <c r="K5" s="799"/>
      <c r="L5" s="902" t="s">
        <v>354</v>
      </c>
      <c r="M5" s="903">
        <f>F050CurrFY</f>
        <v>0</v>
      </c>
      <c r="N5" s="904">
        <f>F050BudgFY</f>
        <v>0</v>
      </c>
      <c r="O5" s="792"/>
      <c r="P5" s="792"/>
      <c r="Q5" s="792"/>
      <c r="R5" s="792"/>
      <c r="S5" s="792"/>
      <c r="T5" s="792"/>
      <c r="U5" s="792"/>
    </row>
    <row r="6" spans="1:21" ht="10.5" customHeight="1">
      <c r="A6" s="862" t="s">
        <v>592</v>
      </c>
      <c r="B6" s="905"/>
      <c r="C6" s="862">
        <f>F001TotExpCurrFY</f>
        <v>43965655</v>
      </c>
      <c r="D6" s="862">
        <f>F001TotalExp</f>
        <v>46802338</v>
      </c>
      <c r="E6" s="906">
        <f t="shared" ref="E6:E14" si="0">D6-C6</f>
        <v>2836683</v>
      </c>
      <c r="F6" s="907">
        <f t="shared" ref="F6:F21" si="1">IF(C6=D6,0,IF(C6&gt;0,E6/C6,""))</f>
        <v>6.5000000000000002E-2</v>
      </c>
      <c r="G6" s="1702"/>
      <c r="H6" s="1702"/>
      <c r="I6" s="1702"/>
      <c r="J6" s="1702"/>
      <c r="K6" s="799"/>
      <c r="L6" s="902" t="s">
        <v>364</v>
      </c>
      <c r="M6" s="903">
        <f>F515CurrFY</f>
        <v>1600000</v>
      </c>
      <c r="N6" s="904">
        <f>F515BudgFY</f>
        <v>1800000</v>
      </c>
      <c r="O6" s="792"/>
      <c r="P6" s="792"/>
      <c r="Q6" s="792"/>
      <c r="R6" s="792"/>
      <c r="S6" s="792"/>
      <c r="T6" s="792"/>
      <c r="U6" s="792"/>
    </row>
    <row r="7" spans="1:21" ht="10.5" customHeight="1">
      <c r="A7" s="908" t="s">
        <v>593</v>
      </c>
      <c r="B7" s="905"/>
      <c r="C7" s="909">
        <f>F020TotCurrFY</f>
        <v>531180</v>
      </c>
      <c r="D7" s="909">
        <f>F020TotBudgFY</f>
        <v>510000</v>
      </c>
      <c r="E7" s="906">
        <f t="shared" si="0"/>
        <v>-21180</v>
      </c>
      <c r="F7" s="907">
        <f t="shared" si="1"/>
        <v>-0.04</v>
      </c>
      <c r="G7" s="1702"/>
      <c r="H7" s="1702"/>
      <c r="I7" s="1702"/>
      <c r="J7" s="1702"/>
      <c r="K7" s="799"/>
      <c r="L7" s="902" t="s">
        <v>366</v>
      </c>
      <c r="M7" s="903">
        <f>F520CurrFY</f>
        <v>6700000</v>
      </c>
      <c r="N7" s="904">
        <f>F520BudgFY</f>
        <v>6700000</v>
      </c>
      <c r="O7" s="792"/>
      <c r="P7" s="792"/>
      <c r="Q7" s="792"/>
      <c r="R7" s="792"/>
      <c r="S7" s="792"/>
      <c r="T7" s="792"/>
      <c r="U7" s="792"/>
    </row>
    <row r="8" spans="1:21" ht="10.5" customHeight="1">
      <c r="A8" s="910" t="s">
        <v>594</v>
      </c>
      <c r="B8" s="911"/>
      <c r="C8" s="909">
        <f>F071CurrFY</f>
        <v>0</v>
      </c>
      <c r="D8" s="871">
        <f>F071BudgFY</f>
        <v>0</v>
      </c>
      <c r="E8" s="906">
        <f t="shared" si="0"/>
        <v>0</v>
      </c>
      <c r="F8" s="907">
        <f t="shared" si="1"/>
        <v>0</v>
      </c>
      <c r="G8" s="1702"/>
      <c r="H8" s="1702"/>
      <c r="I8" s="1702"/>
      <c r="J8" s="1702"/>
      <c r="K8" s="799"/>
      <c r="L8" s="902" t="s">
        <v>370</v>
      </c>
      <c r="M8" s="903">
        <f>F526CurrFY</f>
        <v>900000</v>
      </c>
      <c r="N8" s="904">
        <f>F526BudgFY</f>
        <v>900000</v>
      </c>
      <c r="O8" s="792"/>
      <c r="P8" s="792"/>
      <c r="Q8" s="792"/>
      <c r="R8" s="792"/>
      <c r="S8" s="792"/>
      <c r="T8" s="792"/>
      <c r="U8" s="792"/>
    </row>
    <row r="9" spans="1:21" ht="12" customHeight="1">
      <c r="A9" s="908" t="s">
        <v>595</v>
      </c>
      <c r="B9" s="905"/>
      <c r="C9" s="909">
        <f>F072CurrFY</f>
        <v>0</v>
      </c>
      <c r="D9" s="871">
        <f>F072BudgFY</f>
        <v>0</v>
      </c>
      <c r="E9" s="912">
        <f t="shared" si="0"/>
        <v>0</v>
      </c>
      <c r="F9" s="913">
        <f t="shared" si="1"/>
        <v>0</v>
      </c>
      <c r="G9" s="1702"/>
      <c r="H9" s="1702"/>
      <c r="I9" s="1702"/>
      <c r="J9" s="1702"/>
      <c r="K9" s="914"/>
      <c r="L9" s="902" t="s">
        <v>372</v>
      </c>
      <c r="M9" s="903">
        <f>F530CurrFY</f>
        <v>175000</v>
      </c>
      <c r="N9" s="904">
        <f>F530BudgFY</f>
        <v>175000</v>
      </c>
      <c r="O9" s="792"/>
      <c r="P9" s="792"/>
      <c r="Q9" s="792"/>
      <c r="R9" s="792"/>
      <c r="S9" s="792"/>
      <c r="T9" s="792"/>
      <c r="U9" s="792"/>
    </row>
    <row r="10" spans="1:21" ht="12" customHeight="1">
      <c r="A10" s="915" t="s">
        <v>596</v>
      </c>
      <c r="B10" s="916"/>
      <c r="C10" s="839">
        <f>F010TotalExpPY</f>
        <v>7911969</v>
      </c>
      <c r="D10" s="839">
        <f>F010TotalExp</f>
        <v>8916772</v>
      </c>
      <c r="E10" s="912">
        <f>D10-C10</f>
        <v>1004803</v>
      </c>
      <c r="F10" s="913">
        <f t="shared" si="1"/>
        <v>0.127</v>
      </c>
      <c r="G10" s="1702"/>
      <c r="H10" s="1702"/>
      <c r="I10" s="1702"/>
      <c r="J10" s="1702"/>
      <c r="K10" s="914"/>
      <c r="L10" s="917" t="s">
        <v>374</v>
      </c>
      <c r="M10" s="903">
        <f>F535CurrFY</f>
        <v>0</v>
      </c>
      <c r="N10" s="904">
        <f>F535BudgFY</f>
        <v>0</v>
      </c>
      <c r="O10" s="792"/>
      <c r="P10" s="792"/>
      <c r="Q10" s="792"/>
      <c r="R10" s="792"/>
      <c r="S10" s="792"/>
      <c r="T10" s="792"/>
      <c r="U10" s="792"/>
    </row>
    <row r="11" spans="1:21" ht="12" customHeight="1">
      <c r="A11" s="918" t="s">
        <v>597</v>
      </c>
      <c r="B11" s="919"/>
      <c r="C11" s="866">
        <f>TotFedProjFundCurrFY</f>
        <v>8037674</v>
      </c>
      <c r="D11" s="866">
        <f>TotFedProjFundBudgFY</f>
        <v>6923000</v>
      </c>
      <c r="E11" s="866">
        <f t="shared" si="0"/>
        <v>-1114674</v>
      </c>
      <c r="F11" s="920">
        <f t="shared" si="1"/>
        <v>-0.13900000000000001</v>
      </c>
      <c r="G11" s="1702"/>
      <c r="H11" s="1702"/>
      <c r="I11" s="1702"/>
      <c r="J11" s="1702"/>
      <c r="K11" s="914"/>
      <c r="L11" s="921" t="s">
        <v>376</v>
      </c>
      <c r="M11" s="903">
        <f>F540CurrFY</f>
        <v>0</v>
      </c>
      <c r="N11" s="904">
        <f>F540BudgFY</f>
        <v>1200</v>
      </c>
      <c r="O11" s="792"/>
      <c r="P11" s="792"/>
      <c r="Q11" s="792"/>
      <c r="R11" s="792"/>
      <c r="S11" s="792"/>
      <c r="T11" s="792"/>
      <c r="U11" s="792"/>
    </row>
    <row r="12" spans="1:21" ht="12" customHeight="1">
      <c r="A12" s="922" t="s">
        <v>598</v>
      </c>
      <c r="B12" s="919"/>
      <c r="C12" s="865">
        <f>TotStateProjFundCurrFY</f>
        <v>237401</v>
      </c>
      <c r="D12" s="865">
        <f>TotStateProjFundBudgFY</f>
        <v>760000</v>
      </c>
      <c r="E12" s="865">
        <f t="shared" si="0"/>
        <v>522599</v>
      </c>
      <c r="F12" s="920">
        <f t="shared" si="1"/>
        <v>2.2010000000000001</v>
      </c>
      <c r="G12" s="1702"/>
      <c r="H12" s="1702"/>
      <c r="I12" s="1702"/>
      <c r="J12" s="1702"/>
      <c r="K12" s="914"/>
      <c r="L12" s="921" t="s">
        <v>378</v>
      </c>
      <c r="M12" s="903">
        <f>F545CurrFY</f>
        <v>0</v>
      </c>
      <c r="N12" s="904">
        <f>F545BudgFY</f>
        <v>0</v>
      </c>
      <c r="O12" s="792"/>
      <c r="P12" s="792"/>
      <c r="Q12" s="792"/>
      <c r="R12" s="792"/>
      <c r="S12" s="792"/>
      <c r="T12" s="792"/>
      <c r="U12" s="792"/>
    </row>
    <row r="13" spans="1:21" ht="12" customHeight="1">
      <c r="A13" s="918" t="s">
        <v>307</v>
      </c>
      <c r="B13" s="919"/>
      <c r="C13" s="865">
        <f>F610TotalCurrFY</f>
        <v>12295714</v>
      </c>
      <c r="D13" s="865">
        <f>F610TotalBudgFY</f>
        <v>12957684</v>
      </c>
      <c r="E13" s="865">
        <f t="shared" si="0"/>
        <v>661970</v>
      </c>
      <c r="F13" s="920">
        <f t="shared" si="1"/>
        <v>5.3999999999999999E-2</v>
      </c>
      <c r="G13" s="1702"/>
      <c r="H13" s="1702"/>
      <c r="I13" s="1702"/>
      <c r="J13" s="1702"/>
      <c r="K13" s="914"/>
      <c r="L13" s="902" t="s">
        <v>380</v>
      </c>
      <c r="M13" s="903">
        <f>F550CurrFY</f>
        <v>90000</v>
      </c>
      <c r="N13" s="904">
        <f>F550BudgFY</f>
        <v>112000</v>
      </c>
      <c r="O13" s="792"/>
      <c r="P13" s="792"/>
      <c r="Q13" s="792"/>
      <c r="R13" s="792"/>
      <c r="S13" s="792"/>
      <c r="T13" s="792"/>
      <c r="U13" s="792"/>
    </row>
    <row r="14" spans="1:21" ht="12" customHeight="1">
      <c r="A14" s="918" t="s">
        <v>599</v>
      </c>
      <c r="B14" s="919"/>
      <c r="C14" s="865">
        <f>F695TotalCurrFY</f>
        <v>0</v>
      </c>
      <c r="D14" s="865">
        <f>F695TotalBudgFY</f>
        <v>0</v>
      </c>
      <c r="E14" s="865">
        <f t="shared" si="0"/>
        <v>0</v>
      </c>
      <c r="F14" s="920">
        <f t="shared" si="1"/>
        <v>0</v>
      </c>
      <c r="G14" s="1702"/>
      <c r="H14" s="1702"/>
      <c r="I14" s="1702"/>
      <c r="J14" s="1702"/>
      <c r="K14" s="914"/>
      <c r="L14" s="902" t="s">
        <v>382</v>
      </c>
      <c r="M14" s="903">
        <f>F555CurrFY</f>
        <v>24000</v>
      </c>
      <c r="N14" s="904">
        <f>F555BudgFY</f>
        <v>25000</v>
      </c>
      <c r="O14" s="792"/>
      <c r="P14" s="792"/>
      <c r="Q14" s="792"/>
      <c r="R14" s="792"/>
      <c r="S14" s="792"/>
      <c r="T14" s="792"/>
      <c r="U14" s="792"/>
    </row>
    <row r="15" spans="1:21" ht="12" customHeight="1">
      <c r="A15" s="918" t="s">
        <v>600</v>
      </c>
      <c r="B15" s="919"/>
      <c r="C15" s="865">
        <f>F620TotalCurrFY</f>
        <v>2030594</v>
      </c>
      <c r="D15" s="865">
        <f>F620TotalBudgFY</f>
        <v>2060000</v>
      </c>
      <c r="E15" s="865">
        <f t="shared" ref="E15:E21" si="2">D15-C15</f>
        <v>29406</v>
      </c>
      <c r="F15" s="920">
        <f t="shared" si="1"/>
        <v>1.4E-2</v>
      </c>
      <c r="G15" s="799"/>
      <c r="H15" s="799"/>
      <c r="I15" s="799"/>
      <c r="J15" s="799"/>
      <c r="K15" s="914"/>
      <c r="L15" s="902" t="s">
        <v>384</v>
      </c>
      <c r="M15" s="903">
        <f>F565CurrFY</f>
        <v>900000</v>
      </c>
      <c r="N15" s="904">
        <f>F565BudgFY</f>
        <v>85000</v>
      </c>
      <c r="O15" s="792"/>
      <c r="P15" s="792"/>
      <c r="Q15" s="792"/>
      <c r="R15" s="792"/>
      <c r="S15" s="792"/>
      <c r="T15" s="792"/>
      <c r="U15" s="792"/>
    </row>
    <row r="16" spans="1:21" ht="12" customHeight="1">
      <c r="A16" s="918" t="s">
        <v>249</v>
      </c>
      <c r="B16" s="919"/>
      <c r="C16" s="865">
        <f>F700CurrFY</f>
        <v>17500000</v>
      </c>
      <c r="D16" s="865">
        <f>F700BudgFY</f>
        <v>16900000</v>
      </c>
      <c r="E16" s="865">
        <f t="shared" si="2"/>
        <v>-600000</v>
      </c>
      <c r="F16" s="920">
        <f t="shared" si="1"/>
        <v>-3.4000000000000002E-2</v>
      </c>
      <c r="G16" s="1702" t="str">
        <f>IF((F001P200Subtotal&gt;0)*AND(OR((SUM(TotalFTESpecEdTeacher+TotalFTESpecEdStaff=0,(SUM(SPEDTeacher+SPEDStaff=0)))))),"Incomplete: Please complete the Special Education section of the Proposed Staffing Table below."," ")</f>
        <v xml:space="preserve"> </v>
      </c>
      <c r="H16" s="1702"/>
      <c r="I16" s="1702"/>
      <c r="J16" s="1702"/>
      <c r="K16" s="799"/>
      <c r="L16" s="902" t="s">
        <v>386</v>
      </c>
      <c r="M16" s="903">
        <f>F570CurrFY</f>
        <v>800000</v>
      </c>
      <c r="N16" s="904">
        <f>F570BudgFY</f>
        <v>800000</v>
      </c>
      <c r="O16" s="792"/>
      <c r="P16" s="792"/>
      <c r="Q16" s="792"/>
      <c r="R16" s="792"/>
      <c r="S16" s="792"/>
      <c r="T16" s="792"/>
      <c r="U16" s="792"/>
    </row>
    <row r="17" spans="1:21" ht="12" customHeight="1">
      <c r="A17" s="386" t="s">
        <v>601</v>
      </c>
      <c r="B17" s="923"/>
      <c r="C17" s="871">
        <f>F500CurrFY</f>
        <v>1900000</v>
      </c>
      <c r="D17" s="865">
        <f>F500BudgFY</f>
        <v>2500000</v>
      </c>
      <c r="E17" s="865">
        <f t="shared" si="2"/>
        <v>600000</v>
      </c>
      <c r="F17" s="920">
        <f t="shared" si="1"/>
        <v>0.316</v>
      </c>
      <c r="G17" s="1702"/>
      <c r="H17" s="1702"/>
      <c r="I17" s="1702"/>
      <c r="J17" s="1702"/>
      <c r="K17" s="914"/>
      <c r="L17" s="902" t="s">
        <v>388</v>
      </c>
      <c r="M17" s="903">
        <f>F575CurrFY</f>
        <v>28000</v>
      </c>
      <c r="N17" s="904">
        <f>F575BudgFY</f>
        <v>28000</v>
      </c>
      <c r="O17" s="792"/>
      <c r="P17" s="792"/>
      <c r="Q17" s="792"/>
      <c r="R17" s="792"/>
      <c r="S17" s="792"/>
      <c r="T17" s="792"/>
      <c r="U17" s="792"/>
    </row>
    <row r="18" spans="1:21" ht="12" customHeight="1">
      <c r="A18" s="918" t="s">
        <v>602</v>
      </c>
      <c r="B18" s="919"/>
      <c r="C18" s="865">
        <f>F525CurrFY</f>
        <v>0</v>
      </c>
      <c r="D18" s="865">
        <f>F525BudgFY</f>
        <v>0</v>
      </c>
      <c r="E18" s="865">
        <f t="shared" si="2"/>
        <v>0</v>
      </c>
      <c r="F18" s="920">
        <f t="shared" si="1"/>
        <v>0</v>
      </c>
      <c r="G18" s="1702"/>
      <c r="H18" s="1702"/>
      <c r="I18" s="1702"/>
      <c r="J18" s="1702"/>
      <c r="K18" s="914"/>
      <c r="L18" s="902" t="s">
        <v>390</v>
      </c>
      <c r="M18" s="903">
        <f>F580CurrFY</f>
        <v>0</v>
      </c>
      <c r="N18" s="904">
        <f>F580BudgFY</f>
        <v>0</v>
      </c>
      <c r="O18" s="792"/>
      <c r="P18" s="792"/>
      <c r="Q18" s="792"/>
      <c r="R18" s="792"/>
      <c r="S18" s="792"/>
      <c r="T18" s="792"/>
      <c r="U18" s="792"/>
    </row>
    <row r="19" spans="1:21" ht="12" customHeight="1">
      <c r="A19" s="918" t="s">
        <v>603</v>
      </c>
      <c r="B19" s="919"/>
      <c r="C19" s="865">
        <f>F630TotalCurrFY</f>
        <v>81000000</v>
      </c>
      <c r="D19" s="865">
        <f>F630TotalBudgFY</f>
        <v>52000000</v>
      </c>
      <c r="E19" s="865">
        <f t="shared" si="2"/>
        <v>-29000000</v>
      </c>
      <c r="F19" s="920">
        <f t="shared" si="1"/>
        <v>-0.35799999999999998</v>
      </c>
      <c r="G19" s="1702"/>
      <c r="H19" s="1702"/>
      <c r="I19" s="1702"/>
      <c r="J19" s="1702"/>
      <c r="K19" s="914"/>
      <c r="L19" s="902" t="s">
        <v>392</v>
      </c>
      <c r="M19" s="903">
        <f>F585CurrFY</f>
        <v>0</v>
      </c>
      <c r="N19" s="904">
        <f>F585BudgFY</f>
        <v>0</v>
      </c>
      <c r="O19" s="792"/>
      <c r="P19" s="792"/>
      <c r="Q19" s="792"/>
      <c r="R19" s="792"/>
      <c r="S19" s="792"/>
      <c r="T19" s="792"/>
      <c r="U19" s="792"/>
    </row>
    <row r="20" spans="1:21" ht="12" customHeight="1">
      <c r="A20" s="918" t="s">
        <v>604</v>
      </c>
      <c r="B20" s="919"/>
      <c r="C20" s="865">
        <f>F510CurrFY</f>
        <v>3800000</v>
      </c>
      <c r="D20" s="865">
        <f>F510BudgFY</f>
        <v>3500000</v>
      </c>
      <c r="E20" s="865">
        <f t="shared" si="2"/>
        <v>-300000</v>
      </c>
      <c r="F20" s="920">
        <f t="shared" si="1"/>
        <v>-7.9000000000000001E-2</v>
      </c>
      <c r="G20" s="1702"/>
      <c r="H20" s="1702"/>
      <c r="I20" s="1702"/>
      <c r="J20" s="1702"/>
      <c r="K20" s="914"/>
      <c r="L20" s="921" t="s">
        <v>394</v>
      </c>
      <c r="M20" s="903">
        <f>F590CurrFY</f>
        <v>0</v>
      </c>
      <c r="N20" s="904">
        <f>F590BudgFY</f>
        <v>0</v>
      </c>
      <c r="O20" s="792"/>
      <c r="P20" s="792"/>
      <c r="Q20" s="792"/>
      <c r="R20" s="792"/>
      <c r="S20" s="792"/>
      <c r="T20" s="792"/>
      <c r="U20" s="792"/>
    </row>
    <row r="21" spans="1:21" ht="12" customHeight="1">
      <c r="A21" s="870" t="s">
        <v>147</v>
      </c>
      <c r="B21" s="924"/>
      <c r="C21" s="871">
        <f>M37</f>
        <v>11981000</v>
      </c>
      <c r="D21" s="871">
        <f>N37</f>
        <v>11264200</v>
      </c>
      <c r="E21" s="871">
        <f t="shared" si="2"/>
        <v>-716800</v>
      </c>
      <c r="F21" s="925">
        <f t="shared" si="1"/>
        <v>-0.06</v>
      </c>
      <c r="G21" s="1702"/>
      <c r="H21" s="1702"/>
      <c r="I21" s="1702"/>
      <c r="J21" s="1702"/>
      <c r="K21" s="914"/>
      <c r="L21" s="902" t="s">
        <v>396</v>
      </c>
      <c r="M21" s="903">
        <f>F595CurrFY</f>
        <v>34000</v>
      </c>
      <c r="N21" s="904">
        <f>F595BudgFY</f>
        <v>35000</v>
      </c>
      <c r="O21" s="792"/>
      <c r="P21" s="792"/>
      <c r="Q21" s="792"/>
      <c r="R21" s="792"/>
      <c r="S21" s="792"/>
      <c r="T21" s="792"/>
      <c r="U21" s="792"/>
    </row>
    <row r="22" spans="1:21" ht="12" customHeight="1">
      <c r="A22" s="792"/>
      <c r="B22" s="792"/>
      <c r="C22" s="792"/>
      <c r="D22" s="792"/>
      <c r="E22" s="792"/>
      <c r="F22" s="792"/>
      <c r="G22" s="1702"/>
      <c r="H22" s="1702"/>
      <c r="I22" s="1702"/>
      <c r="J22" s="1702"/>
      <c r="K22" s="914"/>
      <c r="L22" s="902" t="s">
        <v>398</v>
      </c>
      <c r="M22" s="903">
        <f>F596CurrFY</f>
        <v>0</v>
      </c>
      <c r="N22" s="904">
        <f>F596BudgFY</f>
        <v>0</v>
      </c>
      <c r="O22" s="792"/>
      <c r="P22" s="792"/>
      <c r="Q22" s="792"/>
      <c r="R22" s="792"/>
      <c r="S22" s="792"/>
      <c r="T22" s="792"/>
      <c r="U22" s="792"/>
    </row>
    <row r="23" spans="1:21" ht="12" customHeight="1">
      <c r="A23" s="1708" t="s">
        <v>605</v>
      </c>
      <c r="B23" s="1709"/>
      <c r="C23" s="1709"/>
      <c r="D23" s="1709"/>
      <c r="E23" s="1710"/>
      <c r="F23" s="926"/>
      <c r="G23" s="1702"/>
      <c r="H23" s="1702"/>
      <c r="I23" s="1702"/>
      <c r="J23" s="1702"/>
      <c r="K23" s="914"/>
      <c r="L23" s="917" t="s">
        <v>400</v>
      </c>
      <c r="M23" s="903">
        <f>F597CurrFY</f>
        <v>0</v>
      </c>
      <c r="N23" s="904">
        <f>F597BudgFY</f>
        <v>0</v>
      </c>
      <c r="O23" s="792"/>
      <c r="P23" s="792"/>
      <c r="Q23" s="792"/>
      <c r="R23" s="792"/>
      <c r="S23" s="792"/>
      <c r="T23" s="792"/>
      <c r="U23" s="792"/>
    </row>
    <row r="24" spans="1:21" ht="12" customHeight="1" thickBot="1">
      <c r="A24" s="1706" t="s">
        <v>606</v>
      </c>
      <c r="B24" s="1707"/>
      <c r="C24" s="1707"/>
      <c r="D24" s="900" t="s">
        <v>215</v>
      </c>
      <c r="E24" s="900" t="s">
        <v>216</v>
      </c>
      <c r="F24" s="792"/>
      <c r="G24" s="1702"/>
      <c r="H24" s="1702"/>
      <c r="I24" s="1702"/>
      <c r="J24" s="1702"/>
      <c r="K24" s="799"/>
      <c r="L24" s="921" t="s">
        <v>402</v>
      </c>
      <c r="M24" s="903">
        <f>F639CurrFY</f>
        <v>0</v>
      </c>
      <c r="N24" s="904">
        <f>F639BudgFY</f>
        <v>0</v>
      </c>
      <c r="O24" s="792"/>
      <c r="P24" s="792"/>
      <c r="Q24" s="792"/>
      <c r="R24" s="792"/>
      <c r="S24" s="792"/>
      <c r="T24" s="792"/>
      <c r="U24" s="792"/>
    </row>
    <row r="25" spans="1:21" ht="12" customHeight="1">
      <c r="A25" s="927" t="s">
        <v>217</v>
      </c>
      <c r="B25" s="928"/>
      <c r="C25" s="928"/>
      <c r="D25" s="929">
        <f>F001P200PYDisabilityTot</f>
        <v>6540300</v>
      </c>
      <c r="E25" s="929">
        <f>F001P200Subtotal</f>
        <v>7254300</v>
      </c>
      <c r="F25" s="792"/>
      <c r="G25" s="1702"/>
      <c r="H25" s="1702"/>
      <c r="I25" s="1702"/>
      <c r="J25" s="1702"/>
      <c r="K25" s="799"/>
      <c r="L25" s="921" t="s">
        <v>404</v>
      </c>
      <c r="M25" s="903">
        <f>F650CurrFY</f>
        <v>50000</v>
      </c>
      <c r="N25" s="904">
        <f>F650BudgFY</f>
        <v>40000</v>
      </c>
      <c r="O25" s="792"/>
      <c r="P25" s="792"/>
      <c r="Q25" s="792"/>
      <c r="R25" s="792"/>
      <c r="S25" s="792"/>
      <c r="T25" s="792"/>
      <c r="U25" s="792"/>
    </row>
    <row r="26" spans="1:21" ht="11.25" customHeight="1">
      <c r="A26" s="930" t="s">
        <v>219</v>
      </c>
      <c r="B26" s="800"/>
      <c r="C26" s="800"/>
      <c r="D26" s="870">
        <f>SPEDGiftedEdCurrFY</f>
        <v>675000</v>
      </c>
      <c r="E26" s="870">
        <f>SPEDGiftedEdBudgFY</f>
        <v>695000</v>
      </c>
      <c r="F26" s="792"/>
      <c r="G26" s="931"/>
      <c r="H26" s="800"/>
      <c r="I26" s="800"/>
      <c r="J26" s="800"/>
      <c r="K26" s="799"/>
      <c r="L26" s="921" t="s">
        <v>406</v>
      </c>
      <c r="M26" s="903">
        <f>F660CurrFY</f>
        <v>0</v>
      </c>
      <c r="N26" s="904">
        <f>F660BudgFY</f>
        <v>0</v>
      </c>
      <c r="O26" s="792"/>
      <c r="P26" s="792"/>
      <c r="Q26" s="792"/>
      <c r="R26" s="792"/>
      <c r="S26" s="792"/>
      <c r="T26" s="792"/>
      <c r="U26" s="792"/>
    </row>
    <row r="27" spans="1:21" ht="12" customHeight="1">
      <c r="A27" s="930" t="s">
        <v>221</v>
      </c>
      <c r="B27" s="800"/>
      <c r="C27" s="800"/>
      <c r="D27" s="870">
        <f>SPEDRemedialEdCurrFY</f>
        <v>0</v>
      </c>
      <c r="E27" s="870">
        <f>SPEDRemedialEdBudgFY</f>
        <v>0</v>
      </c>
      <c r="F27" s="792"/>
      <c r="G27" s="792"/>
      <c r="H27" s="792"/>
      <c r="I27" s="792"/>
      <c r="J27" s="792"/>
      <c r="K27" s="799"/>
      <c r="L27" s="921" t="s">
        <v>408</v>
      </c>
      <c r="M27" s="903">
        <f>F665CurrFY</f>
        <v>0</v>
      </c>
      <c r="N27" s="904">
        <f>F665BudgFY</f>
        <v>12000</v>
      </c>
      <c r="O27" s="792"/>
      <c r="P27" s="792"/>
      <c r="Q27" s="792"/>
      <c r="R27" s="792"/>
      <c r="S27" s="792"/>
      <c r="T27" s="792"/>
      <c r="U27" s="792"/>
    </row>
    <row r="28" spans="1:21" ht="12" customHeight="1">
      <c r="A28" s="932" t="s">
        <v>223</v>
      </c>
      <c r="B28" s="928"/>
      <c r="C28" s="928"/>
      <c r="D28" s="870">
        <f>SPEDELLIncCostCurrFY</f>
        <v>499000</v>
      </c>
      <c r="E28" s="870">
        <f>SPEDELLIncCostBudgFY</f>
        <v>400000</v>
      </c>
      <c r="F28" s="792"/>
      <c r="G28" s="792"/>
      <c r="H28" s="792"/>
      <c r="I28" s="792"/>
      <c r="J28" s="792"/>
      <c r="K28" s="799"/>
      <c r="L28" s="921" t="s">
        <v>410</v>
      </c>
      <c r="M28" s="903">
        <f>F686CurrFY</f>
        <v>0</v>
      </c>
      <c r="N28" s="904">
        <f>F686BudgFY</f>
        <v>0</v>
      </c>
      <c r="O28" s="792"/>
      <c r="P28" s="792"/>
      <c r="Q28" s="792"/>
      <c r="R28" s="792"/>
      <c r="S28" s="792"/>
      <c r="T28" s="792"/>
      <c r="U28" s="792"/>
    </row>
    <row r="29" spans="1:21" ht="12" customHeight="1">
      <c r="A29" s="932" t="s">
        <v>224</v>
      </c>
      <c r="B29" s="928"/>
      <c r="C29" s="928"/>
      <c r="D29" s="870">
        <f>SPEDELLCompInstrCurrFY</f>
        <v>0</v>
      </c>
      <c r="E29" s="870">
        <f>SPEDELLCompInstrBudgFY</f>
        <v>0</v>
      </c>
      <c r="F29" s="792"/>
      <c r="G29" s="792"/>
      <c r="H29" s="792"/>
      <c r="I29" s="792"/>
      <c r="J29" s="792"/>
      <c r="K29" s="799"/>
      <c r="L29" s="921" t="s">
        <v>412</v>
      </c>
      <c r="M29" s="933">
        <f>F691CurrFY</f>
        <v>360000</v>
      </c>
      <c r="N29" s="934">
        <f>F691BudgFY</f>
        <v>150000</v>
      </c>
      <c r="O29" s="792"/>
      <c r="P29" s="792"/>
      <c r="Q29" s="792"/>
      <c r="R29" s="792"/>
      <c r="S29" s="792"/>
      <c r="T29" s="792"/>
      <c r="U29" s="792"/>
    </row>
    <row r="30" spans="1:21" ht="12" customHeight="1">
      <c r="A30" s="930" t="s">
        <v>225</v>
      </c>
      <c r="B30" s="800"/>
      <c r="C30" s="800"/>
      <c r="D30" s="870">
        <f>SPEDVocTechEdCurrFY</f>
        <v>0</v>
      </c>
      <c r="E30" s="870">
        <f>SPEDVocTechEdBudgFY</f>
        <v>0</v>
      </c>
      <c r="F30" s="792"/>
      <c r="G30" s="792"/>
      <c r="H30" s="792"/>
      <c r="I30" s="792"/>
      <c r="J30" s="792"/>
      <c r="K30" s="792"/>
      <c r="L30" s="921" t="s">
        <v>418</v>
      </c>
      <c r="M30" s="933">
        <f>F720CurrFY</f>
        <v>0</v>
      </c>
      <c r="N30" s="934">
        <f>F720BudgFY</f>
        <v>0</v>
      </c>
      <c r="O30" s="935"/>
      <c r="P30" s="488"/>
      <c r="Q30" s="488"/>
      <c r="R30" s="488"/>
      <c r="S30" s="488"/>
      <c r="T30" s="488"/>
      <c r="U30" s="815"/>
    </row>
    <row r="31" spans="1:21" ht="12" customHeight="1">
      <c r="A31" s="930" t="s">
        <v>227</v>
      </c>
      <c r="B31" s="800"/>
      <c r="C31" s="800"/>
      <c r="D31" s="871">
        <f>SPEDCareerEdCurrFY</f>
        <v>0</v>
      </c>
      <c r="E31" s="871">
        <f>SPEDCareerEdBudgFY</f>
        <v>0</v>
      </c>
      <c r="F31" s="792"/>
      <c r="G31" s="792"/>
      <c r="H31" s="792"/>
      <c r="I31" s="792"/>
      <c r="J31" s="792"/>
      <c r="K31" s="792"/>
      <c r="L31" s="936" t="s">
        <v>421</v>
      </c>
      <c r="M31" s="933">
        <f>F850CurrFY</f>
        <v>80000</v>
      </c>
      <c r="N31" s="934">
        <f>F850BudgFY</f>
        <v>80000</v>
      </c>
      <c r="O31" s="935"/>
      <c r="P31" s="488"/>
      <c r="Q31" s="488"/>
      <c r="R31" s="488"/>
      <c r="S31" s="488"/>
      <c r="T31" s="488"/>
      <c r="U31" s="792"/>
    </row>
    <row r="32" spans="1:21" ht="12" customHeight="1" thickBot="1">
      <c r="A32" s="937" t="s">
        <v>229</v>
      </c>
      <c r="B32" s="928"/>
      <c r="C32" s="928"/>
      <c r="D32" s="938">
        <f t="array" ref="D32">[1]!SummCTEDBY</f>
        <v>0</v>
      </c>
      <c r="E32" s="938">
        <f>JTEDBudgFY</f>
        <v>0</v>
      </c>
      <c r="F32" s="792"/>
      <c r="G32" s="792"/>
      <c r="H32" s="792"/>
      <c r="I32" s="792"/>
      <c r="J32" s="792"/>
      <c r="K32" s="792"/>
      <c r="L32" s="902" t="str">
        <f>'Page 6'!O38</f>
        <v>Other _____________________________________</v>
      </c>
      <c r="M32" s="903">
        <f>OtherFundsCurrFY</f>
        <v>0</v>
      </c>
      <c r="N32" s="904">
        <f>OtherFundsBudgFY</f>
        <v>0</v>
      </c>
      <c r="O32" s="792"/>
      <c r="P32" s="792"/>
      <c r="Q32" s="792"/>
      <c r="R32" s="792"/>
      <c r="S32" s="792"/>
      <c r="T32" s="792"/>
      <c r="U32" s="792"/>
    </row>
    <row r="33" spans="1:21" ht="12" customHeight="1" thickBot="1">
      <c r="A33" s="939" t="s">
        <v>607</v>
      </c>
      <c r="B33" s="940"/>
      <c r="C33" s="940"/>
      <c r="D33" s="941">
        <f>SUM(D25:D32)</f>
        <v>7714300</v>
      </c>
      <c r="E33" s="941">
        <f>SUM(E25:E32)</f>
        <v>8349300</v>
      </c>
      <c r="F33" s="1716" t="str">
        <f>IF(SUM(E25:E32)=F001P200TotBudgFY,"","INVALID. The amount should equal the total budgeted amount reported on line 24, page 1.")</f>
        <v/>
      </c>
      <c r="G33" s="1716"/>
      <c r="H33" s="1716"/>
      <c r="I33" s="1716"/>
      <c r="J33" s="1716"/>
      <c r="K33" s="792"/>
      <c r="L33" s="942" t="str">
        <f>'Page 6'!O40</f>
        <v>9___ Self-Insurance</v>
      </c>
      <c r="M33" s="903">
        <f>F9__SelfInsCurrFY</f>
        <v>0</v>
      </c>
      <c r="N33" s="904">
        <f>F9__SelfInsBudgFY</f>
        <v>0</v>
      </c>
      <c r="O33" s="792"/>
      <c r="P33" s="792"/>
      <c r="Q33" s="792"/>
      <c r="R33" s="792"/>
      <c r="S33" s="792"/>
      <c r="T33" s="792"/>
      <c r="U33" s="792"/>
    </row>
    <row r="34" spans="1:21" ht="12" customHeight="1" thickTop="1">
      <c r="A34" s="792"/>
      <c r="B34" s="792"/>
      <c r="C34" s="792"/>
      <c r="D34" s="792"/>
      <c r="E34" s="792"/>
      <c r="F34" s="1716"/>
      <c r="G34" s="1716"/>
      <c r="H34" s="1716"/>
      <c r="I34" s="1716"/>
      <c r="J34" s="1716"/>
      <c r="K34" s="792"/>
      <c r="L34" s="921" t="s">
        <v>429</v>
      </c>
      <c r="M34" s="903">
        <f>F955CurrFY</f>
        <v>90000</v>
      </c>
      <c r="N34" s="904">
        <f>F955BudgFY</f>
        <v>131000</v>
      </c>
      <c r="O34" s="792"/>
      <c r="P34" s="792"/>
      <c r="Q34" s="792"/>
      <c r="R34" s="792"/>
      <c r="S34" s="792"/>
      <c r="T34" s="792"/>
      <c r="U34" s="792"/>
    </row>
    <row r="35" spans="1:21" ht="10.5" customHeight="1">
      <c r="A35" s="1711" t="s">
        <v>608</v>
      </c>
      <c r="B35" s="1712"/>
      <c r="C35" s="1712"/>
      <c r="D35" s="1712"/>
      <c r="E35" s="1712"/>
      <c r="F35" s="1712"/>
      <c r="G35" s="1712"/>
      <c r="H35" s="1713"/>
      <c r="I35" s="792"/>
      <c r="J35" s="792"/>
      <c r="K35" s="792"/>
      <c r="L35" s="902" t="str">
        <f>'Page 6'!O42</f>
        <v>9__  OPEB</v>
      </c>
      <c r="M35" s="903">
        <f>F9__OPEBCurrFY</f>
        <v>0</v>
      </c>
      <c r="N35" s="904">
        <f>F9__OPEBBudgFY</f>
        <v>0</v>
      </c>
      <c r="O35" s="792"/>
      <c r="P35" s="792"/>
      <c r="Q35" s="792"/>
      <c r="R35" s="792"/>
      <c r="S35" s="792"/>
      <c r="T35" s="792"/>
      <c r="U35" s="792"/>
    </row>
    <row r="36" spans="1:21" ht="21" customHeight="1">
      <c r="A36" s="855" t="s">
        <v>609</v>
      </c>
      <c r="B36" s="856"/>
      <c r="C36" s="856"/>
      <c r="D36" s="943" t="s">
        <v>610</v>
      </c>
      <c r="E36" s="944" t="s">
        <v>611</v>
      </c>
      <c r="F36" s="945" t="s">
        <v>612</v>
      </c>
      <c r="G36" s="1700" t="s">
        <v>613</v>
      </c>
      <c r="H36" s="1701"/>
      <c r="I36" s="792"/>
      <c r="J36" s="792"/>
      <c r="K36" s="792"/>
      <c r="L36" s="942" t="str">
        <f>'Page 6'!O43</f>
        <v>905 Transportation</v>
      </c>
      <c r="M36" s="903">
        <f>F9__OtherCurrFY</f>
        <v>150000</v>
      </c>
      <c r="N36" s="904">
        <f>F9__OtherBudgFY</f>
        <v>190000</v>
      </c>
      <c r="O36" s="792"/>
      <c r="P36" s="792"/>
      <c r="Q36" s="792"/>
      <c r="R36" s="792"/>
      <c r="S36" s="792"/>
      <c r="T36" s="792"/>
      <c r="U36" s="792"/>
    </row>
    <row r="37" spans="1:21" ht="12" customHeight="1">
      <c r="A37" s="946" t="s">
        <v>614</v>
      </c>
      <c r="B37" s="800"/>
      <c r="C37" s="800"/>
      <c r="D37" s="928"/>
      <c r="E37" s="928"/>
      <c r="F37" s="800"/>
      <c r="G37" s="940"/>
      <c r="H37" s="947"/>
      <c r="I37" s="792"/>
      <c r="J37" s="792"/>
      <c r="K37" s="792"/>
      <c r="L37" s="948" t="s">
        <v>615</v>
      </c>
      <c r="M37" s="949">
        <f>SUM(M5:M36)</f>
        <v>11981000</v>
      </c>
      <c r="N37" s="904">
        <f>SUM(N5:N36)</f>
        <v>11264200</v>
      </c>
      <c r="O37" s="792"/>
      <c r="P37" s="792"/>
      <c r="Q37" s="792"/>
      <c r="R37" s="792"/>
      <c r="S37" s="792"/>
      <c r="T37" s="792"/>
      <c r="U37" s="792"/>
    </row>
    <row r="38" spans="1:21" ht="12" customHeight="1">
      <c r="A38" s="930" t="s">
        <v>616</v>
      </c>
      <c r="B38" s="799"/>
      <c r="C38" s="799"/>
      <c r="D38" s="80">
        <v>0</v>
      </c>
      <c r="E38" s="80">
        <v>26</v>
      </c>
      <c r="F38" s="950">
        <f>D38+E38</f>
        <v>26</v>
      </c>
      <c r="G38" s="951" t="s">
        <v>617</v>
      </c>
      <c r="H38" s="952">
        <f>IF(F38&gt;0,ROUND(BudgetYearADM/F38,1)," ")</f>
        <v>202.3</v>
      </c>
      <c r="I38" s="792"/>
      <c r="J38" s="792"/>
      <c r="K38" s="792"/>
      <c r="L38" s="792"/>
      <c r="M38" s="792"/>
      <c r="N38" s="826"/>
      <c r="O38" s="792"/>
      <c r="P38" s="792"/>
      <c r="Q38" s="792"/>
      <c r="R38" s="792"/>
      <c r="S38" s="792"/>
      <c r="T38" s="792"/>
      <c r="U38" s="792"/>
    </row>
    <row r="39" spans="1:21" ht="12" customHeight="1">
      <c r="A39" s="930" t="s">
        <v>618</v>
      </c>
      <c r="B39" s="799"/>
      <c r="C39" s="799"/>
      <c r="D39" s="81">
        <v>5</v>
      </c>
      <c r="E39" s="80">
        <v>298</v>
      </c>
      <c r="F39" s="950">
        <f>D39+E39</f>
        <v>303</v>
      </c>
      <c r="G39" s="954" t="s">
        <v>617</v>
      </c>
      <c r="H39" s="952">
        <f>IF(F39&gt;0,ROUND(BudgetYearADM/F39,1)," ")</f>
        <v>17.399999999999999</v>
      </c>
      <c r="I39" s="792"/>
      <c r="J39" s="792"/>
      <c r="K39" s="792"/>
      <c r="L39" s="792"/>
      <c r="M39" s="792"/>
      <c r="N39" s="792"/>
      <c r="O39" s="792"/>
      <c r="P39" s="792"/>
      <c r="Q39" s="792"/>
      <c r="R39" s="792"/>
      <c r="S39" s="792"/>
      <c r="T39" s="792"/>
      <c r="U39" s="792"/>
    </row>
    <row r="40" spans="1:21" ht="12" customHeight="1">
      <c r="A40" s="930" t="s">
        <v>147</v>
      </c>
      <c r="B40" s="799"/>
      <c r="C40" s="799"/>
      <c r="D40" s="81">
        <v>0</v>
      </c>
      <c r="E40" s="81">
        <v>49</v>
      </c>
      <c r="F40" s="950">
        <f>D40+E40</f>
        <v>49</v>
      </c>
      <c r="G40" s="954" t="s">
        <v>617</v>
      </c>
      <c r="H40" s="952">
        <f>IF(F40&gt;0,ROUND(BudgetYearADM/F40,1)," ")</f>
        <v>107.3</v>
      </c>
      <c r="I40" s="792"/>
      <c r="J40" s="792"/>
      <c r="K40" s="792"/>
      <c r="L40" s="792"/>
      <c r="M40" s="792"/>
      <c r="N40" s="792"/>
      <c r="O40" s="792"/>
      <c r="P40" s="792"/>
      <c r="Q40" s="792"/>
      <c r="R40" s="792"/>
      <c r="S40" s="792"/>
      <c r="T40" s="792"/>
      <c r="U40" s="792"/>
    </row>
    <row r="41" spans="1:21" ht="12" customHeight="1">
      <c r="A41" s="955"/>
      <c r="B41" s="931" t="s">
        <v>619</v>
      </c>
      <c r="C41" s="931"/>
      <c r="D41" s="953">
        <f>SUM(D38:D40)</f>
        <v>5</v>
      </c>
      <c r="E41" s="953">
        <f>SUM(E38:E40)</f>
        <v>373</v>
      </c>
      <c r="F41" s="950">
        <f>D41+E41</f>
        <v>378</v>
      </c>
      <c r="G41" s="954" t="s">
        <v>617</v>
      </c>
      <c r="H41" s="952">
        <f>IF(F41&gt;0,ROUND(BudgetYearADM/F41,1)," ")</f>
        <v>13.9</v>
      </c>
      <c r="I41" s="792"/>
      <c r="J41" s="792"/>
      <c r="K41" s="792"/>
      <c r="L41" s="792"/>
      <c r="M41" s="792"/>
      <c r="N41" s="792"/>
      <c r="O41" s="792"/>
      <c r="P41" s="792"/>
      <c r="Q41" s="792"/>
      <c r="R41" s="792"/>
      <c r="S41" s="792"/>
      <c r="T41" s="792"/>
      <c r="U41" s="792"/>
    </row>
    <row r="42" spans="1:21" ht="12" customHeight="1">
      <c r="A42" s="930" t="s">
        <v>620</v>
      </c>
      <c r="B42" s="800"/>
      <c r="C42" s="800"/>
      <c r="D42" s="956"/>
      <c r="E42" s="956"/>
      <c r="F42" s="883"/>
      <c r="G42" s="957"/>
      <c r="H42" s="952"/>
      <c r="I42" s="792"/>
      <c r="J42" s="792"/>
      <c r="K42" s="792"/>
      <c r="L42" s="792"/>
      <c r="M42" s="792"/>
      <c r="N42" s="792"/>
      <c r="O42" s="792"/>
      <c r="P42" s="792"/>
      <c r="Q42" s="792"/>
      <c r="R42" s="792"/>
      <c r="S42" s="792"/>
      <c r="T42" s="792"/>
      <c r="U42" s="792"/>
    </row>
    <row r="43" spans="1:21" ht="12" customHeight="1">
      <c r="A43" s="930" t="s">
        <v>621</v>
      </c>
      <c r="B43" s="799"/>
      <c r="C43" s="799"/>
      <c r="D43" s="80">
        <v>0</v>
      </c>
      <c r="E43" s="80">
        <v>21</v>
      </c>
      <c r="F43" s="950">
        <f>D43+E43</f>
        <v>21</v>
      </c>
      <c r="G43" s="958" t="s">
        <v>617</v>
      </c>
      <c r="H43" s="952">
        <f>IF(F43&gt;0,ROUND(BudgetYearADM/F43,1)," ")</f>
        <v>250.4</v>
      </c>
      <c r="I43" s="792"/>
      <c r="J43" s="792"/>
      <c r="K43" s="792"/>
      <c r="L43" s="792"/>
      <c r="M43" s="792"/>
      <c r="N43" s="792"/>
      <c r="O43" s="792"/>
      <c r="P43" s="792"/>
      <c r="Q43" s="792"/>
      <c r="R43" s="792"/>
      <c r="S43" s="792"/>
      <c r="T43" s="792"/>
      <c r="U43" s="792"/>
    </row>
    <row r="44" spans="1:21">
      <c r="A44" s="930" t="s">
        <v>622</v>
      </c>
      <c r="B44" s="799"/>
      <c r="C44" s="799"/>
      <c r="D44" s="81">
        <v>0</v>
      </c>
      <c r="E44" s="80">
        <v>87</v>
      </c>
      <c r="F44" s="950">
        <f>D44+E44</f>
        <v>87</v>
      </c>
      <c r="G44" s="954" t="s">
        <v>617</v>
      </c>
      <c r="H44" s="952">
        <f>IF(F44&gt;0,ROUND(BudgetYearADM/F44,1)," ")</f>
        <v>60.5</v>
      </c>
      <c r="I44" s="792"/>
      <c r="J44" s="792"/>
      <c r="K44" s="792"/>
      <c r="L44" s="792"/>
      <c r="M44" s="792"/>
      <c r="N44" s="792"/>
      <c r="O44" s="792"/>
      <c r="P44" s="792"/>
      <c r="Q44" s="792"/>
      <c r="R44" s="792"/>
      <c r="S44" s="792"/>
      <c r="T44" s="792"/>
      <c r="U44" s="792"/>
    </row>
    <row r="45" spans="1:21" ht="12" customHeight="1">
      <c r="A45" s="959" t="s">
        <v>147</v>
      </c>
      <c r="B45" s="799"/>
      <c r="C45" s="799"/>
      <c r="D45" s="81">
        <v>0</v>
      </c>
      <c r="E45" s="80">
        <v>336</v>
      </c>
      <c r="F45" s="950">
        <f>D45+E45</f>
        <v>336</v>
      </c>
      <c r="G45" s="954" t="s">
        <v>617</v>
      </c>
      <c r="H45" s="952">
        <f>IF(F45&gt;0,ROUND(BudgetYearADM/F45,1)," ")</f>
        <v>15.7</v>
      </c>
      <c r="I45" s="799"/>
      <c r="J45" s="883"/>
      <c r="K45" s="960"/>
      <c r="L45" s="792"/>
      <c r="M45" s="792"/>
      <c r="N45" s="792"/>
      <c r="O45" s="792"/>
      <c r="P45" s="792"/>
      <c r="Q45" s="792"/>
      <c r="R45" s="792"/>
      <c r="S45" s="792"/>
      <c r="T45" s="792"/>
      <c r="U45" s="792"/>
    </row>
    <row r="46" spans="1:21" ht="12" customHeight="1">
      <c r="A46" s="961"/>
      <c r="B46" s="931" t="s">
        <v>619</v>
      </c>
      <c r="C46" s="931"/>
      <c r="D46" s="953">
        <f>SUM(D43:D45)</f>
        <v>0</v>
      </c>
      <c r="E46" s="953">
        <f>SUM(E43:E45)</f>
        <v>444</v>
      </c>
      <c r="F46" s="950">
        <f>D46+E46</f>
        <v>444</v>
      </c>
      <c r="G46" s="954" t="s">
        <v>617</v>
      </c>
      <c r="H46" s="952">
        <f>IF(F46&gt;0,ROUND(BudgetYearADM/F46,1)," ")</f>
        <v>11.8</v>
      </c>
      <c r="I46" s="792"/>
      <c r="J46" s="792"/>
      <c r="K46" s="792"/>
      <c r="L46" s="792"/>
      <c r="M46" s="792"/>
      <c r="N46" s="792"/>
      <c r="O46" s="792"/>
      <c r="P46" s="792"/>
      <c r="Q46" s="792"/>
      <c r="R46" s="792"/>
      <c r="S46" s="792"/>
      <c r="T46" s="792"/>
      <c r="U46" s="792"/>
    </row>
    <row r="47" spans="1:21" ht="12" customHeight="1">
      <c r="A47" s="962"/>
      <c r="B47" s="957" t="s">
        <v>571</v>
      </c>
      <c r="C47" s="963"/>
      <c r="D47" s="953">
        <f>D41+D46</f>
        <v>5</v>
      </c>
      <c r="E47" s="953">
        <f>E41+E46</f>
        <v>817</v>
      </c>
      <c r="F47" s="950">
        <f>D47+E47</f>
        <v>822</v>
      </c>
      <c r="G47" s="954" t="s">
        <v>617</v>
      </c>
      <c r="H47" s="952">
        <f>IF(F47&gt;0,ROUND(BudgetYearADM/F47,1)," ")</f>
        <v>6.4</v>
      </c>
      <c r="I47" s="964"/>
      <c r="J47" s="799"/>
      <c r="K47" s="799"/>
      <c r="L47" s="965"/>
      <c r="M47" s="792"/>
      <c r="N47" s="792"/>
      <c r="O47" s="792"/>
      <c r="P47" s="792"/>
      <c r="Q47" s="792"/>
      <c r="R47" s="792"/>
      <c r="S47" s="792"/>
      <c r="T47" s="792"/>
      <c r="U47" s="792"/>
    </row>
    <row r="48" spans="1:21" ht="6.75" customHeight="1">
      <c r="A48" s="966"/>
      <c r="B48" s="883"/>
      <c r="C48" s="883"/>
      <c r="D48" s="816"/>
      <c r="E48" s="816"/>
      <c r="F48" s="967"/>
      <c r="G48" s="960"/>
      <c r="H48" s="968"/>
      <c r="I48" s="799"/>
      <c r="J48" s="799"/>
      <c r="K48" s="799"/>
      <c r="L48" s="792"/>
      <c r="M48" s="792"/>
      <c r="N48" s="792"/>
      <c r="O48" s="792"/>
      <c r="P48" s="792"/>
      <c r="Q48" s="792"/>
      <c r="R48" s="792"/>
      <c r="S48" s="792"/>
      <c r="T48" s="792"/>
      <c r="U48" s="792"/>
    </row>
    <row r="49" spans="1:21" ht="12" customHeight="1">
      <c r="A49" s="966" t="s">
        <v>623</v>
      </c>
      <c r="B49" s="883"/>
      <c r="C49" s="883"/>
      <c r="D49" s="816"/>
      <c r="E49" s="816"/>
      <c r="F49" s="967"/>
      <c r="G49" s="960"/>
      <c r="H49" s="969"/>
      <c r="I49" s="799"/>
      <c r="J49" s="799"/>
      <c r="K49" s="799"/>
      <c r="L49" s="799"/>
      <c r="M49" s="792"/>
      <c r="N49" s="792"/>
      <c r="O49" s="792"/>
      <c r="P49" s="792"/>
      <c r="Q49" s="792"/>
      <c r="R49" s="792"/>
      <c r="S49" s="792"/>
      <c r="T49" s="792"/>
      <c r="U49" s="792"/>
    </row>
    <row r="50" spans="1:21" ht="10.5" customHeight="1">
      <c r="A50" s="966" t="s">
        <v>624</v>
      </c>
      <c r="B50" s="800"/>
      <c r="C50" s="800"/>
      <c r="D50" s="82">
        <v>0</v>
      </c>
      <c r="E50" s="83">
        <v>35</v>
      </c>
      <c r="F50" s="950">
        <f>D50+E50</f>
        <v>35</v>
      </c>
      <c r="G50" s="970" t="s">
        <v>625</v>
      </c>
      <c r="H50" s="971">
        <v>15</v>
      </c>
      <c r="I50" s="799"/>
      <c r="J50" s="799"/>
      <c r="K50" s="799"/>
      <c r="L50" s="799"/>
      <c r="M50" s="792"/>
      <c r="N50" s="792"/>
      <c r="O50" s="792"/>
      <c r="P50" s="792"/>
      <c r="Q50" s="792"/>
      <c r="R50" s="792"/>
      <c r="S50" s="792"/>
      <c r="T50" s="792"/>
      <c r="U50" s="792"/>
    </row>
    <row r="51" spans="1:21">
      <c r="A51" s="972" t="s">
        <v>626</v>
      </c>
      <c r="B51" s="973"/>
      <c r="C51" s="974"/>
      <c r="D51" s="82">
        <v>4</v>
      </c>
      <c r="E51" s="83">
        <v>51</v>
      </c>
      <c r="F51" s="950">
        <f>D51+E51</f>
        <v>55</v>
      </c>
      <c r="G51" s="970" t="s">
        <v>625</v>
      </c>
      <c r="H51" s="975">
        <v>10</v>
      </c>
      <c r="I51" s="882"/>
      <c r="J51" s="882"/>
      <c r="K51" s="882"/>
      <c r="L51" s="799"/>
      <c r="M51" s="792"/>
      <c r="N51" s="792"/>
      <c r="O51" s="792"/>
      <c r="P51" s="792"/>
      <c r="Q51" s="792"/>
      <c r="R51" s="792"/>
      <c r="S51" s="792"/>
      <c r="T51" s="792"/>
      <c r="U51" s="792"/>
    </row>
    <row r="52" spans="1:21">
      <c r="A52" s="792"/>
      <c r="B52" s="792"/>
      <c r="C52" s="792"/>
      <c r="D52" s="792"/>
      <c r="E52" s="792"/>
      <c r="F52" s="792"/>
      <c r="G52" s="792"/>
      <c r="H52" s="792"/>
      <c r="I52" s="792"/>
      <c r="J52" s="792"/>
      <c r="K52" s="799"/>
      <c r="L52" s="799"/>
      <c r="M52" s="792"/>
      <c r="N52" s="792"/>
      <c r="O52" s="792"/>
      <c r="P52" s="792"/>
      <c r="Q52" s="792"/>
      <c r="R52" s="792"/>
      <c r="S52" s="792"/>
      <c r="T52" s="792"/>
      <c r="U52" s="792"/>
    </row>
    <row r="53" spans="1:21">
      <c r="A53" s="792"/>
      <c r="B53" s="792"/>
      <c r="C53" s="792"/>
      <c r="D53" s="792"/>
      <c r="E53" s="792"/>
      <c r="F53" s="792"/>
      <c r="G53" s="792"/>
      <c r="H53" s="792"/>
      <c r="I53" s="792"/>
      <c r="J53" s="792"/>
      <c r="K53" s="799"/>
      <c r="L53" s="882"/>
      <c r="M53" s="792"/>
      <c r="N53" s="792"/>
      <c r="O53" s="792"/>
      <c r="P53" s="792"/>
      <c r="Q53" s="792"/>
      <c r="R53" s="792"/>
      <c r="S53" s="792"/>
      <c r="T53" s="792"/>
      <c r="U53" s="792"/>
    </row>
    <row r="54" spans="1:21">
      <c r="A54" s="792"/>
      <c r="B54" s="792"/>
      <c r="C54" s="792"/>
      <c r="D54" s="792"/>
      <c r="E54" s="792"/>
      <c r="F54" s="792"/>
      <c r="G54" s="792"/>
      <c r="H54" s="792"/>
      <c r="I54" s="792"/>
      <c r="J54" s="792"/>
      <c r="K54" s="799"/>
      <c r="L54" s="792"/>
      <c r="M54" s="792"/>
      <c r="N54" s="792"/>
      <c r="O54" s="792"/>
      <c r="P54" s="792"/>
      <c r="Q54" s="792"/>
      <c r="R54" s="792"/>
      <c r="S54" s="792"/>
      <c r="T54" s="792"/>
      <c r="U54" s="792"/>
    </row>
    <row r="55" spans="1:21">
      <c r="A55" s="792"/>
      <c r="B55" s="792"/>
      <c r="C55" s="792"/>
      <c r="D55" s="792"/>
      <c r="E55" s="792"/>
      <c r="F55" s="792"/>
      <c r="G55" s="792"/>
      <c r="H55" s="792"/>
      <c r="I55" s="792"/>
      <c r="J55" s="792"/>
      <c r="K55" s="967"/>
      <c r="L55" s="792"/>
      <c r="M55" s="792"/>
      <c r="N55" s="792"/>
      <c r="O55" s="792"/>
      <c r="P55" s="792"/>
      <c r="Q55" s="792"/>
      <c r="R55" s="792"/>
      <c r="S55" s="792"/>
      <c r="T55" s="792"/>
      <c r="U55" s="792"/>
    </row>
  </sheetData>
  <sheetProtection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5/23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showGridLines="0" workbookViewId="0">
      <selection activeCell="I6" sqref="I6"/>
    </sheetView>
  </sheetViews>
  <sheetFormatPr defaultColWidth="8.90625" defaultRowHeight="13.8"/>
  <cols>
    <col min="1" max="1" width="4" style="193" customWidth="1"/>
    <col min="2" max="2" width="1.54296875" style="193" customWidth="1"/>
    <col min="3" max="3" width="1.90625" style="193" customWidth="1"/>
    <col min="4" max="4" width="7.54296875" style="193" customWidth="1"/>
    <col min="5" max="5" width="27.453125" style="193" customWidth="1"/>
    <col min="6" max="6" width="1.453125" style="193" customWidth="1"/>
    <col min="7" max="7" width="12" style="193" customWidth="1"/>
    <col min="8" max="8" width="2.90625" style="193" customWidth="1"/>
    <col min="9" max="9" width="10" style="193" customWidth="1"/>
    <col min="10" max="10" width="3" style="193" customWidth="1"/>
    <col min="11" max="11" width="2.90625" style="193" customWidth="1"/>
    <col min="12" max="12" width="10" style="193" customWidth="1"/>
    <col min="13" max="13" width="3.90625" style="193" customWidth="1"/>
    <col min="14" max="14" width="6.453125" style="193" customWidth="1"/>
    <col min="15" max="16" width="8.90625" style="193" customWidth="1"/>
    <col min="17" max="16384" width="8.90625" style="193"/>
  </cols>
  <sheetData>
    <row r="1" spans="1:15" ht="15" customHeight="1">
      <c r="A1" s="327" t="s">
        <v>71</v>
      </c>
      <c r="B1" s="131"/>
      <c r="C1" s="122"/>
      <c r="E1" s="1719" t="str">
        <f>DistrictName</f>
        <v>MADISON ELEMENTARY SCHOOL DISTRICT</v>
      </c>
      <c r="F1" s="1719"/>
      <c r="G1" s="1719"/>
      <c r="H1" s="131"/>
      <c r="I1" s="1473" t="s">
        <v>73</v>
      </c>
      <c r="J1" s="1720"/>
      <c r="K1" s="1720"/>
      <c r="L1" s="126" t="str">
        <f>Cover!S1</f>
        <v>070438000</v>
      </c>
      <c r="M1" s="122"/>
      <c r="O1" s="177"/>
    </row>
    <row r="2" spans="1:15" ht="14.25" customHeight="1">
      <c r="A2" s="122"/>
      <c r="B2" s="122"/>
      <c r="C2" s="129"/>
      <c r="D2" s="129"/>
      <c r="E2" s="130"/>
      <c r="F2" s="130"/>
      <c r="G2" s="130"/>
      <c r="H2" s="130"/>
      <c r="I2" s="129"/>
      <c r="J2" s="132"/>
      <c r="K2" s="123" t="s">
        <v>74</v>
      </c>
      <c r="L2" s="976" t="str">
        <f>Cover!C8</f>
        <v>Adopted</v>
      </c>
      <c r="M2" s="122"/>
      <c r="N2" s="189"/>
      <c r="O2" s="177"/>
    </row>
    <row r="3" spans="1:15">
      <c r="A3" s="977" t="s">
        <v>627</v>
      </c>
      <c r="B3" s="136"/>
      <c r="C3" s="136"/>
      <c r="D3" s="136"/>
      <c r="E3" s="136"/>
      <c r="F3" s="136"/>
      <c r="G3" s="136"/>
      <c r="H3" s="136"/>
      <c r="I3" s="136"/>
      <c r="J3" s="136"/>
      <c r="K3" s="136"/>
      <c r="L3" s="136"/>
      <c r="M3" s="136"/>
      <c r="N3" s="194"/>
    </row>
    <row r="4" spans="1:15" ht="8.25" customHeight="1">
      <c r="A4" s="977"/>
      <c r="B4" s="136"/>
      <c r="C4" s="136"/>
      <c r="D4" s="136"/>
      <c r="E4" s="136"/>
      <c r="F4" s="136"/>
      <c r="G4" s="136"/>
      <c r="H4" s="136"/>
      <c r="I4" s="136"/>
      <c r="J4" s="136"/>
      <c r="K4" s="136"/>
      <c r="L4" s="136"/>
      <c r="M4" s="136"/>
      <c r="N4" s="194"/>
    </row>
    <row r="5" spans="1:15" ht="13.5" customHeight="1">
      <c r="A5" s="241" t="s">
        <v>6</v>
      </c>
      <c r="B5" s="136"/>
      <c r="C5" s="1420" t="s">
        <v>628</v>
      </c>
      <c r="D5" s="1420"/>
      <c r="E5" s="1420"/>
      <c r="F5" s="1420"/>
      <c r="G5" s="1420"/>
      <c r="H5" s="129" t="s">
        <v>450</v>
      </c>
      <c r="I5" s="685">
        <f>'[1]Truth in Tax'!$I$7+'[1]Truth in Tax'!$I$25</f>
        <v>0</v>
      </c>
      <c r="J5" s="136"/>
      <c r="K5" s="136"/>
      <c r="L5" s="136"/>
      <c r="M5" s="136"/>
      <c r="N5" s="194"/>
    </row>
    <row r="6" spans="1:15" ht="12" customHeight="1">
      <c r="A6" s="241" t="s">
        <v>9</v>
      </c>
      <c r="B6" s="136"/>
      <c r="C6" s="122" t="s">
        <v>629</v>
      </c>
      <c r="D6" s="122"/>
      <c r="E6" s="122"/>
      <c r="F6" s="1718" t="str">
        <f>IF(SUM(I11:I14)=0,IF(I7&gt;0,"No budget on lines 4 -7 below. Click here for Instructions",""),"")</f>
        <v/>
      </c>
      <c r="G6" s="1718"/>
      <c r="H6" s="129"/>
      <c r="I6" s="17"/>
      <c r="J6" s="136"/>
      <c r="K6" s="136"/>
      <c r="L6" s="136"/>
      <c r="M6" s="136"/>
      <c r="N6" s="194"/>
    </row>
    <row r="7" spans="1:15" ht="14.25" customHeight="1" thickBot="1">
      <c r="A7" s="233" t="s">
        <v>24</v>
      </c>
      <c r="B7" s="136"/>
      <c r="C7" s="122" t="s">
        <v>630</v>
      </c>
      <c r="D7" s="122"/>
      <c r="E7" s="122"/>
      <c r="F7" s="1718"/>
      <c r="G7" s="1718"/>
      <c r="H7" s="129" t="s">
        <v>450</v>
      </c>
      <c r="I7" s="978">
        <f>I5-I6</f>
        <v>0</v>
      </c>
      <c r="J7" s="136"/>
      <c r="K7" s="136"/>
      <c r="L7" s="136"/>
      <c r="M7" s="136"/>
      <c r="N7" s="194"/>
    </row>
    <row r="8" spans="1:15" ht="13.5" customHeight="1" thickTop="1">
      <c r="A8" s="233"/>
      <c r="B8" s="122"/>
      <c r="C8" s="695"/>
      <c r="D8" s="695"/>
      <c r="E8" s="695"/>
      <c r="F8" s="1718"/>
      <c r="G8" s="1718"/>
      <c r="H8" s="129"/>
      <c r="I8" s="246"/>
      <c r="J8" s="122"/>
      <c r="K8" s="1723" t="s">
        <v>631</v>
      </c>
      <c r="L8" s="1723"/>
      <c r="M8" s="1723"/>
      <c r="N8" s="979"/>
    </row>
    <row r="9" spans="1:15" ht="13.5" customHeight="1">
      <c r="A9" s="150" t="s">
        <v>632</v>
      </c>
      <c r="B9" s="122"/>
      <c r="D9" s="150"/>
      <c r="E9" s="122"/>
      <c r="F9" s="122"/>
      <c r="G9" s="122"/>
      <c r="H9" s="122"/>
      <c r="I9" s="246"/>
      <c r="J9" s="977"/>
      <c r="K9" s="1723"/>
      <c r="L9" s="1723"/>
      <c r="M9" s="1723"/>
      <c r="N9" s="979"/>
    </row>
    <row r="10" spans="1:15" ht="7.5" customHeight="1">
      <c r="A10" s="129"/>
      <c r="B10" s="122"/>
      <c r="C10" s="122"/>
      <c r="D10" s="122"/>
      <c r="E10" s="122"/>
      <c r="F10" s="122"/>
      <c r="G10" s="122"/>
      <c r="H10" s="122"/>
      <c r="I10" s="246"/>
      <c r="J10" s="977"/>
      <c r="K10" s="1723"/>
      <c r="L10" s="1723"/>
      <c r="M10" s="1723"/>
      <c r="N10" s="979"/>
    </row>
    <row r="11" spans="1:15" ht="13.5" customHeight="1">
      <c r="A11" s="980" t="s">
        <v>51</v>
      </c>
      <c r="B11" s="122"/>
      <c r="C11" s="1724" t="s">
        <v>633</v>
      </c>
      <c r="D11" s="1724"/>
      <c r="E11" s="1724"/>
      <c r="F11" s="155"/>
      <c r="G11" s="155"/>
      <c r="H11" s="129" t="s">
        <v>450</v>
      </c>
      <c r="I11" s="685">
        <v>0</v>
      </c>
      <c r="J11" s="122"/>
      <c r="K11" s="129"/>
      <c r="L11" s="981" t="str">
        <f>IF(ISERROR(I11/$I$35),"",I11/$I$35)</f>
        <v/>
      </c>
      <c r="M11" s="122"/>
      <c r="N11" s="194"/>
    </row>
    <row r="12" spans="1:15" ht="13.5" customHeight="1">
      <c r="A12" s="474" t="s">
        <v>166</v>
      </c>
      <c r="B12" s="122"/>
      <c r="C12" s="122" t="s">
        <v>634</v>
      </c>
      <c r="D12" s="122"/>
      <c r="E12" s="122"/>
      <c r="F12" s="122"/>
      <c r="G12" s="122"/>
      <c r="H12" s="129"/>
      <c r="I12" s="492">
        <f>F001P530</f>
        <v>0</v>
      </c>
      <c r="J12" s="122"/>
      <c r="K12" s="129"/>
      <c r="L12" s="981" t="str">
        <f>IF(ISERROR(I12/$I$35),"",I12/$I$35)</f>
        <v/>
      </c>
      <c r="M12" s="122"/>
      <c r="N12" s="194"/>
    </row>
    <row r="13" spans="1:15" ht="13.5" customHeight="1">
      <c r="A13" s="474" t="s">
        <v>168</v>
      </c>
      <c r="B13" s="122"/>
      <c r="C13" s="1625" t="s">
        <v>635</v>
      </c>
      <c r="D13" s="1625"/>
      <c r="E13" s="1625"/>
      <c r="F13" s="1625"/>
      <c r="G13" s="1625"/>
      <c r="H13" s="129"/>
      <c r="I13" s="685">
        <v>0</v>
      </c>
      <c r="J13" s="122"/>
      <c r="K13" s="129"/>
      <c r="L13" s="981" t="str">
        <f>IF(ISERROR(I13/$I$35),"",I13/$I$35)</f>
        <v/>
      </c>
      <c r="M13" s="122"/>
      <c r="N13" s="194"/>
    </row>
    <row r="14" spans="1:15" ht="13.5" customHeight="1">
      <c r="A14" s="474" t="s">
        <v>170</v>
      </c>
      <c r="B14" s="122"/>
      <c r="C14" s="122" t="s">
        <v>636</v>
      </c>
      <c r="D14" s="122"/>
      <c r="E14" s="122"/>
      <c r="F14" s="122"/>
      <c r="G14" s="122"/>
      <c r="H14" s="129" t="s">
        <v>450</v>
      </c>
      <c r="I14" s="685">
        <f>SSA_MO+SSA_UCO</f>
        <v>0</v>
      </c>
      <c r="J14" s="122"/>
      <c r="K14" s="129"/>
      <c r="L14" s="981" t="str">
        <f>IF(ISERROR(I14/$I$35),"",I14/$I$35)</f>
        <v/>
      </c>
      <c r="M14" s="122"/>
      <c r="N14" s="194"/>
    </row>
    <row r="15" spans="1:15" ht="20.25" customHeight="1">
      <c r="A15" s="982" t="s">
        <v>637</v>
      </c>
      <c r="B15" s="122"/>
      <c r="D15" s="122"/>
      <c r="E15" s="122"/>
      <c r="F15" s="122"/>
      <c r="G15" s="122"/>
      <c r="H15" s="129"/>
      <c r="I15" s="687"/>
      <c r="J15" s="122"/>
      <c r="K15" s="129"/>
      <c r="L15" s="142"/>
      <c r="M15" s="122"/>
      <c r="N15" s="194"/>
    </row>
    <row r="16" spans="1:15" ht="24" customHeight="1">
      <c r="A16" s="980" t="s">
        <v>172</v>
      </c>
      <c r="B16" s="122"/>
      <c r="C16" s="1717" t="s">
        <v>638</v>
      </c>
      <c r="D16" s="1717"/>
      <c r="E16" s="1717"/>
      <c r="F16" s="1717"/>
      <c r="G16" s="1717"/>
      <c r="H16" s="129"/>
      <c r="I16" s="423"/>
      <c r="J16" s="122"/>
      <c r="K16" s="129"/>
      <c r="L16" s="142"/>
      <c r="M16" s="122"/>
      <c r="N16" s="194"/>
    </row>
    <row r="17" spans="1:14" ht="13.5" customHeight="1">
      <c r="A17" s="980"/>
      <c r="B17" s="122"/>
      <c r="C17" s="983" t="s">
        <v>639</v>
      </c>
      <c r="D17" s="153" t="s">
        <v>640</v>
      </c>
      <c r="E17" s="984"/>
      <c r="F17" s="984" t="s">
        <v>450</v>
      </c>
      <c r="G17" s="32"/>
      <c r="H17" s="129"/>
      <c r="I17" s="423"/>
      <c r="J17" s="122"/>
      <c r="K17" s="129"/>
    </row>
    <row r="18" spans="1:14" ht="25.5" customHeight="1">
      <c r="A18" s="980"/>
      <c r="B18" s="122"/>
      <c r="C18" s="153" t="s">
        <v>641</v>
      </c>
      <c r="D18" s="1519" t="s">
        <v>642</v>
      </c>
      <c r="E18" s="1519"/>
      <c r="F18" s="487"/>
      <c r="G18" s="685">
        <f>SUM('[1]Truth in Tax'!$I$11:$I$13)</f>
        <v>0</v>
      </c>
      <c r="H18" s="129"/>
      <c r="I18" s="423"/>
      <c r="J18" s="122"/>
      <c r="K18" s="129"/>
      <c r="L18" s="142"/>
      <c r="M18" s="122"/>
      <c r="N18" s="194"/>
    </row>
    <row r="19" spans="1:14" ht="13.5" customHeight="1">
      <c r="A19" s="474"/>
      <c r="B19" s="122"/>
      <c r="C19" s="153" t="s">
        <v>643</v>
      </c>
      <c r="D19" s="1727" t="s">
        <v>644</v>
      </c>
      <c r="E19" s="1727"/>
      <c r="F19" s="1727"/>
      <c r="G19" s="1727"/>
      <c r="H19" s="129" t="s">
        <v>450</v>
      </c>
      <c r="I19" s="685">
        <f>IF(G17&lt;&gt;0,G17-G18,0)</f>
        <v>0</v>
      </c>
      <c r="J19" s="122"/>
      <c r="K19" s="129"/>
    </row>
    <row r="20" spans="1:14" ht="13.5" customHeight="1">
      <c r="A20" s="474" t="s">
        <v>174</v>
      </c>
      <c r="B20" s="122"/>
      <c r="C20" s="122" t="s">
        <v>645</v>
      </c>
      <c r="D20" s="130"/>
      <c r="E20" s="130"/>
      <c r="F20" s="130"/>
      <c r="G20" s="130"/>
      <c r="H20" s="129"/>
      <c r="I20" s="687"/>
      <c r="J20" s="122"/>
      <c r="K20" s="129"/>
    </row>
    <row r="21" spans="1:14" ht="13.5" customHeight="1">
      <c r="A21" s="474"/>
      <c r="B21" s="122"/>
      <c r="C21" s="122" t="s">
        <v>639</v>
      </c>
      <c r="D21" s="122" t="s">
        <v>646</v>
      </c>
      <c r="E21" s="129"/>
      <c r="F21" s="129" t="s">
        <v>450</v>
      </c>
      <c r="G21" s="32"/>
      <c r="H21" s="129"/>
      <c r="I21" s="423"/>
      <c r="J21" s="122"/>
      <c r="K21" s="129"/>
      <c r="L21" s="122"/>
      <c r="M21" s="122"/>
      <c r="N21" s="194"/>
    </row>
    <row r="22" spans="1:14" ht="24" customHeight="1">
      <c r="A22" s="980"/>
      <c r="B22" s="122"/>
      <c r="C22" s="153" t="s">
        <v>641</v>
      </c>
      <c r="D22" s="1717" t="s">
        <v>647</v>
      </c>
      <c r="E22" s="1717"/>
      <c r="F22" s="251" t="s">
        <v>450</v>
      </c>
      <c r="G22" s="685">
        <f>'[1]Truth in Tax'!$I$14</f>
        <v>0</v>
      </c>
      <c r="H22" s="129"/>
      <c r="I22" s="423"/>
      <c r="J22" s="122"/>
      <c r="K22" s="129"/>
      <c r="L22" s="122"/>
      <c r="M22" s="122"/>
      <c r="N22" s="194"/>
    </row>
    <row r="23" spans="1:14" ht="25.5" customHeight="1">
      <c r="A23" s="474"/>
      <c r="B23" s="122"/>
      <c r="C23" s="153" t="s">
        <v>643</v>
      </c>
      <c r="D23" s="1717" t="s">
        <v>648</v>
      </c>
      <c r="E23" s="1717"/>
      <c r="F23" s="251"/>
      <c r="G23" s="122"/>
      <c r="H23" s="129" t="s">
        <v>450</v>
      </c>
      <c r="I23" s="685">
        <f>IF(G21&lt;&gt;0,G21-G22,0)</f>
        <v>0</v>
      </c>
      <c r="J23" s="122"/>
      <c r="K23" s="129"/>
      <c r="L23" s="122"/>
      <c r="M23" s="122"/>
      <c r="N23" s="194"/>
    </row>
    <row r="24" spans="1:14" ht="13.5" customHeight="1" thickBot="1">
      <c r="A24" s="474" t="s">
        <v>176</v>
      </c>
      <c r="B24" s="122"/>
      <c r="C24" s="122" t="s">
        <v>649</v>
      </c>
      <c r="D24" s="122"/>
      <c r="E24" s="122"/>
      <c r="F24" s="122"/>
      <c r="G24" s="122"/>
      <c r="H24" s="129" t="s">
        <v>450</v>
      </c>
      <c r="I24" s="986">
        <f>SUM(I11:I14)+I19+I23</f>
        <v>0</v>
      </c>
      <c r="J24" s="122"/>
      <c r="K24" s="122"/>
      <c r="L24" s="987"/>
      <c r="M24" s="122"/>
      <c r="N24" s="194"/>
    </row>
    <row r="25" spans="1:14" ht="13.5" customHeight="1" thickTop="1">
      <c r="A25" s="474" t="s">
        <v>178</v>
      </c>
      <c r="B25" s="122"/>
      <c r="C25" s="122" t="s">
        <v>650</v>
      </c>
      <c r="D25" s="122"/>
      <c r="E25" s="122"/>
      <c r="F25" s="122"/>
      <c r="G25" s="122"/>
      <c r="H25" s="122"/>
      <c r="I25" s="1725">
        <f>IF(I24-I7&gt;0,I24-I7,0)</f>
        <v>0</v>
      </c>
      <c r="J25" s="122"/>
      <c r="K25" s="122"/>
      <c r="L25" s="987"/>
      <c r="M25" s="122"/>
      <c r="N25" s="194"/>
    </row>
    <row r="26" spans="1:14" ht="13.5" customHeight="1" thickBot="1">
      <c r="A26" s="233"/>
      <c r="B26" s="122"/>
      <c r="C26" s="122" t="s">
        <v>651</v>
      </c>
      <c r="D26" s="122"/>
      <c r="E26" s="122"/>
      <c r="F26" s="122"/>
      <c r="G26" s="122"/>
      <c r="H26" s="129" t="s">
        <v>450</v>
      </c>
      <c r="I26" s="1726"/>
      <c r="J26" s="122"/>
      <c r="K26" s="122"/>
      <c r="L26" s="987"/>
      <c r="M26" s="122"/>
      <c r="N26" s="194"/>
    </row>
    <row r="27" spans="1:14" ht="7.5" customHeight="1" thickTop="1">
      <c r="A27" s="233"/>
      <c r="B27" s="122"/>
      <c r="C27" s="122"/>
      <c r="D27" s="122"/>
      <c r="E27" s="122"/>
      <c r="F27" s="122"/>
      <c r="G27" s="122"/>
      <c r="H27" s="122"/>
      <c r="I27" s="246"/>
      <c r="J27" s="122"/>
      <c r="K27" s="122"/>
      <c r="L27" s="987"/>
      <c r="M27" s="122"/>
      <c r="N27" s="194"/>
    </row>
    <row r="28" spans="1:14" ht="13.5" customHeight="1">
      <c r="A28" s="474" t="s">
        <v>180</v>
      </c>
      <c r="B28" s="122"/>
      <c r="C28" s="122" t="s">
        <v>652</v>
      </c>
      <c r="D28" s="122"/>
      <c r="E28" s="122"/>
      <c r="F28" s="122"/>
      <c r="G28" s="122"/>
      <c r="H28" s="122"/>
      <c r="I28" s="246"/>
      <c r="J28" s="122"/>
      <c r="K28" s="122"/>
      <c r="L28" s="987"/>
      <c r="M28" s="122"/>
      <c r="N28" s="194"/>
    </row>
    <row r="29" spans="1:14" ht="12" customHeight="1">
      <c r="A29" s="129"/>
      <c r="B29" s="122"/>
      <c r="C29" s="122" t="s">
        <v>653</v>
      </c>
      <c r="D29" s="122"/>
      <c r="E29" s="122"/>
      <c r="F29" s="122"/>
      <c r="G29" s="122"/>
      <c r="H29" s="129" t="s">
        <v>450</v>
      </c>
      <c r="I29" s="985">
        <f>AdjWaysLevy</f>
        <v>0</v>
      </c>
      <c r="J29" s="122"/>
      <c r="K29" s="129"/>
      <c r="L29" s="981" t="str">
        <f>IF(ISERROR(I29/$I$35),"",I29/$I$35)</f>
        <v/>
      </c>
      <c r="M29" s="122"/>
      <c r="N29" s="194"/>
    </row>
    <row r="30" spans="1:14" ht="13.5" customHeight="1">
      <c r="A30" s="474" t="s">
        <v>182</v>
      </c>
      <c r="B30" s="122"/>
      <c r="C30" s="122" t="s">
        <v>654</v>
      </c>
      <c r="D30" s="122"/>
      <c r="E30" s="122"/>
      <c r="F30" s="122"/>
      <c r="G30" s="122"/>
      <c r="H30" s="122"/>
      <c r="I30" s="423"/>
      <c r="J30" s="122"/>
      <c r="K30" s="122"/>
      <c r="L30" s="142"/>
      <c r="M30" s="122"/>
      <c r="N30" s="194"/>
    </row>
    <row r="31" spans="1:14" ht="12" customHeight="1">
      <c r="A31" s="122"/>
      <c r="B31" s="122"/>
      <c r="C31" s="122" t="s">
        <v>655</v>
      </c>
      <c r="D31" s="122"/>
      <c r="E31" s="122"/>
      <c r="F31" s="122"/>
      <c r="G31" s="122"/>
      <c r="H31" s="129" t="s">
        <v>450</v>
      </c>
      <c r="I31" s="32"/>
      <c r="J31" s="122"/>
      <c r="K31" s="129"/>
      <c r="L31" s="981" t="str">
        <f>IF(ISERROR(I31/$I$35),"",I31/$I$35)</f>
        <v/>
      </c>
      <c r="M31" s="122"/>
      <c r="N31" s="194"/>
    </row>
    <row r="32" spans="1:14" ht="5.25" customHeight="1">
      <c r="A32" s="122"/>
      <c r="B32" s="122"/>
      <c r="C32" s="122"/>
      <c r="D32" s="122"/>
      <c r="E32" s="122"/>
      <c r="F32" s="122"/>
      <c r="G32" s="122"/>
      <c r="H32" s="122"/>
      <c r="I32" s="122"/>
      <c r="J32" s="122"/>
      <c r="K32" s="122"/>
      <c r="L32" s="122"/>
      <c r="M32" s="122"/>
      <c r="N32" s="194"/>
    </row>
    <row r="33" spans="1:16" ht="13.5" customHeight="1">
      <c r="A33" s="150" t="s">
        <v>656</v>
      </c>
      <c r="B33" s="122"/>
      <c r="C33" s="122"/>
      <c r="D33" s="122"/>
      <c r="E33" s="122"/>
      <c r="F33" s="122"/>
      <c r="G33" s="122"/>
      <c r="H33" s="122"/>
      <c r="I33" s="122"/>
      <c r="J33" s="122"/>
      <c r="K33" s="122"/>
      <c r="L33" s="122"/>
      <c r="M33" s="122"/>
      <c r="N33" s="194"/>
    </row>
    <row r="34" spans="1:16" ht="13.5" customHeight="1">
      <c r="A34" s="129" t="s">
        <v>657</v>
      </c>
      <c r="C34" s="122" t="s">
        <v>658</v>
      </c>
      <c r="D34" s="175"/>
      <c r="E34" s="122"/>
      <c r="F34" s="122"/>
      <c r="G34" s="122"/>
      <c r="H34" s="129" t="s">
        <v>450</v>
      </c>
      <c r="I34" s="685">
        <f>I25+I29+I31</f>
        <v>0</v>
      </c>
      <c r="J34" s="988"/>
      <c r="K34" s="122"/>
      <c r="L34" s="122"/>
      <c r="M34" s="122"/>
      <c r="N34" s="194"/>
    </row>
    <row r="35" spans="1:16" ht="13.5" customHeight="1">
      <c r="A35" s="129" t="s">
        <v>659</v>
      </c>
      <c r="C35" s="122" t="s">
        <v>660</v>
      </c>
      <c r="D35" s="175"/>
      <c r="E35" s="122"/>
      <c r="F35" s="122"/>
      <c r="G35" s="122"/>
      <c r="H35" s="129" t="s">
        <v>450</v>
      </c>
      <c r="I35" s="19"/>
      <c r="J35" s="470"/>
      <c r="K35" s="122"/>
      <c r="L35" s="122"/>
      <c r="M35" s="122"/>
      <c r="N35" s="194"/>
    </row>
    <row r="36" spans="1:16" ht="13.5" customHeight="1">
      <c r="A36" s="129" t="s">
        <v>661</v>
      </c>
      <c r="C36" s="122" t="s">
        <v>662</v>
      </c>
      <c r="D36" s="175"/>
      <c r="E36" s="122"/>
      <c r="F36" s="122"/>
      <c r="G36" s="122"/>
      <c r="H36" s="129" t="s">
        <v>450</v>
      </c>
      <c r="I36" s="989" t="str">
        <f>IF(I35&gt;0,ROUND((I7/I35)*10000,4)," ")</f>
        <v xml:space="preserve"> </v>
      </c>
      <c r="J36" s="988" t="s">
        <v>436</v>
      </c>
      <c r="K36" s="122"/>
      <c r="L36" s="122"/>
      <c r="M36" s="122"/>
      <c r="N36" s="194"/>
    </row>
    <row r="37" spans="1:16" ht="13.5" customHeight="1">
      <c r="A37" s="129" t="s">
        <v>663</v>
      </c>
      <c r="C37" s="122" t="s">
        <v>664</v>
      </c>
      <c r="D37" s="175"/>
      <c r="E37" s="122"/>
      <c r="F37" s="122"/>
      <c r="G37" s="122"/>
      <c r="H37" s="129" t="s">
        <v>450</v>
      </c>
      <c r="I37" s="492">
        <f>I7+I25+I29+I31</f>
        <v>0</v>
      </c>
      <c r="J37" s="470"/>
      <c r="K37" s="122"/>
      <c r="L37" s="122"/>
      <c r="M37" s="122"/>
      <c r="N37" s="177"/>
      <c r="O37" s="177"/>
      <c r="P37" s="177"/>
    </row>
    <row r="38" spans="1:16" ht="13.5" customHeight="1">
      <c r="A38" s="129" t="s">
        <v>665</v>
      </c>
      <c r="C38" s="122" t="s">
        <v>666</v>
      </c>
      <c r="D38" s="175"/>
      <c r="E38" s="122"/>
      <c r="F38" s="122"/>
      <c r="G38" s="122"/>
      <c r="H38" s="129" t="s">
        <v>450</v>
      </c>
      <c r="I38" s="989" t="str">
        <f>IF(I35&gt;0,ROUND((I37/I35)*10000,4)," ")</f>
        <v xml:space="preserve"> </v>
      </c>
      <c r="J38" s="988" t="s">
        <v>436</v>
      </c>
      <c r="K38" s="122"/>
      <c r="L38" s="122"/>
      <c r="M38" s="122"/>
      <c r="N38" s="177"/>
      <c r="O38" s="177"/>
      <c r="P38" s="177"/>
    </row>
    <row r="39" spans="1:16" ht="5.25" customHeight="1">
      <c r="A39" s="122"/>
      <c r="B39" s="122"/>
      <c r="C39" s="122"/>
      <c r="D39" s="122"/>
      <c r="E39" s="122"/>
      <c r="F39" s="122"/>
      <c r="G39" s="122"/>
      <c r="H39" s="122"/>
      <c r="I39" s="122"/>
      <c r="J39" s="122"/>
      <c r="K39" s="122"/>
      <c r="L39" s="122"/>
      <c r="M39" s="122"/>
      <c r="N39" s="194"/>
    </row>
    <row r="40" spans="1:16" ht="5.25" customHeight="1">
      <c r="A40" s="122"/>
      <c r="B40" s="122"/>
      <c r="C40" s="122"/>
      <c r="D40" s="122"/>
      <c r="E40" s="122"/>
      <c r="F40" s="122"/>
      <c r="G40" s="122"/>
      <c r="H40" s="122"/>
      <c r="I40" s="122"/>
      <c r="J40" s="122"/>
      <c r="K40" s="122"/>
      <c r="L40" s="122"/>
      <c r="M40" s="122"/>
      <c r="N40" s="194"/>
    </row>
    <row r="41" spans="1:16" ht="15" customHeight="1">
      <c r="A41" s="990" t="s">
        <v>434</v>
      </c>
      <c r="B41" s="153"/>
      <c r="C41" s="1721" t="s">
        <v>667</v>
      </c>
      <c r="D41" s="1721"/>
      <c r="E41" s="1721"/>
      <c r="F41" s="1721"/>
      <c r="G41" s="1721"/>
      <c r="H41" s="1721"/>
      <c r="I41" s="1721"/>
      <c r="J41" s="1721"/>
      <c r="K41" s="1721"/>
      <c r="L41" s="1721"/>
      <c r="M41" s="1480"/>
      <c r="N41"/>
    </row>
    <row r="42" spans="1:16" ht="9" customHeight="1">
      <c r="A42" s="122"/>
      <c r="B42" s="122"/>
      <c r="C42" s="1721"/>
      <c r="D42" s="1721"/>
      <c r="E42" s="1721"/>
      <c r="F42" s="1721"/>
      <c r="G42" s="1721"/>
      <c r="H42" s="1721"/>
      <c r="I42" s="1721"/>
      <c r="J42" s="1721"/>
      <c r="K42" s="1721"/>
      <c r="L42" s="1721"/>
      <c r="M42" s="1480"/>
      <c r="N42"/>
    </row>
    <row r="43" spans="1:16" ht="5.25" customHeight="1">
      <c r="A43" s="122"/>
      <c r="B43" s="122"/>
      <c r="C43" s="122"/>
      <c r="D43" s="122"/>
      <c r="E43" s="122"/>
      <c r="F43" s="122"/>
      <c r="G43" s="122"/>
      <c r="H43" s="122"/>
      <c r="I43" s="122"/>
      <c r="J43" s="122"/>
      <c r="K43" s="122"/>
      <c r="L43" s="122"/>
      <c r="M43" s="122"/>
    </row>
    <row r="44" spans="1:16" ht="14.25" customHeight="1">
      <c r="A44" s="990" t="s">
        <v>436</v>
      </c>
      <c r="B44" s="153"/>
      <c r="C44" s="1721" t="s">
        <v>668</v>
      </c>
      <c r="D44" s="1722"/>
      <c r="E44" s="1722"/>
      <c r="F44" s="1722"/>
      <c r="G44" s="1722"/>
      <c r="H44" s="1722"/>
      <c r="I44" s="1722"/>
      <c r="J44" s="1722"/>
      <c r="K44" s="1722"/>
      <c r="L44" s="1722"/>
      <c r="M44" s="1722"/>
    </row>
    <row r="45" spans="1:16" ht="9.75" customHeight="1">
      <c r="A45" s="122"/>
      <c r="B45" s="122"/>
      <c r="C45" s="1722"/>
      <c r="D45" s="1722"/>
      <c r="E45" s="1722"/>
      <c r="F45" s="1722"/>
      <c r="G45" s="1722"/>
      <c r="H45" s="1722"/>
      <c r="I45" s="1722"/>
      <c r="J45" s="1722"/>
      <c r="K45" s="1722"/>
      <c r="L45" s="1722"/>
      <c r="M45" s="1722"/>
    </row>
    <row r="46" spans="1:16" ht="5.25" customHeight="1">
      <c r="A46" s="122"/>
      <c r="B46" s="122"/>
      <c r="C46" s="122"/>
      <c r="D46" s="122"/>
      <c r="E46" s="122"/>
      <c r="F46" s="122"/>
      <c r="G46" s="122"/>
      <c r="H46" s="122"/>
      <c r="I46" s="122"/>
      <c r="J46" s="122"/>
      <c r="K46" s="122"/>
      <c r="L46" s="122"/>
      <c r="M46" s="122"/>
      <c r="N46" s="194"/>
    </row>
    <row r="47" spans="1:16" ht="15" customHeight="1">
      <c r="A47" s="990"/>
      <c r="B47" s="153"/>
      <c r="C47" s="1721"/>
      <c r="D47" s="1721"/>
      <c r="E47" s="1721"/>
      <c r="F47" s="1721"/>
      <c r="G47" s="1721"/>
      <c r="H47" s="1721"/>
      <c r="I47" s="1721"/>
      <c r="J47" s="1721"/>
      <c r="K47" s="1721"/>
      <c r="L47" s="1721"/>
      <c r="M47" s="1480"/>
      <c r="N47"/>
    </row>
    <row r="48" spans="1:16" ht="9" customHeight="1">
      <c r="A48" s="122"/>
      <c r="B48" s="122"/>
      <c r="C48" s="1721"/>
      <c r="D48" s="1721"/>
      <c r="E48" s="1721"/>
      <c r="F48" s="1721"/>
      <c r="G48" s="1721"/>
      <c r="H48" s="1721"/>
      <c r="I48" s="1721"/>
      <c r="J48" s="1721"/>
      <c r="K48" s="1721"/>
      <c r="L48" s="1721"/>
      <c r="M48" s="1480"/>
      <c r="N48"/>
    </row>
    <row r="49" spans="1:13" ht="5.25" customHeight="1">
      <c r="A49" s="122"/>
      <c r="B49" s="122"/>
      <c r="C49" s="122"/>
      <c r="D49" s="122"/>
      <c r="E49" s="122"/>
      <c r="F49" s="122"/>
      <c r="G49" s="122"/>
      <c r="H49" s="122"/>
      <c r="I49" s="122"/>
      <c r="J49" s="122"/>
      <c r="K49" s="122"/>
      <c r="L49" s="122"/>
      <c r="M49" s="122"/>
    </row>
    <row r="50" spans="1:13" ht="14.25" customHeight="1">
      <c r="A50" s="990"/>
      <c r="B50" s="153"/>
      <c r="C50" s="1721"/>
      <c r="D50" s="1722"/>
      <c r="E50" s="1722"/>
      <c r="F50" s="1722"/>
      <c r="G50" s="1722"/>
      <c r="H50" s="1722"/>
      <c r="I50" s="1722"/>
      <c r="J50" s="1722"/>
      <c r="K50" s="1722"/>
      <c r="L50" s="1722"/>
      <c r="M50" s="1722"/>
    </row>
    <row r="51" spans="1:13" ht="9.75" customHeight="1">
      <c r="A51" s="122"/>
      <c r="B51" s="122"/>
      <c r="C51" s="1722"/>
      <c r="D51" s="1722"/>
      <c r="E51" s="1722"/>
      <c r="F51" s="1722"/>
      <c r="G51" s="1722"/>
      <c r="H51" s="1722"/>
      <c r="I51" s="1722"/>
      <c r="J51" s="1722"/>
      <c r="K51" s="1722"/>
      <c r="L51" s="1722"/>
      <c r="M51" s="1722"/>
    </row>
    <row r="52" spans="1:13">
      <c r="A52" s="177"/>
      <c r="B52" s="177"/>
      <c r="C52" s="177"/>
      <c r="D52" s="177"/>
      <c r="E52" s="177"/>
      <c r="F52" s="177"/>
      <c r="G52" s="177"/>
      <c r="H52" s="177"/>
      <c r="I52" s="177"/>
      <c r="J52" s="177"/>
      <c r="K52" s="177"/>
      <c r="L52" s="177"/>
      <c r="M52" s="177"/>
    </row>
    <row r="53" spans="1:13">
      <c r="A53" s="177"/>
      <c r="B53" s="177"/>
      <c r="C53" s="177"/>
      <c r="D53" s="177"/>
      <c r="E53" s="177"/>
      <c r="F53" s="177"/>
      <c r="G53" s="177"/>
      <c r="H53" s="177"/>
      <c r="I53" s="177"/>
      <c r="J53" s="177"/>
      <c r="K53" s="177"/>
      <c r="L53" s="177"/>
      <c r="M53" s="177"/>
    </row>
  </sheetData>
  <sheetProtection sheet="1" formatCells="0" formatColumns="0" formatRows="0"/>
  <mergeCells count="17">
    <mergeCell ref="C50:M51"/>
    <mergeCell ref="C47:M48"/>
    <mergeCell ref="K8:M10"/>
    <mergeCell ref="C11:E11"/>
    <mergeCell ref="C13:G13"/>
    <mergeCell ref="I25:I26"/>
    <mergeCell ref="C41:M42"/>
    <mergeCell ref="C44:M45"/>
    <mergeCell ref="C16:G16"/>
    <mergeCell ref="D18:E18"/>
    <mergeCell ref="D19:G19"/>
    <mergeCell ref="D22:E22"/>
    <mergeCell ref="D23:E23"/>
    <mergeCell ref="F6:G8"/>
    <mergeCell ref="E1:G1"/>
    <mergeCell ref="I1:K1"/>
    <mergeCell ref="C5:G5"/>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dataValidation allowBlank="1" showInputMessage="1" showErrorMessage="1" promptTitle="Desegregation" prompt="Beginning in FY 2019, Desegregation is levied as a secondary tax." sqref="I11"/>
  </dataValidations>
  <hyperlinks>
    <hyperlink ref="A13" r:id="rId1" display="file:///C:\Users\ryoung2\AppData\Local\Microsoft\Windows\INetCache\Content.Outlook\Prohibited%20formula%20characters\Files%20from%20ADE%203-27-23\TruthinTaxl6"/>
    <hyperlink ref="A14" r:id="rId2" display="file:///C:\Users\ryoung2\AppData\Local\Microsoft\Windows\INetCache\Content.Outlook\Prohibited%20formula%20characters\Files%20from%20ADE%203-27-23\TruthinTaxl7"/>
    <hyperlink ref="A18" r:id="rId3" display="10."/>
    <hyperlink ref="A6" location="TruthinTaxl2" display="2."/>
    <hyperlink ref="C17" location="TruthinTaxl8a" display="a."/>
    <hyperlink ref="F6:G8" location="TruthinTaxl2" display="TruthinTaxl2"/>
    <hyperlink ref="A5" location="TruthInTaxl1" display="1."/>
  </hyperlinks>
  <printOptions horizontalCentered="1"/>
  <pageMargins left="0.25" right="0.25" top="0.25" bottom="0.25" header="0.25" footer="0.25"/>
  <pageSetup scale="95" orientation="portrait" r:id="rId4"/>
  <headerFooter>
    <oddFooter>&amp;L&amp;"Times New Roman,Bold"&amp;10Rev. 5/23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1"/>
  <sheetViews>
    <sheetView showGridLines="0" topLeftCell="B1" workbookViewId="0">
      <selection activeCell="Q98" sqref="Q98"/>
    </sheetView>
  </sheetViews>
  <sheetFormatPr defaultColWidth="9.08984375" defaultRowHeight="12"/>
  <cols>
    <col min="1" max="1" width="2.453125" style="122" customWidth="1"/>
    <col min="2" max="2" width="2.08984375" style="122" customWidth="1"/>
    <col min="3" max="3" width="2.54296875" style="122" customWidth="1"/>
    <col min="4" max="4" width="3" style="122" customWidth="1"/>
    <col min="5" max="5" width="15.08984375" style="122" customWidth="1"/>
    <col min="6" max="6" width="9.08984375" style="122" customWidth="1"/>
    <col min="7" max="7" width="9.453125" style="122" customWidth="1"/>
    <col min="8" max="9" width="9.08984375" style="122" customWidth="1"/>
    <col min="10" max="10" width="9.90625" style="122" customWidth="1"/>
    <col min="11" max="11" width="11.453125" style="122" customWidth="1"/>
    <col min="12" max="12" width="9.90625" style="122" customWidth="1"/>
    <col min="13" max="14" width="9.08984375" style="122" customWidth="1"/>
    <col min="15" max="15" width="10" style="122" customWidth="1"/>
    <col min="16" max="16" width="3" style="122" customWidth="1"/>
    <col min="17" max="17" width="9.90625" style="122" bestFit="1" customWidth="1"/>
    <col min="18" max="19" width="9.08984375" style="122" customWidth="1"/>
    <col min="20" max="16384" width="9.08984375" style="122"/>
  </cols>
  <sheetData>
    <row r="1" spans="1:16">
      <c r="A1" s="1745" t="s">
        <v>669</v>
      </c>
      <c r="B1" s="1745"/>
      <c r="C1" s="1745"/>
      <c r="D1" s="1745"/>
      <c r="E1" s="1747" t="str">
        <f>DistrictName</f>
        <v>MADISON ELEMENTARY SCHOOL DISTRICT</v>
      </c>
      <c r="F1" s="1747"/>
      <c r="G1" s="1747"/>
      <c r="H1" s="611" t="s">
        <v>670</v>
      </c>
      <c r="I1" s="1746" t="str">
        <f>Cover!H1</f>
        <v>MARICOPA</v>
      </c>
      <c r="J1" s="1747"/>
      <c r="K1" s="611" t="s">
        <v>671</v>
      </c>
      <c r="L1" s="991" t="str">
        <f>CTD</f>
        <v>070438000</v>
      </c>
    </row>
    <row r="2" spans="1:16">
      <c r="K2" s="611" t="s">
        <v>18</v>
      </c>
      <c r="L2" s="991" t="str">
        <f>Cover!C8</f>
        <v>Adopted</v>
      </c>
    </row>
    <row r="3" spans="1:16" ht="15.6">
      <c r="F3" s="1421" t="s">
        <v>672</v>
      </c>
      <c r="G3" s="1421"/>
      <c r="H3" s="1421"/>
      <c r="I3" s="1421"/>
    </row>
    <row r="4" spans="1:16" ht="12.6" thickBot="1"/>
    <row r="5" spans="1:16" ht="16.5" customHeight="1" thickBot="1">
      <c r="B5" s="992" t="s">
        <v>673</v>
      </c>
      <c r="C5" s="993"/>
      <c r="D5" s="993"/>
      <c r="E5" s="993"/>
      <c r="F5" s="993"/>
      <c r="G5" s="993"/>
      <c r="H5" s="993"/>
      <c r="I5" s="993"/>
      <c r="J5" s="993"/>
      <c r="K5" s="994"/>
      <c r="L5" s="1753" t="str">
        <f>IF(OR(L1=0,L2=0),"ENTER CTD NUMBER AND VERSION ON COVER PAGE","")</f>
        <v/>
      </c>
      <c r="M5" s="1754"/>
    </row>
    <row r="6" spans="1:16" ht="12.75" customHeight="1" thickBot="1">
      <c r="B6" s="995"/>
      <c r="C6" s="996" t="s">
        <v>674</v>
      </c>
      <c r="D6" s="997"/>
      <c r="E6" s="997"/>
      <c r="F6" s="997"/>
      <c r="G6" s="997"/>
      <c r="H6" s="997"/>
      <c r="I6" s="998" t="s">
        <v>450</v>
      </c>
      <c r="J6" s="999">
        <v>4914.71</v>
      </c>
      <c r="K6" s="1000"/>
      <c r="L6" s="1753"/>
      <c r="M6" s="1754"/>
    </row>
    <row r="7" spans="1:16" ht="12.75" customHeight="1" thickBot="1">
      <c r="B7" s="995"/>
      <c r="C7" s="996" t="s">
        <v>675</v>
      </c>
      <c r="D7" s="997"/>
      <c r="E7" s="997"/>
      <c r="F7" s="997"/>
      <c r="G7" s="997"/>
      <c r="H7" s="997"/>
      <c r="I7" s="1001"/>
      <c r="J7" s="1002"/>
      <c r="K7" s="1003"/>
      <c r="L7" s="1753"/>
      <c r="M7" s="1754"/>
    </row>
    <row r="8" spans="1:16" ht="12.75" customHeight="1" thickBot="1">
      <c r="B8" s="995"/>
      <c r="C8" s="997"/>
      <c r="D8" s="996" t="s">
        <v>676</v>
      </c>
      <c r="E8" s="997"/>
      <c r="F8" s="997"/>
      <c r="G8" s="997"/>
      <c r="H8" s="997"/>
      <c r="I8" s="998" t="s">
        <v>450</v>
      </c>
      <c r="J8" s="1004">
        <v>2.89</v>
      </c>
      <c r="K8" s="1000"/>
      <c r="L8" s="1753"/>
      <c r="M8" s="1754"/>
    </row>
    <row r="9" spans="1:16" ht="12.75" customHeight="1" thickBot="1">
      <c r="B9" s="995"/>
      <c r="C9" s="997"/>
      <c r="D9" s="996" t="s">
        <v>677</v>
      </c>
      <c r="E9" s="997"/>
      <c r="F9" s="997"/>
      <c r="G9" s="997"/>
      <c r="H9" s="997"/>
      <c r="I9" s="998" t="s">
        <v>450</v>
      </c>
      <c r="J9" s="1004">
        <v>2.37</v>
      </c>
      <c r="K9" s="1000"/>
      <c r="L9" s="1753"/>
      <c r="M9" s="1754"/>
    </row>
    <row r="10" spans="1:16" ht="24" customHeight="1" thickBot="1">
      <c r="B10" s="995"/>
      <c r="C10" s="1757" t="s">
        <v>1342</v>
      </c>
      <c r="D10" s="1758"/>
      <c r="E10" s="1758"/>
      <c r="F10" s="1758"/>
      <c r="G10" s="1758"/>
      <c r="H10" s="1758"/>
      <c r="I10" s="1759"/>
      <c r="J10" s="1005">
        <v>1.6549</v>
      </c>
      <c r="K10" s="1000"/>
      <c r="L10" s="1753"/>
      <c r="M10" s="1754"/>
    </row>
    <row r="11" spans="1:16" ht="9" customHeight="1" thickBot="1">
      <c r="B11" s="1006"/>
      <c r="C11" s="1007"/>
      <c r="D11" s="1007"/>
      <c r="E11" s="1007"/>
      <c r="F11" s="1007"/>
      <c r="G11" s="1007"/>
      <c r="H11" s="1007"/>
      <c r="I11" s="1007"/>
      <c r="J11" s="1007"/>
      <c r="K11" s="1008"/>
      <c r="L11" s="1753"/>
      <c r="M11" s="1754"/>
    </row>
    <row r="13" spans="1:16" ht="15.6">
      <c r="A13" s="450" t="s">
        <v>678</v>
      </c>
      <c r="C13" s="450"/>
      <c r="D13" s="450"/>
      <c r="E13" s="450"/>
    </row>
    <row r="14" spans="1:16" ht="49.5" customHeight="1">
      <c r="B14" s="1519" t="s">
        <v>679</v>
      </c>
      <c r="C14" s="1727"/>
      <c r="D14" s="1727"/>
      <c r="E14" s="1727"/>
      <c r="F14" s="1727"/>
      <c r="G14" s="1727"/>
      <c r="H14" s="1727"/>
      <c r="I14" s="1727"/>
      <c r="J14" s="1727"/>
      <c r="K14" s="1727"/>
    </row>
    <row r="15" spans="1:16" ht="17.25" customHeight="1">
      <c r="C15" s="150" t="s">
        <v>680</v>
      </c>
      <c r="G15" s="1009" t="s">
        <v>681</v>
      </c>
      <c r="H15" s="1009" t="s">
        <v>682</v>
      </c>
      <c r="I15" s="1010" t="s">
        <v>683</v>
      </c>
      <c r="J15" s="1011" t="s">
        <v>615</v>
      </c>
      <c r="K15" s="1012"/>
      <c r="L15" s="1755" t="s">
        <v>1343</v>
      </c>
      <c r="M15" s="1755"/>
      <c r="N15" s="1755"/>
      <c r="O15" s="1756"/>
      <c r="P15" s="84"/>
    </row>
    <row r="16" spans="1:16" ht="11.25" customHeight="1">
      <c r="B16" s="1013" t="s">
        <v>6</v>
      </c>
      <c r="C16" s="1420" t="s">
        <v>684</v>
      </c>
      <c r="D16" s="1420"/>
      <c r="E16" s="1420"/>
      <c r="G16" s="1014"/>
      <c r="H16" s="1014"/>
      <c r="I16" s="1015"/>
      <c r="J16" s="98">
        <v>5326.5313999999998</v>
      </c>
      <c r="K16" s="1751" t="str">
        <f>IF(AND(J22&gt;0,PY100DayADM=""),"ENTER "&amp;C16,"")</f>
        <v/>
      </c>
      <c r="L16" s="1752"/>
      <c r="M16" s="1752"/>
      <c r="N16" s="1752"/>
    </row>
    <row r="17" spans="2:26" ht="11.25" customHeight="1">
      <c r="B17" s="1013" t="s">
        <v>685</v>
      </c>
      <c r="C17" s="1420" t="s">
        <v>686</v>
      </c>
      <c r="D17" s="1420"/>
      <c r="E17" s="1420"/>
      <c r="G17" s="99">
        <v>20.024999999999999</v>
      </c>
      <c r="H17" s="99">
        <v>5239.2137000000002</v>
      </c>
      <c r="I17" s="100">
        <v>0</v>
      </c>
      <c r="J17" s="1017">
        <f>UnweightedStudCntPSDPY+UnweightedStudCntK8PY+UnweightedStudCnt912PY</f>
        <v>5259.2386999999999</v>
      </c>
      <c r="K17" s="1751"/>
      <c r="L17" s="1752"/>
      <c r="M17" s="1752"/>
      <c r="N17" s="1752"/>
      <c r="Y17" s="1019">
        <f>IF(AND(UnweightedStudCntK8PY&gt;125,UnweightedStudCntK8PY&lt;154),1,0)</f>
        <v>0</v>
      </c>
      <c r="Z17" s="1020">
        <f>IF(AND(UnweightedStudCnt912PY&gt;100,UnweightedStudCnt912PY&lt;176),1,0)</f>
        <v>0</v>
      </c>
    </row>
    <row r="18" spans="2:26">
      <c r="B18" s="1021"/>
      <c r="C18" s="150" t="s">
        <v>687</v>
      </c>
      <c r="G18" s="989"/>
      <c r="H18" s="989"/>
      <c r="I18" s="989"/>
      <c r="J18" s="989"/>
    </row>
    <row r="19" spans="2:26" ht="11.25" customHeight="1">
      <c r="B19" s="1013" t="s">
        <v>24</v>
      </c>
      <c r="C19" s="122" t="s">
        <v>688</v>
      </c>
      <c r="G19" s="99">
        <v>20.024999999999999</v>
      </c>
      <c r="H19" s="99">
        <v>5239.2137000000002</v>
      </c>
      <c r="I19" s="100">
        <v>0</v>
      </c>
      <c r="J19" s="1017">
        <f>NonAOIStudCntPSDCY+NonAOIStudCntK8CY+NonAOIStudCnt912CY</f>
        <v>5259.2386999999999</v>
      </c>
      <c r="K19" s="1731"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732"/>
      <c r="M19" s="1732"/>
    </row>
    <row r="20" spans="2:26">
      <c r="B20" s="1013" t="s">
        <v>51</v>
      </c>
      <c r="C20" s="122" t="s">
        <v>689</v>
      </c>
      <c r="G20" s="1022"/>
      <c r="H20" s="99">
        <v>0</v>
      </c>
      <c r="I20" s="100">
        <v>0</v>
      </c>
      <c r="J20" s="1017">
        <f>AOIFTStudCntK8CY+AOIFTStudCnt912CY</f>
        <v>0</v>
      </c>
      <c r="K20" s="1731"/>
      <c r="L20" s="1732"/>
      <c r="M20" s="1732"/>
    </row>
    <row r="21" spans="2:26">
      <c r="B21" s="1013" t="s">
        <v>166</v>
      </c>
      <c r="C21" s="122" t="s">
        <v>690</v>
      </c>
      <c r="G21" s="1022"/>
      <c r="H21" s="99">
        <v>0</v>
      </c>
      <c r="I21" s="100">
        <v>0</v>
      </c>
      <c r="J21" s="1017">
        <f>AOIPTStudCntK8CY+AOIPTStudCnt912CY</f>
        <v>0</v>
      </c>
      <c r="K21" s="1731"/>
      <c r="L21" s="1732"/>
      <c r="M21" s="1732"/>
    </row>
    <row r="22" spans="2:26">
      <c r="B22" s="281" t="s">
        <v>168</v>
      </c>
      <c r="C22" s="122" t="s">
        <v>691</v>
      </c>
      <c r="G22" s="1017">
        <f>NonAOIStudCntPSDCY</f>
        <v>20.024999999999999</v>
      </c>
      <c r="H22" s="1017">
        <f>NonAOIStudCntK8CY+AOIFTStudCntK8CY+AOIPTStudCntK8CY</f>
        <v>5239.2137000000002</v>
      </c>
      <c r="I22" s="1018">
        <f>NonAOIStudCnt912CY+AOIFTStudCnt912CY+AOIPTStudCnt912CY</f>
        <v>0</v>
      </c>
      <c r="J22" s="1017">
        <f>G22+H22+I22</f>
        <v>5259.2386999999999</v>
      </c>
      <c r="K22" s="1732"/>
      <c r="L22" s="1732"/>
      <c r="M22" s="1732"/>
    </row>
    <row r="23" spans="2:26" ht="12.75" customHeight="1">
      <c r="J23" s="809"/>
      <c r="K23" s="1732"/>
      <c r="L23" s="1732"/>
      <c r="M23" s="1732"/>
    </row>
    <row r="25" spans="2:26" ht="12.75" customHeight="1">
      <c r="B25" s="1735" t="s">
        <v>692</v>
      </c>
      <c r="C25" s="1735"/>
      <c r="D25" s="1735"/>
      <c r="E25" s="1735"/>
    </row>
    <row r="26" spans="2:26" ht="15" customHeight="1">
      <c r="B26" s="982"/>
      <c r="C26" s="153" t="s">
        <v>693</v>
      </c>
    </row>
    <row r="27" spans="2:26" ht="35.25" customHeight="1">
      <c r="B27" s="488"/>
      <c r="C27" s="481"/>
      <c r="D27" s="1023"/>
      <c r="E27" s="1023"/>
      <c r="F27" s="1024"/>
      <c r="G27" s="1025" t="s">
        <v>694</v>
      </c>
      <c r="H27" s="1025" t="s">
        <v>695</v>
      </c>
      <c r="I27" s="1025" t="s">
        <v>696</v>
      </c>
      <c r="M27" s="163"/>
      <c r="N27" s="163"/>
      <c r="P27" s="163"/>
      <c r="Q27" s="163"/>
    </row>
    <row r="28" spans="2:26" ht="11.25" customHeight="1">
      <c r="B28" s="1013" t="s">
        <v>170</v>
      </c>
      <c r="C28" s="1026" t="s">
        <v>697</v>
      </c>
      <c r="D28" s="1027"/>
      <c r="E28" s="1027"/>
      <c r="F28" s="1027"/>
      <c r="G28" s="101">
        <v>2182.2579000000001</v>
      </c>
      <c r="H28" s="102">
        <v>0</v>
      </c>
      <c r="I28" s="101">
        <v>0</v>
      </c>
      <c r="M28" s="1028"/>
      <c r="N28" s="1028"/>
      <c r="P28" s="1028"/>
      <c r="Q28" s="1028"/>
    </row>
    <row r="29" spans="2:26">
      <c r="B29" s="1029" t="s">
        <v>172</v>
      </c>
      <c r="C29" s="1030" t="s">
        <v>698</v>
      </c>
      <c r="D29" s="1031"/>
      <c r="E29" s="1031"/>
      <c r="F29" s="1031"/>
      <c r="G29" s="103">
        <v>2182.2579000000001</v>
      </c>
      <c r="H29" s="75">
        <v>0</v>
      </c>
      <c r="I29" s="75">
        <v>0</v>
      </c>
      <c r="M29" s="1032"/>
      <c r="N29" s="1033"/>
      <c r="O29" s="1033"/>
      <c r="P29" s="1032"/>
      <c r="Q29" s="1033"/>
    </row>
    <row r="30" spans="2:26">
      <c r="B30" s="1013" t="s">
        <v>174</v>
      </c>
      <c r="C30" s="1026" t="s">
        <v>699</v>
      </c>
      <c r="D30" s="1027"/>
      <c r="E30" s="1027"/>
      <c r="F30" s="1027"/>
      <c r="G30" s="101">
        <v>231.0549</v>
      </c>
      <c r="H30" s="99">
        <v>0</v>
      </c>
      <c r="I30" s="99">
        <v>0</v>
      </c>
      <c r="M30" s="1032"/>
      <c r="N30" s="1033"/>
      <c r="O30" s="1033"/>
      <c r="P30" s="1032"/>
      <c r="Q30" s="1033"/>
    </row>
    <row r="31" spans="2:26">
      <c r="B31" s="1013" t="s">
        <v>176</v>
      </c>
      <c r="C31" s="1030" t="s">
        <v>700</v>
      </c>
      <c r="D31" s="1031"/>
      <c r="E31" s="1031"/>
      <c r="F31" s="1031"/>
      <c r="G31" s="103">
        <v>5.1349999999999998</v>
      </c>
      <c r="H31" s="75">
        <v>0</v>
      </c>
      <c r="I31" s="75">
        <v>0</v>
      </c>
      <c r="M31" s="1032"/>
      <c r="N31" s="1033"/>
      <c r="O31" s="1033"/>
      <c r="P31" s="1032"/>
      <c r="Q31" s="1033"/>
    </row>
    <row r="32" spans="2:26">
      <c r="B32" s="1013" t="s">
        <v>178</v>
      </c>
      <c r="C32" s="1026" t="s">
        <v>701</v>
      </c>
      <c r="D32" s="1027"/>
      <c r="E32" s="1027"/>
      <c r="F32" s="1027"/>
      <c r="G32" s="101">
        <v>41.75</v>
      </c>
      <c r="H32" s="99">
        <v>0</v>
      </c>
      <c r="I32" s="99">
        <v>0</v>
      </c>
      <c r="M32" s="1032"/>
      <c r="N32" s="1033"/>
      <c r="O32" s="1033"/>
      <c r="P32" s="1032"/>
      <c r="Q32" s="1033"/>
    </row>
    <row r="33" spans="1:18">
      <c r="B33" s="1013" t="s">
        <v>180</v>
      </c>
      <c r="C33" s="1030" t="s">
        <v>702</v>
      </c>
      <c r="D33" s="1031"/>
      <c r="E33" s="1031"/>
      <c r="F33" s="1031"/>
      <c r="G33" s="103">
        <v>28.2044</v>
      </c>
      <c r="H33" s="75">
        <v>0</v>
      </c>
      <c r="I33" s="75">
        <v>0</v>
      </c>
      <c r="M33" s="1032"/>
      <c r="N33" s="1033"/>
      <c r="O33" s="1033"/>
      <c r="P33" s="1032"/>
      <c r="Q33" s="1033"/>
    </row>
    <row r="34" spans="1:18">
      <c r="B34" s="1013" t="s">
        <v>182</v>
      </c>
      <c r="C34" s="1026" t="s">
        <v>703</v>
      </c>
      <c r="D34" s="1027"/>
      <c r="E34" s="1027"/>
      <c r="F34" s="1027"/>
      <c r="G34" s="101">
        <v>2.98</v>
      </c>
      <c r="H34" s="99">
        <v>0</v>
      </c>
      <c r="I34" s="99">
        <v>0</v>
      </c>
      <c r="M34" s="1032"/>
      <c r="N34" s="1033"/>
      <c r="O34" s="1033"/>
      <c r="P34" s="1032"/>
      <c r="Q34" s="1033"/>
    </row>
    <row r="35" spans="1:18">
      <c r="B35" s="1013" t="s">
        <v>184</v>
      </c>
      <c r="C35" s="1030" t="s">
        <v>704</v>
      </c>
      <c r="D35" s="1031"/>
      <c r="E35" s="1031"/>
      <c r="F35" s="1031"/>
      <c r="G35" s="103">
        <v>1</v>
      </c>
      <c r="H35" s="75">
        <v>0</v>
      </c>
      <c r="I35" s="75">
        <v>0</v>
      </c>
      <c r="M35" s="1032"/>
      <c r="N35" s="1033"/>
      <c r="O35" s="1033"/>
      <c r="P35" s="1032"/>
      <c r="Q35" s="1033"/>
    </row>
    <row r="36" spans="1:18">
      <c r="B36" s="1013" t="s">
        <v>186</v>
      </c>
      <c r="C36" s="1026" t="s">
        <v>705</v>
      </c>
      <c r="D36" s="1027"/>
      <c r="E36" s="1027"/>
      <c r="F36" s="1027"/>
      <c r="G36" s="101">
        <v>1.5</v>
      </c>
      <c r="H36" s="99">
        <v>0</v>
      </c>
      <c r="I36" s="99">
        <v>0</v>
      </c>
      <c r="M36" s="1032"/>
      <c r="N36" s="1033"/>
      <c r="O36" s="1033"/>
      <c r="P36" s="1032"/>
      <c r="Q36" s="1033"/>
    </row>
    <row r="37" spans="1:18">
      <c r="B37" s="1013" t="s">
        <v>187</v>
      </c>
      <c r="C37" s="1030" t="s">
        <v>706</v>
      </c>
      <c r="D37" s="1031"/>
      <c r="E37" s="1031"/>
      <c r="F37" s="1031"/>
      <c r="G37" s="103">
        <f>2.075+0.215</f>
        <v>2.29</v>
      </c>
      <c r="H37" s="75">
        <v>0</v>
      </c>
      <c r="I37" s="75">
        <v>0</v>
      </c>
      <c r="M37" s="1032"/>
      <c r="N37" s="1033"/>
      <c r="O37" s="1033"/>
      <c r="P37" s="1032"/>
      <c r="Q37" s="1033"/>
    </row>
    <row r="38" spans="1:18">
      <c r="B38" s="1013" t="s">
        <v>188</v>
      </c>
      <c r="C38" s="1026" t="s">
        <v>707</v>
      </c>
      <c r="D38" s="1027"/>
      <c r="E38" s="1027"/>
      <c r="F38" s="1027"/>
      <c r="G38" s="101">
        <f>37.4439+385.3803</f>
        <v>422.82420000000002</v>
      </c>
      <c r="H38" s="99">
        <v>0</v>
      </c>
      <c r="I38" s="99">
        <v>0</v>
      </c>
      <c r="J38" s="1034" t="s">
        <v>708</v>
      </c>
      <c r="M38" s="1032"/>
      <c r="N38" s="1033"/>
      <c r="O38" s="1033"/>
      <c r="P38" s="1032"/>
      <c r="Q38" s="1033"/>
    </row>
    <row r="39" spans="1:18">
      <c r="B39" s="1013" t="s">
        <v>189</v>
      </c>
      <c r="C39" s="1030" t="s">
        <v>709</v>
      </c>
      <c r="D39" s="1031"/>
      <c r="E39" s="1031"/>
      <c r="F39" s="1031"/>
      <c r="G39" s="103">
        <v>5.4739000000000004</v>
      </c>
      <c r="H39" s="75">
        <v>0</v>
      </c>
      <c r="I39" s="75">
        <v>0</v>
      </c>
      <c r="M39" s="1032"/>
      <c r="N39" s="1033"/>
      <c r="O39" s="1033"/>
      <c r="P39" s="1032"/>
      <c r="Q39" s="1033"/>
    </row>
    <row r="40" spans="1:18">
      <c r="B40" s="1013" t="s">
        <v>190</v>
      </c>
      <c r="C40" s="1026" t="s">
        <v>710</v>
      </c>
      <c r="D40" s="1027"/>
      <c r="E40" s="1027"/>
      <c r="F40" s="1027"/>
      <c r="G40" s="101">
        <v>5.56</v>
      </c>
      <c r="H40" s="99">
        <v>0</v>
      </c>
      <c r="I40" s="99">
        <v>0</v>
      </c>
      <c r="M40" s="1032"/>
      <c r="N40" s="1033"/>
      <c r="O40" s="1033"/>
      <c r="P40" s="1032"/>
      <c r="Q40" s="1033"/>
    </row>
    <row r="41" spans="1:18">
      <c r="B41" s="1013" t="s">
        <v>191</v>
      </c>
      <c r="C41" s="1030" t="s">
        <v>711</v>
      </c>
      <c r="D41" s="1035"/>
      <c r="E41" s="1035"/>
      <c r="F41" s="1031"/>
      <c r="G41" s="104">
        <v>2.42</v>
      </c>
      <c r="H41" s="105">
        <v>0</v>
      </c>
      <c r="I41" s="105">
        <v>0</v>
      </c>
    </row>
    <row r="42" spans="1:18">
      <c r="B42" s="1013" t="s">
        <v>192</v>
      </c>
      <c r="C42" s="1036" t="s">
        <v>712</v>
      </c>
      <c r="D42" s="1037"/>
      <c r="E42" s="1037"/>
      <c r="F42" s="1037"/>
      <c r="G42" s="1382">
        <v>504.65989999999999</v>
      </c>
      <c r="H42" s="106">
        <v>0</v>
      </c>
      <c r="I42" s="106">
        <v>0</v>
      </c>
      <c r="M42" s="1032"/>
      <c r="N42" s="1033"/>
      <c r="O42" s="1033"/>
      <c r="P42" s="1032"/>
      <c r="Q42" s="1033"/>
    </row>
    <row r="43" spans="1:18">
      <c r="B43" s="1013" t="s">
        <v>193</v>
      </c>
      <c r="C43" s="1038" t="s">
        <v>713</v>
      </c>
      <c r="D43" s="1039"/>
      <c r="E43" s="1039"/>
      <c r="F43" s="1039"/>
      <c r="G43" s="1383">
        <v>1446.6133</v>
      </c>
      <c r="H43" s="121">
        <v>0</v>
      </c>
      <c r="I43" s="121">
        <v>0</v>
      </c>
      <c r="J43" s="1040"/>
      <c r="M43" s="1032"/>
      <c r="N43" s="1033"/>
      <c r="O43" s="1033"/>
      <c r="P43" s="1032"/>
      <c r="Q43" s="1033"/>
    </row>
    <row r="44" spans="1:18" ht="11.25" customHeight="1">
      <c r="B44" s="1041" t="s">
        <v>194</v>
      </c>
      <c r="C44" s="1042" t="s">
        <v>714</v>
      </c>
      <c r="D44" s="1037"/>
      <c r="E44" s="1037"/>
      <c r="F44" s="1037"/>
      <c r="G44" s="1043">
        <f>SUM(G28:G43)</f>
        <v>7065.9813999999997</v>
      </c>
      <c r="H44" s="1043">
        <f>SUM(H28:H43)</f>
        <v>0</v>
      </c>
      <c r="I44" s="1043">
        <f>SUM(I28:I43)</f>
        <v>0</v>
      </c>
      <c r="J44" s="1044"/>
      <c r="K44" s="1045"/>
      <c r="L44" s="1045"/>
      <c r="M44" s="1033"/>
      <c r="N44" s="1033"/>
      <c r="O44" s="1033"/>
      <c r="P44" s="1033"/>
      <c r="Q44" s="1033"/>
      <c r="R44" s="1033"/>
    </row>
    <row r="45" spans="1:18" ht="32.25" customHeight="1">
      <c r="A45" s="450" t="s">
        <v>715</v>
      </c>
    </row>
    <row r="46" spans="1:18" ht="15.75" customHeight="1" thickBot="1">
      <c r="C46" s="122" t="s">
        <v>682</v>
      </c>
      <c r="D46" s="1046" t="s">
        <v>683</v>
      </c>
    </row>
    <row r="47" spans="1:18" ht="12.75" customHeight="1" thickBot="1">
      <c r="A47" s="450"/>
      <c r="B47" s="1013" t="s">
        <v>6</v>
      </c>
      <c r="C47" s="70"/>
      <c r="D47" s="70"/>
      <c r="E47" s="1750" t="s">
        <v>716</v>
      </c>
      <c r="F47" s="1420"/>
      <c r="G47" s="1420"/>
      <c r="H47" s="1420"/>
      <c r="I47" s="1420"/>
      <c r="J47" s="1420"/>
      <c r="K47" s="1420"/>
    </row>
    <row r="48" spans="1:18" ht="12" customHeight="1" thickBot="1">
      <c r="A48" s="450"/>
    </row>
    <row r="49" spans="1:16" hidden="1"/>
    <row r="50" spans="1:16" ht="12.6" hidden="1" thickBot="1"/>
    <row r="51" spans="1:16" ht="12.6" thickBot="1">
      <c r="B51" s="1013" t="s">
        <v>9</v>
      </c>
      <c r="C51" s="70"/>
      <c r="E51" s="1420" t="s">
        <v>717</v>
      </c>
      <c r="F51" s="1420"/>
      <c r="G51" s="1420"/>
      <c r="H51" s="1420"/>
      <c r="I51" s="1420"/>
      <c r="J51" s="1420"/>
    </row>
    <row r="53" spans="1:16">
      <c r="B53" s="1013" t="s">
        <v>24</v>
      </c>
      <c r="C53" s="122" t="s">
        <v>718</v>
      </c>
      <c r="K53" s="129"/>
      <c r="L53" s="1047">
        <f>BSA55BLA</f>
        <v>4914.71</v>
      </c>
      <c r="P53" s="1045"/>
    </row>
    <row r="54" spans="1:16">
      <c r="B54" s="1013" t="s">
        <v>51</v>
      </c>
      <c r="C54" s="1048" t="s">
        <v>719</v>
      </c>
      <c r="D54" s="1031"/>
      <c r="E54" s="1031"/>
      <c r="F54" s="1031"/>
      <c r="G54" s="1031"/>
      <c r="H54" s="1031"/>
      <c r="I54" s="1031"/>
      <c r="J54" s="1031"/>
      <c r="K54" s="1049"/>
      <c r="L54" s="75">
        <v>1.0043</v>
      </c>
    </row>
    <row r="55" spans="1:16">
      <c r="B55" s="1013" t="s">
        <v>166</v>
      </c>
      <c r="C55" s="1050" t="s">
        <v>720</v>
      </c>
      <c r="D55" s="1027"/>
      <c r="E55" s="1027"/>
      <c r="F55" s="1027"/>
      <c r="G55" s="1027"/>
      <c r="H55" s="1027"/>
      <c r="I55" s="1027"/>
      <c r="J55" s="1027"/>
      <c r="K55" s="1051"/>
      <c r="L55" s="77">
        <v>39500</v>
      </c>
    </row>
    <row r="56" spans="1:16">
      <c r="B56" s="1013" t="s">
        <v>168</v>
      </c>
      <c r="C56" s="1048" t="s">
        <v>721</v>
      </c>
      <c r="D56" s="1031"/>
      <c r="E56" s="1031"/>
      <c r="F56" s="1031"/>
      <c r="G56" s="1031"/>
      <c r="H56" s="1031"/>
      <c r="I56" s="1031"/>
      <c r="J56" s="1031"/>
      <c r="K56" s="1049"/>
      <c r="L56" s="76">
        <v>10000</v>
      </c>
    </row>
    <row r="57" spans="1:16">
      <c r="B57" s="1053" t="s">
        <v>170</v>
      </c>
      <c r="C57" s="1050" t="s">
        <v>722</v>
      </c>
      <c r="D57" s="1027"/>
      <c r="E57" s="1027"/>
      <c r="F57" s="1027"/>
      <c r="G57" s="1027"/>
      <c r="H57" s="1027"/>
      <c r="I57" s="1027"/>
      <c r="J57" s="1027"/>
      <c r="K57" s="1054"/>
      <c r="L57" s="1052">
        <f>L55+L56</f>
        <v>49500</v>
      </c>
    </row>
    <row r="59" spans="1:16" ht="21" customHeight="1">
      <c r="A59" s="1055" t="s">
        <v>723</v>
      </c>
      <c r="C59" s="449"/>
      <c r="M59"/>
      <c r="N59"/>
      <c r="O59"/>
      <c r="P59"/>
    </row>
    <row r="60" spans="1:16" ht="12" customHeight="1">
      <c r="B60" s="1013" t="s">
        <v>6</v>
      </c>
      <c r="C60" s="1026" t="s">
        <v>724</v>
      </c>
      <c r="D60" s="1056"/>
      <c r="E60" s="1056"/>
      <c r="F60" s="1056"/>
      <c r="G60" s="1027"/>
      <c r="H60" s="1027"/>
      <c r="I60" s="1027"/>
      <c r="J60" s="1027"/>
      <c r="K60" s="1051"/>
      <c r="L60" s="72">
        <v>683</v>
      </c>
      <c r="M60"/>
      <c r="N60"/>
      <c r="O60"/>
      <c r="P60"/>
    </row>
    <row r="61" spans="1:16" ht="12" customHeight="1">
      <c r="B61" s="1013" t="s">
        <v>9</v>
      </c>
      <c r="C61" s="1030" t="s">
        <v>725</v>
      </c>
      <c r="D61" s="1058"/>
      <c r="E61" s="1058"/>
      <c r="F61" s="1058"/>
      <c r="G61" s="1031"/>
      <c r="H61" s="1031"/>
      <c r="I61" s="1031"/>
      <c r="J61" s="1031"/>
      <c r="K61" s="1049"/>
      <c r="L61" s="74">
        <v>842</v>
      </c>
      <c r="M61"/>
      <c r="N61"/>
      <c r="O61"/>
      <c r="P61"/>
    </row>
    <row r="62" spans="1:16" ht="12" customHeight="1">
      <c r="B62" s="1013" t="s">
        <v>24</v>
      </c>
      <c r="C62" s="1748" t="s">
        <v>726</v>
      </c>
      <c r="D62" s="1749"/>
      <c r="E62" s="1749"/>
      <c r="F62" s="1749"/>
      <c r="G62" s="1027"/>
      <c r="H62" s="1027"/>
      <c r="I62" s="1027"/>
      <c r="J62" s="1027"/>
      <c r="K62" s="1051"/>
      <c r="L62" s="77">
        <v>0</v>
      </c>
      <c r="M62"/>
      <c r="N62"/>
      <c r="O62"/>
      <c r="P62"/>
    </row>
    <row r="63" spans="1:16" ht="12" customHeight="1">
      <c r="B63" s="1013" t="s">
        <v>51</v>
      </c>
      <c r="C63" s="1030" t="s">
        <v>727</v>
      </c>
      <c r="D63" s="1058"/>
      <c r="E63" s="1058"/>
      <c r="F63" s="1058"/>
      <c r="G63" s="1031"/>
      <c r="H63" s="1031"/>
      <c r="I63" s="1031"/>
      <c r="J63" s="1031"/>
      <c r="K63" s="1049"/>
      <c r="L63" s="76">
        <v>0</v>
      </c>
      <c r="M63"/>
      <c r="N63"/>
      <c r="O63"/>
      <c r="P63"/>
    </row>
    <row r="64" spans="1:16" ht="12" customHeight="1">
      <c r="B64" s="1013" t="s">
        <v>166</v>
      </c>
      <c r="C64" s="1026" t="s">
        <v>728</v>
      </c>
      <c r="D64" s="1056"/>
      <c r="E64" s="1056"/>
      <c r="F64" s="1056"/>
      <c r="G64" s="1056"/>
      <c r="H64" s="1056"/>
      <c r="I64" s="1056"/>
      <c r="J64" s="1056"/>
      <c r="K64" s="1051"/>
      <c r="L64" s="72">
        <v>829</v>
      </c>
      <c r="M64"/>
      <c r="N64"/>
      <c r="O64"/>
      <c r="P64"/>
    </row>
    <row r="65" spans="1:27" ht="12" customHeight="1">
      <c r="B65" s="281" t="s">
        <v>168</v>
      </c>
      <c r="C65" s="1030" t="s">
        <v>729</v>
      </c>
      <c r="D65" s="1058"/>
      <c r="E65" s="1058"/>
      <c r="F65" s="1058"/>
      <c r="G65" s="1031"/>
      <c r="H65" s="1031"/>
      <c r="I65" s="1031"/>
      <c r="J65" s="1031"/>
      <c r="K65" s="1049"/>
      <c r="L65" s="74">
        <v>0</v>
      </c>
      <c r="M65"/>
      <c r="N65"/>
      <c r="O65"/>
      <c r="P65"/>
    </row>
    <row r="66" spans="1:27" ht="14.25" customHeight="1">
      <c r="B66" s="281"/>
      <c r="K66" s="129"/>
      <c r="L66" s="1033"/>
      <c r="M66"/>
      <c r="N66"/>
      <c r="O66"/>
      <c r="P66"/>
    </row>
    <row r="67" spans="1:27" ht="21.75" customHeight="1">
      <c r="A67" s="1059" t="s">
        <v>730</v>
      </c>
      <c r="C67" s="450"/>
    </row>
    <row r="68" spans="1:27">
      <c r="B68" s="1013" t="s">
        <v>6</v>
      </c>
      <c r="C68" s="122" t="s">
        <v>731</v>
      </c>
    </row>
    <row r="69" spans="1:27">
      <c r="B69" s="1060"/>
      <c r="C69" s="1061" t="s">
        <v>639</v>
      </c>
      <c r="D69" s="1062" t="s">
        <v>681</v>
      </c>
      <c r="E69" s="1027"/>
      <c r="F69" s="1027"/>
      <c r="G69" s="1027"/>
      <c r="H69" s="1027"/>
      <c r="I69" s="1051"/>
      <c r="J69" s="1063"/>
      <c r="K69" s="1054"/>
      <c r="L69" s="77"/>
      <c r="M69" s="235"/>
      <c r="N69" s="1064"/>
    </row>
    <row r="70" spans="1:27">
      <c r="B70" s="1060"/>
      <c r="C70" s="122" t="s">
        <v>641</v>
      </c>
      <c r="D70" s="1065" t="s">
        <v>682</v>
      </c>
      <c r="E70" s="1031"/>
      <c r="F70" s="1031"/>
      <c r="G70" s="1031"/>
      <c r="H70" s="1031"/>
      <c r="I70" s="1049"/>
      <c r="J70" s="1066"/>
      <c r="K70" s="1067"/>
      <c r="L70" s="78"/>
      <c r="M70" s="235"/>
      <c r="N70" s="1064"/>
    </row>
    <row r="71" spans="1:27">
      <c r="B71" s="1060"/>
      <c r="C71" s="122" t="s">
        <v>643</v>
      </c>
      <c r="D71" s="1068" t="s">
        <v>683</v>
      </c>
      <c r="E71" s="1027"/>
      <c r="F71" s="1027"/>
      <c r="G71" s="1027"/>
      <c r="H71" s="1027"/>
      <c r="I71" s="1051"/>
      <c r="J71" s="1063"/>
      <c r="K71" s="1054"/>
      <c r="L71" s="79"/>
      <c r="M71" s="235"/>
      <c r="N71" s="1064"/>
    </row>
    <row r="72" spans="1:27" hidden="1">
      <c r="L72" s="13"/>
    </row>
    <row r="73" spans="1:27" hidden="1">
      <c r="L73" s="13"/>
    </row>
    <row r="74" spans="1:27" ht="13.5" customHeight="1">
      <c r="B74" s="1013" t="s">
        <v>9</v>
      </c>
      <c r="C74" s="1375" t="s">
        <v>732</v>
      </c>
      <c r="D74" s="1376"/>
      <c r="E74" s="1376"/>
      <c r="F74" s="1376"/>
      <c r="G74" s="1376"/>
      <c r="H74" s="1376"/>
      <c r="I74" s="1376"/>
      <c r="J74" s="1035"/>
      <c r="K74" s="1377"/>
      <c r="L74" s="76"/>
    </row>
    <row r="75" spans="1:27">
      <c r="B75" s="1013" t="s">
        <v>24</v>
      </c>
      <c r="C75" s="1062" t="s">
        <v>733</v>
      </c>
      <c r="D75" s="1069"/>
      <c r="E75" s="1069"/>
      <c r="F75" s="1069"/>
      <c r="G75" s="1069"/>
      <c r="H75" s="1069"/>
      <c r="I75" s="1069"/>
      <c r="J75" s="1027"/>
      <c r="K75" s="1054"/>
      <c r="L75" s="77"/>
      <c r="N75" s="1064"/>
    </row>
    <row r="76" spans="1:27">
      <c r="B76" s="1070"/>
      <c r="C76" s="130"/>
      <c r="D76" s="130"/>
      <c r="E76" s="130"/>
      <c r="F76" s="130"/>
      <c r="G76" s="130"/>
      <c r="H76" s="130"/>
      <c r="I76" s="130"/>
      <c r="K76" s="129"/>
      <c r="M76" s="233"/>
      <c r="N76" s="1064"/>
    </row>
    <row r="77" spans="1:27" ht="15.75" customHeight="1">
      <c r="B77" s="1071" t="s">
        <v>734</v>
      </c>
      <c r="C77" s="153"/>
      <c r="D77" s="153"/>
      <c r="E77" s="153"/>
      <c r="F77" s="153"/>
      <c r="J77" s="129"/>
      <c r="K77" s="129"/>
      <c r="L77" s="1064"/>
      <c r="M77" s="233"/>
      <c r="N77" s="1064"/>
    </row>
    <row r="78" spans="1:27">
      <c r="B78" s="1072" t="s">
        <v>51</v>
      </c>
      <c r="C78" s="1048" t="s">
        <v>735</v>
      </c>
      <c r="D78" s="1031"/>
      <c r="E78" s="1031"/>
      <c r="F78" s="1031"/>
      <c r="G78" s="1031"/>
      <c r="H78" s="1031"/>
      <c r="I78" s="1031"/>
      <c r="J78" s="1031"/>
      <c r="K78" s="1049"/>
      <c r="L78" s="108">
        <v>1289478606</v>
      </c>
      <c r="M78" s="233"/>
      <c r="N78" s="1064"/>
    </row>
    <row r="79" spans="1:27" ht="14.4">
      <c r="B79" s="1013" t="s">
        <v>166</v>
      </c>
      <c r="C79" s="1050" t="s">
        <v>736</v>
      </c>
      <c r="D79" s="1027"/>
      <c r="E79" s="1027"/>
      <c r="F79" s="1027"/>
      <c r="G79" s="1027"/>
      <c r="H79" s="1027"/>
      <c r="I79" s="1027"/>
      <c r="J79" s="1027"/>
      <c r="K79" s="1051"/>
      <c r="L79" s="109">
        <v>0</v>
      </c>
      <c r="M79" s="1736" t="str">
        <f>IF(AND(_PAV2&gt;0,P79&lt;&gt;"X"),"If the amount shown for Primary Assessed Valuation 2 (AV2) on page 6 of the District's most recent BSA 55-1 report from ADE is greater than 0, mark X in cell P77.","")</f>
        <v/>
      </c>
      <c r="N79" s="1737"/>
      <c r="O79" s="1737"/>
      <c r="P79" s="439"/>
      <c r="Q79" s="1073"/>
      <c r="R79" s="1073"/>
      <c r="S79" s="1073"/>
      <c r="T79" s="1073"/>
      <c r="U79" s="1073"/>
      <c r="V79" s="1073"/>
      <c r="W79" s="1073"/>
      <c r="X79" s="1073"/>
      <c r="Y79" s="1073"/>
      <c r="Z79" s="1073"/>
      <c r="AA79" s="1073"/>
    </row>
    <row r="80" spans="1:27">
      <c r="B80" s="1072" t="s">
        <v>168</v>
      </c>
      <c r="C80" s="1048" t="s">
        <v>737</v>
      </c>
      <c r="D80" s="1031"/>
      <c r="E80" s="1031"/>
      <c r="F80" s="1031"/>
      <c r="G80" s="1031"/>
      <c r="H80" s="1031"/>
      <c r="I80" s="1031"/>
      <c r="J80" s="1031"/>
      <c r="K80" s="1049"/>
      <c r="L80" s="108">
        <v>3846213</v>
      </c>
      <c r="M80" s="1736"/>
      <c r="N80" s="1737"/>
      <c r="O80" s="1737"/>
    </row>
    <row r="81" spans="2:15">
      <c r="B81" s="1072" t="s">
        <v>170</v>
      </c>
      <c r="C81" s="1050" t="s">
        <v>738</v>
      </c>
      <c r="D81" s="1027"/>
      <c r="E81" s="1027"/>
      <c r="F81" s="1027"/>
      <c r="G81" s="1027"/>
      <c r="H81" s="1027"/>
      <c r="I81" s="1027"/>
      <c r="J81" s="1027"/>
      <c r="K81" s="1051"/>
      <c r="L81" s="109">
        <v>0</v>
      </c>
      <c r="M81" s="1736"/>
      <c r="N81" s="1737"/>
      <c r="O81" s="1737"/>
    </row>
    <row r="82" spans="2:15" ht="12" customHeight="1">
      <c r="B82" s="281"/>
      <c r="K82" s="129"/>
      <c r="L82" s="423"/>
      <c r="M82" s="233"/>
      <c r="N82" s="1064"/>
    </row>
    <row r="83" spans="2:15" ht="15.75" customHeight="1">
      <c r="B83" s="1071" t="s">
        <v>739</v>
      </c>
      <c r="C83" s="153"/>
      <c r="D83" s="153"/>
      <c r="E83" s="153"/>
      <c r="F83" s="153"/>
      <c r="G83" s="153"/>
      <c r="K83" s="129"/>
      <c r="L83" s="423"/>
      <c r="M83" s="233"/>
      <c r="N83" s="1064"/>
    </row>
    <row r="84" spans="2:15">
      <c r="B84" s="1013" t="s">
        <v>172</v>
      </c>
      <c r="C84" s="1048" t="s">
        <v>740</v>
      </c>
      <c r="D84" s="1031"/>
      <c r="E84" s="1031"/>
      <c r="F84" s="1031"/>
      <c r="G84" s="1031"/>
      <c r="H84" s="1031"/>
      <c r="I84" s="1031"/>
      <c r="J84" s="1031"/>
      <c r="K84" s="1049"/>
      <c r="L84" s="76"/>
      <c r="M84" s="233"/>
      <c r="N84" s="1064"/>
    </row>
    <row r="85" spans="2:15">
      <c r="B85" s="1013" t="s">
        <v>174</v>
      </c>
      <c r="C85" s="1050" t="s">
        <v>741</v>
      </c>
      <c r="D85" s="1027"/>
      <c r="E85" s="1027"/>
      <c r="F85" s="1027"/>
      <c r="G85" s="1027"/>
      <c r="H85" s="1027"/>
      <c r="I85" s="1027"/>
      <c r="J85" s="1027"/>
      <c r="K85" s="1054"/>
      <c r="L85" s="77">
        <v>41965655</v>
      </c>
      <c r="M85" s="233"/>
      <c r="N85" s="1064"/>
    </row>
    <row r="86" spans="2:15">
      <c r="B86" s="1072" t="s">
        <v>176</v>
      </c>
      <c r="C86" s="1074" t="s">
        <v>742</v>
      </c>
      <c r="D86" s="1075"/>
      <c r="E86" s="1075"/>
      <c r="F86" s="1075"/>
      <c r="G86" s="1075"/>
      <c r="H86" s="1075"/>
      <c r="I86" s="1075"/>
      <c r="J86" s="1075"/>
      <c r="K86" s="1076"/>
      <c r="L86" s="1066"/>
      <c r="M86" s="233"/>
      <c r="N86" s="1064"/>
    </row>
    <row r="87" spans="2:15">
      <c r="C87" s="129" t="s">
        <v>639</v>
      </c>
      <c r="D87" s="1050" t="s">
        <v>743</v>
      </c>
      <c r="E87" s="1027"/>
      <c r="F87" s="1027"/>
      <c r="G87" s="1027"/>
      <c r="H87" s="1027"/>
      <c r="I87" s="1027"/>
      <c r="J87" s="1027"/>
      <c r="K87" s="1051"/>
      <c r="L87" s="77">
        <v>0</v>
      </c>
      <c r="M87" s="235"/>
      <c r="N87" s="1064"/>
    </row>
    <row r="88" spans="2:15">
      <c r="C88" s="129" t="s">
        <v>641</v>
      </c>
      <c r="D88" s="1048" t="s">
        <v>744</v>
      </c>
      <c r="E88" s="1031"/>
      <c r="F88" s="1031"/>
      <c r="G88" s="1031"/>
      <c r="H88" s="1031"/>
      <c r="I88" s="1031"/>
      <c r="J88" s="1031"/>
      <c r="K88" s="1049"/>
      <c r="L88" s="76">
        <v>0</v>
      </c>
      <c r="M88" s="235"/>
      <c r="N88" s="1064"/>
    </row>
    <row r="89" spans="2:15">
      <c r="B89" s="281"/>
      <c r="C89" s="129" t="s">
        <v>643</v>
      </c>
      <c r="D89" s="1050" t="s">
        <v>745</v>
      </c>
      <c r="E89" s="1027"/>
      <c r="F89" s="1027"/>
      <c r="G89" s="1027"/>
      <c r="H89" s="1027"/>
      <c r="I89" s="1027"/>
      <c r="J89" s="1027"/>
      <c r="K89" s="1051"/>
      <c r="L89" s="77">
        <v>0</v>
      </c>
      <c r="M89" s="235"/>
      <c r="N89" s="1064"/>
    </row>
    <row r="90" spans="2:15">
      <c r="B90" s="281"/>
      <c r="C90" s="129" t="s">
        <v>746</v>
      </c>
      <c r="D90" s="1048" t="s">
        <v>747</v>
      </c>
      <c r="E90" s="1031"/>
      <c r="F90" s="1031"/>
      <c r="G90" s="1031"/>
      <c r="H90" s="1031"/>
      <c r="I90" s="1031"/>
      <c r="J90" s="1031"/>
      <c r="K90" s="1049"/>
      <c r="L90" s="76">
        <v>0</v>
      </c>
      <c r="M90" s="235"/>
      <c r="N90" s="1064"/>
    </row>
    <row r="91" spans="2:15">
      <c r="B91" s="281"/>
      <c r="C91" s="129" t="s">
        <v>748</v>
      </c>
      <c r="D91" s="1050" t="s">
        <v>749</v>
      </c>
      <c r="E91" s="1027"/>
      <c r="F91" s="1027"/>
      <c r="G91" s="1027"/>
      <c r="H91" s="1027"/>
      <c r="I91" s="1027"/>
      <c r="J91" s="1027"/>
      <c r="K91" s="1051"/>
      <c r="L91" s="77">
        <v>0</v>
      </c>
      <c r="M91" s="235"/>
      <c r="N91" s="1064"/>
    </row>
    <row r="92" spans="2:15">
      <c r="B92" s="281"/>
      <c r="C92" s="1077" t="s">
        <v>750</v>
      </c>
      <c r="D92" s="1078" t="s">
        <v>751</v>
      </c>
      <c r="E92" s="1079"/>
      <c r="F92" s="1079"/>
      <c r="G92" s="1079"/>
      <c r="H92" s="1079"/>
      <c r="I92" s="1079"/>
      <c r="J92" s="1079"/>
      <c r="K92" s="1080"/>
      <c r="L92" s="93">
        <v>0</v>
      </c>
      <c r="M92" s="235"/>
      <c r="N92" s="1064"/>
    </row>
    <row r="93" spans="2:15">
      <c r="B93" s="1072" t="s">
        <v>178</v>
      </c>
      <c r="C93" s="1050" t="s">
        <v>752</v>
      </c>
      <c r="D93" s="1027"/>
      <c r="E93" s="1027"/>
      <c r="F93" s="1027"/>
      <c r="G93" s="1027"/>
      <c r="H93" s="1027"/>
      <c r="I93" s="1027"/>
      <c r="J93" s="1027"/>
      <c r="K93" s="1051"/>
      <c r="L93" s="77">
        <v>0</v>
      </c>
      <c r="M93" s="233"/>
      <c r="N93" s="1064"/>
    </row>
    <row r="94" spans="2:15" ht="12.75" customHeight="1">
      <c r="B94" s="281"/>
      <c r="K94" s="129"/>
      <c r="L94" s="1064"/>
      <c r="M94" s="233"/>
      <c r="N94" s="1064"/>
    </row>
    <row r="95" spans="2:15" ht="15.75" customHeight="1">
      <c r="B95" s="1081" t="s">
        <v>753</v>
      </c>
      <c r="C95" s="153"/>
      <c r="D95" s="153"/>
      <c r="E95" s="153"/>
      <c r="F95" s="153"/>
      <c r="G95" s="153"/>
      <c r="H95" s="153"/>
      <c r="K95" s="129"/>
      <c r="L95" s="1064"/>
      <c r="M95" s="233"/>
      <c r="N95" s="1064"/>
    </row>
    <row r="96" spans="2:15">
      <c r="B96" s="1013" t="s">
        <v>180</v>
      </c>
      <c r="C96" s="1048" t="s">
        <v>754</v>
      </c>
      <c r="D96" s="1031"/>
      <c r="E96" s="1031"/>
      <c r="F96" s="1031"/>
      <c r="G96" s="1031"/>
      <c r="H96" s="1031"/>
      <c r="I96" s="1031"/>
      <c r="J96" s="1031"/>
      <c r="K96" s="1067"/>
      <c r="L96" s="76">
        <v>0</v>
      </c>
      <c r="M96" s="233"/>
      <c r="N96" s="1064"/>
    </row>
    <row r="97" spans="2:17" ht="22.5" customHeight="1">
      <c r="B97" s="1072" t="s">
        <v>182</v>
      </c>
      <c r="C97" s="1729" t="s">
        <v>755</v>
      </c>
      <c r="D97" s="1730"/>
      <c r="E97" s="1730"/>
      <c r="F97" s="1730"/>
      <c r="G97" s="1730"/>
      <c r="H97" s="1730"/>
      <c r="I97" s="1730"/>
      <c r="J97" s="1730"/>
      <c r="K97" s="1054"/>
      <c r="L97" s="77">
        <v>0</v>
      </c>
      <c r="M97" s="233"/>
      <c r="N97" s="1064"/>
    </row>
    <row r="98" spans="2:17" ht="11.25" customHeight="1">
      <c r="B98" s="1013" t="s">
        <v>184</v>
      </c>
      <c r="C98" s="1733" t="s">
        <v>756</v>
      </c>
      <c r="D98" s="1734"/>
      <c r="E98" s="1734"/>
      <c r="F98" s="1734"/>
      <c r="G98" s="1734"/>
      <c r="H98" s="1734"/>
      <c r="I98" s="1734"/>
      <c r="J98" s="1734"/>
      <c r="K98" s="1067"/>
      <c r="L98" s="76">
        <v>0</v>
      </c>
      <c r="M98" s="233"/>
      <c r="O98" s="1064" t="s">
        <v>757</v>
      </c>
      <c r="Q98" s="1052">
        <f>Calculations!O122</f>
        <v>0</v>
      </c>
    </row>
    <row r="99" spans="2:17" ht="11.25" customHeight="1">
      <c r="B99" s="1013" t="s">
        <v>186</v>
      </c>
      <c r="C99" s="1026" t="s">
        <v>758</v>
      </c>
      <c r="D99" s="1056"/>
      <c r="E99" s="1056"/>
      <c r="F99" s="1056"/>
      <c r="G99" s="1056"/>
      <c r="H99" s="1056"/>
      <c r="I99" s="1056"/>
      <c r="J99" s="1056"/>
      <c r="K99" s="1054"/>
      <c r="L99" s="77">
        <v>0</v>
      </c>
      <c r="M99" s="233"/>
      <c r="N99" s="1064"/>
    </row>
    <row r="100" spans="2:17" ht="11.25" customHeight="1">
      <c r="B100" s="1072" t="s">
        <v>187</v>
      </c>
      <c r="C100" s="1048" t="s">
        <v>759</v>
      </c>
      <c r="D100" s="1083"/>
      <c r="E100" s="1083"/>
      <c r="F100" s="1083"/>
      <c r="G100" s="1083"/>
      <c r="H100" s="1083"/>
      <c r="I100" s="1083"/>
      <c r="J100" s="1083"/>
      <c r="K100" s="1067"/>
      <c r="L100" s="76">
        <v>0</v>
      </c>
      <c r="M100" s="233"/>
      <c r="N100" s="1064"/>
    </row>
    <row r="101" spans="2:17" ht="11.25" customHeight="1">
      <c r="B101" s="1072"/>
      <c r="D101" s="251"/>
      <c r="E101" s="251"/>
      <c r="F101" s="251"/>
      <c r="G101" s="251"/>
      <c r="H101" s="251"/>
      <c r="I101" s="251"/>
      <c r="J101" s="251"/>
      <c r="K101" s="129"/>
      <c r="L101" s="1064"/>
      <c r="M101" s="233"/>
      <c r="N101" s="1064"/>
    </row>
    <row r="102" spans="2:17" s="153" customFormat="1" ht="15.75" customHeight="1" thickBot="1">
      <c r="B102" s="1081" t="s">
        <v>760</v>
      </c>
      <c r="D102" s="487"/>
      <c r="E102" s="487"/>
      <c r="F102" s="487"/>
      <c r="G102" s="487"/>
      <c r="H102" s="487"/>
      <c r="I102" s="487"/>
      <c r="J102" s="487"/>
      <c r="K102" s="1084"/>
      <c r="L102" s="1085"/>
      <c r="M102" s="1086"/>
      <c r="N102" s="1085"/>
    </row>
    <row r="103" spans="2:17" ht="11.25" customHeight="1" thickBot="1">
      <c r="B103" s="1013" t="s">
        <v>188</v>
      </c>
      <c r="C103" s="71"/>
      <c r="D103" s="251"/>
      <c r="E103" s="1600" t="s">
        <v>761</v>
      </c>
      <c r="F103" s="1600"/>
      <c r="G103" s="1600"/>
      <c r="H103" s="1600"/>
      <c r="I103" s="1600"/>
      <c r="J103" s="1600"/>
      <c r="K103" s="1740" t="str">
        <f>IF(AND(SSAPhaseDownCheckbox="X",SSAFYExceeded=""),"COMPLETE LINE 18 BELOW"," ")</f>
        <v/>
      </c>
      <c r="L103" s="1740"/>
      <c r="M103" s="233"/>
      <c r="N103" s="1064"/>
    </row>
    <row r="104" spans="2:17" ht="24" customHeight="1">
      <c r="B104" s="1072"/>
      <c r="D104" s="251"/>
      <c r="E104" s="1600"/>
      <c r="F104" s="1600"/>
      <c r="G104" s="1600"/>
      <c r="H104" s="1600"/>
      <c r="I104" s="1600"/>
      <c r="J104" s="1600"/>
      <c r="K104" s="1740"/>
      <c r="L104" s="1740"/>
      <c r="M104" s="233"/>
      <c r="N104" s="1064"/>
    </row>
    <row r="105" spans="2:17" ht="11.25" customHeight="1">
      <c r="B105" s="1072"/>
      <c r="D105" s="251"/>
      <c r="E105" s="130"/>
      <c r="F105" s="251"/>
      <c r="G105" s="251"/>
      <c r="H105" s="251"/>
      <c r="I105" s="251"/>
      <c r="J105" s="251"/>
      <c r="K105" s="129"/>
      <c r="L105" s="1064"/>
      <c r="M105" s="233"/>
      <c r="N105" s="1064"/>
    </row>
    <row r="106" spans="2:17" ht="11.25" customHeight="1">
      <c r="B106" s="1013" t="s">
        <v>189</v>
      </c>
      <c r="C106" s="1738" t="s">
        <v>762</v>
      </c>
      <c r="D106" s="1739"/>
      <c r="E106" s="1739"/>
      <c r="F106" s="1739"/>
      <c r="G106" s="1739"/>
      <c r="H106" s="1739"/>
      <c r="I106" s="1739"/>
      <c r="J106" s="1739"/>
      <c r="K106" s="1054" t="s">
        <v>3</v>
      </c>
      <c r="L106" s="90"/>
      <c r="M106" s="233"/>
      <c r="N106" s="1064"/>
    </row>
    <row r="107" spans="2:17" ht="23.25" customHeight="1">
      <c r="B107" s="1072" t="s">
        <v>190</v>
      </c>
      <c r="C107" s="1733" t="s">
        <v>763</v>
      </c>
      <c r="D107" s="1734"/>
      <c r="E107" s="1734"/>
      <c r="F107" s="1734"/>
      <c r="G107" s="1734"/>
      <c r="H107" s="1734"/>
      <c r="I107" s="1734"/>
      <c r="J107" s="1734"/>
      <c r="K107" s="1067"/>
      <c r="L107" s="78"/>
      <c r="M107" s="233"/>
      <c r="N107" s="1064"/>
    </row>
    <row r="108" spans="2:17" ht="11.25" customHeight="1">
      <c r="B108" s="1072"/>
      <c r="C108" s="251"/>
      <c r="D108" s="251"/>
      <c r="E108" s="251"/>
      <c r="F108" s="251"/>
      <c r="G108" s="251"/>
      <c r="H108" s="251"/>
      <c r="I108" s="251"/>
      <c r="J108" s="251"/>
      <c r="K108" s="129"/>
      <c r="L108" s="1064"/>
      <c r="M108" s="233"/>
      <c r="N108" s="1064"/>
    </row>
    <row r="109" spans="2:17" ht="15.75" customHeight="1">
      <c r="B109" s="1081" t="s">
        <v>764</v>
      </c>
      <c r="C109" s="251"/>
      <c r="D109" s="251"/>
      <c r="E109" s="251"/>
      <c r="F109" s="251"/>
      <c r="G109" s="251"/>
      <c r="H109" s="251"/>
      <c r="I109" s="251"/>
      <c r="J109" s="251"/>
      <c r="K109" s="129"/>
      <c r="L109" s="1064"/>
      <c r="M109" s="233"/>
      <c r="N109" s="1064"/>
    </row>
    <row r="110" spans="2:17" ht="36" customHeight="1">
      <c r="B110" s="1081"/>
      <c r="C110" s="1600" t="s">
        <v>765</v>
      </c>
      <c r="D110" s="1743"/>
      <c r="E110" s="1743"/>
      <c r="F110" s="1743"/>
      <c r="G110" s="1743"/>
      <c r="H110" s="1743"/>
      <c r="I110" s="1743"/>
      <c r="J110" s="1743"/>
      <c r="K110" s="129"/>
      <c r="L110" s="1064"/>
      <c r="M110" s="233"/>
      <c r="N110" s="1064"/>
    </row>
    <row r="111" spans="2:17" ht="10.5" customHeight="1">
      <c r="B111" s="1081"/>
      <c r="C111" s="251"/>
      <c r="D111" s="251"/>
      <c r="E111" s="251"/>
      <c r="F111" s="251"/>
      <c r="G111" s="251"/>
      <c r="H111" s="251"/>
      <c r="I111" s="251"/>
      <c r="J111" s="251"/>
      <c r="K111" s="129"/>
      <c r="L111" s="1064"/>
      <c r="M111" s="233"/>
      <c r="N111" s="1064"/>
    </row>
    <row r="112" spans="2:17" ht="11.25" customHeight="1">
      <c r="B112" s="1072" t="s">
        <v>191</v>
      </c>
      <c r="C112" s="1050" t="s">
        <v>766</v>
      </c>
      <c r="D112" s="1082"/>
      <c r="E112" s="1069"/>
      <c r="F112" s="1082"/>
      <c r="G112" s="1082"/>
      <c r="H112" s="1082"/>
      <c r="I112" s="1082"/>
      <c r="J112" s="1082"/>
      <c r="K112" s="1054" t="s">
        <v>3</v>
      </c>
      <c r="L112" s="91"/>
      <c r="M112" s="233"/>
      <c r="N112" s="1064"/>
    </row>
    <row r="113" spans="1:15" ht="11.25" customHeight="1">
      <c r="B113" s="1072" t="s">
        <v>192</v>
      </c>
      <c r="C113" s="1048" t="s">
        <v>767</v>
      </c>
      <c r="D113" s="1083"/>
      <c r="E113" s="1087"/>
      <c r="F113" s="1083"/>
      <c r="G113" s="1083"/>
      <c r="H113" s="1083"/>
      <c r="I113" s="1083"/>
      <c r="J113" s="1083"/>
      <c r="K113" s="1067"/>
      <c r="L113" s="74"/>
      <c r="M113" s="233"/>
      <c r="N113" s="1064"/>
    </row>
    <row r="114" spans="1:15" ht="23.25" customHeight="1">
      <c r="B114" s="1072" t="s">
        <v>193</v>
      </c>
      <c r="C114" s="1738" t="s">
        <v>768</v>
      </c>
      <c r="D114" s="1739"/>
      <c r="E114" s="1739"/>
      <c r="F114" s="1739"/>
      <c r="G114" s="1739"/>
      <c r="H114" s="1739"/>
      <c r="I114" s="1739"/>
      <c r="J114" s="1739"/>
      <c r="K114" s="1054"/>
      <c r="L114" s="92"/>
      <c r="M114" s="233"/>
      <c r="N114" s="1064"/>
    </row>
    <row r="115" spans="1:15" ht="11.25" customHeight="1">
      <c r="B115" s="1072" t="s">
        <v>194</v>
      </c>
      <c r="C115" s="1048" t="s">
        <v>769</v>
      </c>
      <c r="D115" s="1083"/>
      <c r="E115" s="1087"/>
      <c r="F115" s="1083"/>
      <c r="G115" s="1083"/>
      <c r="H115" s="1083"/>
      <c r="I115" s="1083"/>
      <c r="J115" s="1083"/>
      <c r="K115" s="1067"/>
      <c r="L115" s="76"/>
      <c r="M115" s="233"/>
      <c r="N115" s="1064"/>
    </row>
    <row r="116" spans="1:15" ht="11.25" customHeight="1" thickBot="1">
      <c r="B116" s="1072" t="s">
        <v>196</v>
      </c>
      <c r="C116" s="1050" t="s">
        <v>770</v>
      </c>
      <c r="D116" s="1082"/>
      <c r="E116" s="1069"/>
      <c r="F116" s="1082"/>
      <c r="G116" s="1082"/>
      <c r="H116" s="1082"/>
      <c r="I116" s="1082"/>
      <c r="J116" s="1082"/>
      <c r="K116" s="1054"/>
      <c r="L116" s="77"/>
      <c r="M116" s="233"/>
      <c r="N116" s="1064"/>
    </row>
    <row r="117" spans="1:15" ht="4.5" hidden="1" customHeight="1">
      <c r="B117" s="281"/>
      <c r="D117" s="251"/>
      <c r="E117" s="130"/>
      <c r="F117" s="251"/>
      <c r="G117" s="251"/>
      <c r="H117" s="251"/>
      <c r="I117" s="251"/>
      <c r="J117" s="251"/>
      <c r="K117" s="129"/>
      <c r="L117" s="1064"/>
      <c r="M117" s="233"/>
      <c r="N117" s="1064"/>
    </row>
    <row r="118" spans="1:15" ht="11.25" customHeight="1" thickBot="1">
      <c r="B118" s="1089" t="s">
        <v>198</v>
      </c>
      <c r="C118" s="71"/>
      <c r="D118" s="251"/>
      <c r="E118" s="1741" t="s">
        <v>771</v>
      </c>
      <c r="F118" s="1741"/>
      <c r="G118" s="1741"/>
      <c r="H118" s="1741"/>
      <c r="I118" s="1741"/>
      <c r="J118" s="1090"/>
      <c r="K118" s="1076"/>
      <c r="L118" s="1091"/>
      <c r="M118" s="233"/>
      <c r="N118" s="1064"/>
    </row>
    <row r="119" spans="1:15" ht="15.75" customHeight="1">
      <c r="D119" s="251"/>
      <c r="E119" s="1742"/>
      <c r="F119" s="1742"/>
      <c r="G119" s="1742"/>
      <c r="H119" s="1742"/>
      <c r="I119" s="1742"/>
      <c r="J119" s="1090"/>
      <c r="K119" s="1076"/>
      <c r="L119" s="1091"/>
      <c r="M119" s="233"/>
      <c r="N119" s="1064"/>
    </row>
    <row r="120" spans="1:15" ht="11.25" customHeight="1">
      <c r="B120" s="1072" t="s">
        <v>201</v>
      </c>
      <c r="C120" s="1050" t="s">
        <v>772</v>
      </c>
      <c r="D120" s="1082"/>
      <c r="E120" s="1069"/>
      <c r="F120" s="1082"/>
      <c r="G120" s="1082"/>
      <c r="H120" s="1082"/>
      <c r="I120" s="1082"/>
      <c r="J120" s="1082"/>
      <c r="K120" s="1054"/>
      <c r="L120" s="92"/>
      <c r="M120" s="233"/>
      <c r="N120" s="1064"/>
    </row>
    <row r="121" spans="1:15" ht="11.25" customHeight="1">
      <c r="B121" s="1072" t="s">
        <v>203</v>
      </c>
      <c r="C121" s="1048" t="s">
        <v>773</v>
      </c>
      <c r="D121" s="1083"/>
      <c r="E121" s="1087"/>
      <c r="F121" s="1083"/>
      <c r="G121" s="1083"/>
      <c r="H121" s="1083"/>
      <c r="I121" s="1083"/>
      <c r="J121" s="1083"/>
      <c r="K121" s="1067"/>
      <c r="L121" s="73"/>
      <c r="M121" s="233"/>
      <c r="N121" s="1064"/>
    </row>
    <row r="122" spans="1:15" ht="11.25" customHeight="1">
      <c r="B122" s="1072"/>
      <c r="D122" s="251"/>
      <c r="E122" s="130"/>
      <c r="F122" s="251"/>
      <c r="G122" s="251"/>
      <c r="H122" s="251"/>
      <c r="I122" s="251"/>
      <c r="J122" s="251"/>
      <c r="K122" s="129"/>
      <c r="L122" s="1064"/>
      <c r="M122" s="233"/>
      <c r="N122" s="1064"/>
    </row>
    <row r="123" spans="1:15" ht="21.75" customHeight="1">
      <c r="A123" s="1059" t="s">
        <v>774</v>
      </c>
    </row>
    <row r="124" spans="1:15" ht="24" customHeight="1">
      <c r="B124" s="1072" t="s">
        <v>6</v>
      </c>
      <c r="C124" s="1738" t="s">
        <v>775</v>
      </c>
      <c r="D124" s="1739"/>
      <c r="E124" s="1739"/>
      <c r="F124" s="1739"/>
      <c r="G124" s="1739"/>
      <c r="H124" s="1739"/>
      <c r="I124" s="1739"/>
      <c r="J124" s="1739"/>
      <c r="K124" s="1744"/>
      <c r="L124" s="99"/>
      <c r="O124" s="155"/>
    </row>
    <row r="126" spans="1:15" ht="21.75" customHeight="1" thickBot="1">
      <c r="A126" s="1059" t="s">
        <v>776</v>
      </c>
      <c r="C126" s="450"/>
    </row>
    <row r="127" spans="1:15" ht="12" customHeight="1" thickBot="1">
      <c r="A127" s="450"/>
      <c r="B127" s="1013" t="s">
        <v>6</v>
      </c>
      <c r="C127" s="71"/>
      <c r="E127" s="153" t="s">
        <v>777</v>
      </c>
    </row>
    <row r="128" spans="1:15" ht="34.5" customHeight="1">
      <c r="A128" s="450"/>
      <c r="B128" s="1092"/>
      <c r="C128" s="1728" t="s">
        <v>778</v>
      </c>
      <c r="D128" s="1728"/>
      <c r="E128" s="1728"/>
      <c r="F128" s="1728"/>
      <c r="G128" s="1728"/>
      <c r="H128" s="1728"/>
      <c r="I128" s="1728"/>
      <c r="J128" s="1728"/>
      <c r="K128" s="1728"/>
    </row>
    <row r="129" spans="1:12" ht="12" customHeight="1">
      <c r="A129" s="450"/>
      <c r="B129" s="1013" t="s">
        <v>9</v>
      </c>
      <c r="C129" s="1050" t="s">
        <v>779</v>
      </c>
      <c r="D129" s="1031"/>
      <c r="E129" s="1058"/>
      <c r="F129" s="1031"/>
      <c r="G129" s="1031"/>
      <c r="H129" s="1031"/>
      <c r="I129" s="1031"/>
      <c r="J129" s="1031"/>
      <c r="K129" s="1067"/>
      <c r="L129" s="76"/>
    </row>
    <row r="130" spans="1:12">
      <c r="B130" s="583" t="s">
        <v>24</v>
      </c>
      <c r="C130" s="1050" t="s">
        <v>780</v>
      </c>
      <c r="D130" s="1027"/>
      <c r="E130" s="1027"/>
      <c r="F130" s="1027"/>
      <c r="G130" s="1027"/>
      <c r="H130" s="1027"/>
      <c r="I130" s="1027"/>
      <c r="J130" s="1027"/>
      <c r="K130" s="1054"/>
      <c r="L130" s="79"/>
    </row>
    <row r="131" spans="1:12">
      <c r="B131" s="281" t="s">
        <v>51</v>
      </c>
      <c r="C131" s="1048" t="s">
        <v>781</v>
      </c>
      <c r="D131" s="1031"/>
      <c r="E131" s="1031"/>
      <c r="F131" s="1031"/>
      <c r="G131" s="1031"/>
      <c r="H131" s="1031"/>
      <c r="I131" s="1031"/>
      <c r="J131" s="1031"/>
      <c r="K131" s="1067" t="s">
        <v>450</v>
      </c>
      <c r="L131" s="76"/>
    </row>
  </sheetData>
  <sheetProtection sheet="1" formatCells="0" formatColumns="0" formatRows="0"/>
  <mergeCells count="28">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128:K128"/>
    <mergeCell ref="C97:J97"/>
    <mergeCell ref="K19:M23"/>
    <mergeCell ref="C98:J98"/>
    <mergeCell ref="B25:E25"/>
    <mergeCell ref="C107:J107"/>
    <mergeCell ref="E103:J104"/>
    <mergeCell ref="M79:O81"/>
    <mergeCell ref="C106:J106"/>
    <mergeCell ref="K103:L104"/>
    <mergeCell ref="E118:I119"/>
    <mergeCell ref="C114:J114"/>
    <mergeCell ref="C110:J110"/>
    <mergeCell ref="C124:K124"/>
  </mergeCells>
  <conditionalFormatting sqref="I19">
    <cfRule type="expression" dxfId="2" priority="4" stopIfTrue="1">
      <formula>OR(#REF!&lt;&gt;"",#REF!&lt;&gt;"")</formula>
    </cfRule>
  </conditionalFormatting>
  <conditionalFormatting sqref="I20">
    <cfRule type="expression" dxfId="1" priority="5" stopIfTrue="1">
      <formula>OR(#REF!&lt;&gt;"",#REF!&lt;&gt;"")</formula>
    </cfRule>
  </conditionalFormatting>
  <conditionalFormatting sqref="I21">
    <cfRule type="expression" dxfId="0" priority="6" stopIfTrue="1">
      <formula>OR(#REF!&lt;&gt;"",#REF!&lt;&gt;"")</formula>
    </cfRule>
  </conditionalFormatting>
  <dataValidations xWindow="786" yWindow="800" count="8">
    <dataValidation type="list" allowBlank="1" showInputMessage="1" showErrorMessage="1" sqref="P79 C51 C47:D47 C103 C118 C127 P15">
      <formula1>"X"</formula1>
    </dataValidation>
    <dataValidation allowBlank="1" showInputMessage="1" showErrorMessage="1" prompt="If negative, enter amount in parentheses." sqref="L87:L92 L84:L85"/>
    <dataValidation type="whole" allowBlank="1" showInputMessage="1" showErrorMessage="1" errorTitle="Check date entry" error="Fiscal Year must be entered as a four-digit number." prompt="Enter a four-digit fiscal year." sqref="L106 L112">
      <formula1>1912</formula1>
      <formula2>2100</formula2>
    </dataValidation>
    <dataValidation allowBlank="1" sqref="L93:L94 L129"/>
    <dataValidation allowBlank="1" showInputMessage="1" showErrorMessage="1" prompt="Enter the FULL assessed valuation." sqref="L80:L82"/>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79"/>
    <dataValidation allowBlank="1" showInputMessage="1" showErrorMessage="1" prompt="Enter the full NET assessed valuation." sqref="L78"/>
    <dataValidation type="custom" allowBlank="1" showInputMessage="1" showErrorMessage="1" errorTitle="Amount should be negative" error="Amount will be negative, please use parentheses or minus sign to enter the reduction." prompt="Leave blank for budget adoption. Enter amount in parentheses." sqref="L74">
      <formula1>L74&lt;0</formula1>
    </dataValidation>
  </dataValidations>
  <hyperlinks>
    <hyperlink ref="B28" location="DataEntryUSCSCAl7" display="7."/>
    <hyperlink ref="B47" location="DataEntryOtherBSLBRCLAdjl1" display="1."/>
    <hyperlink ref="B51" location="DataEntryOtherBSLBRCLAdjl3" display="3."/>
    <hyperlink ref="B54" location="DataEntryOtherBSLBRCLAdjl5" display="5."/>
    <hyperlink ref="B55" location="DataEntryOtherBSLBRCLAdjl6" display="6."/>
    <hyperlink ref="B62:B63" location="DataEntryTransl3" display="3."/>
    <hyperlink ref="B64" location="DataEntryTransl5" display="5."/>
    <hyperlink ref="B68" location="DataEntryOtherInfol1" display="1."/>
    <hyperlink ref="B79" location="DataEntryOtherInfol5" display="5."/>
    <hyperlink ref="B84" location="DataEntryOtherInfol8" display="8."/>
    <hyperlink ref="B85" location="DataEntryOtherInfol9" display="9."/>
    <hyperlink ref="C92" location="DataEntryOtherInfo10f" display="f."/>
    <hyperlink ref="B129" location="DataEntryType01Infol2" display="2."/>
    <hyperlink ref="B75" location="DataEntryOtherInfol3" display="3."/>
    <hyperlink ref="B96" location="DataEntryOtherInfol12" display="12."/>
    <hyperlink ref="B98" location="DataEntryOtherInfol14" display="14."/>
    <hyperlink ref="B99" location="DataEntryOtherInfol15" display="15."/>
    <hyperlink ref="B103" location="DataEntryOtherInfol17" display="17."/>
    <hyperlink ref="B106" location="DataEntryOtherInfol18" display="18."/>
    <hyperlink ref="B16" location="DataEntryUSCl1" display="1."/>
    <hyperlink ref="B17" location="DataEntryUSCl2" display="2. "/>
    <hyperlink ref="B19:B21" location="DataEntryUSCl345" display="3."/>
    <hyperlink ref="B25:E25" location="DataEntryUSCSCAl720" display="STUDENT COUNT ADD-ONS"/>
    <hyperlink ref="B32" location="DataEntryUSCSCAl11" display="11."/>
    <hyperlink ref="B33" location="DataEntryUSCSCAl12" display="12."/>
    <hyperlink ref="B38" location="DataEntryUSCSCAl17" display="17."/>
    <hyperlink ref="B53" location="DataEntryOtherBSLBRCLAdjl4" display="4."/>
    <hyperlink ref="B56" location="DataEntryOtherBSLBRCLAdjl7" display="7."/>
    <hyperlink ref="B60:B61" location="DataEntryTransl1" display="1."/>
    <hyperlink ref="B30" location="DataEntryUSCSCAl9" display="9."/>
    <hyperlink ref="B31" location="DataEntryUSCSCAl10" display="10."/>
    <hyperlink ref="B34" location="DataEntryUSCSCAl13" display="13."/>
    <hyperlink ref="B35" location="DataEntryUSCSCAl14" display="14."/>
    <hyperlink ref="B36" location="DataEntryUSCSCAl15" display="15."/>
    <hyperlink ref="B37" location="DataEntryUSCSCAl16" display="16."/>
    <hyperlink ref="B39" location="DataEntryUSCSCAl18" display="18."/>
    <hyperlink ref="B40" location="DataEntryUSCSCAl19" display="19."/>
    <hyperlink ref="B41" location="DataEntryUSCSCAl20" display="20."/>
    <hyperlink ref="B127" location="DataEntryType01Infol1" display="1."/>
    <hyperlink ref="B29" location="DataEntryUSCSCAl7" display="8."/>
    <hyperlink ref="C69" location="DataEntryOtherInfol1Continued" display="a."/>
    <hyperlink ref="B74" location="DataEntryOtherInfol2" display="2."/>
    <hyperlink ref="B42" location="DataEntryUSCSCAl21" display="21."/>
    <hyperlink ref="B43" location="DataEntryUSCSCAl23" display="23."/>
  </hyperlinks>
  <printOptions horizontalCentered="1"/>
  <pageMargins left="0.2" right="0.2" top="0.25" bottom="0.25" header="0.5" footer="0.25"/>
  <pageSetup paperSize="5" scale="73" orientation="portrait" r:id="rId1"/>
  <headerFooter>
    <oddFooter>&amp;L&amp;"Times New Roman,Bold"Rev. 5/23 Arizona Department of Education and Auditor General&amp;R&amp;"Times New Roman,Bold"Page &amp;P of &amp;N</oddFooter>
  </headerFooter>
  <rowBreaks count="1" manualBreakCount="1">
    <brk id="94" max="12" man="1"/>
  </rowBreaks>
  <colBreaks count="1" manualBreakCount="1">
    <brk id="1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0"/>
  <sheetViews>
    <sheetView showGridLines="0" topLeftCell="A24" workbookViewId="0">
      <selection activeCell="O122" sqref="O122"/>
    </sheetView>
  </sheetViews>
  <sheetFormatPr defaultColWidth="9.08984375" defaultRowHeight="12"/>
  <cols>
    <col min="1" max="1" width="2.453125" style="122" bestFit="1" customWidth="1"/>
    <col min="2" max="2" width="2" style="122" customWidth="1"/>
    <col min="3" max="3" width="2.90625" style="122" customWidth="1"/>
    <col min="4" max="4" width="2" style="122" customWidth="1"/>
    <col min="5" max="5" width="6.453125" style="122" customWidth="1"/>
    <col min="6" max="6" width="10.90625" style="122" customWidth="1"/>
    <col min="7" max="7" width="9.08984375" style="122" customWidth="1"/>
    <col min="8" max="8" width="9.90625" style="122" customWidth="1"/>
    <col min="9" max="9" width="9.08984375" style="122" customWidth="1"/>
    <col min="10" max="10" width="7" style="122" customWidth="1"/>
    <col min="11" max="11" width="1.08984375" style="122" customWidth="1"/>
    <col min="12" max="12" width="9.08984375" style="122" customWidth="1"/>
    <col min="13" max="14" width="1.08984375" style="122" customWidth="1"/>
    <col min="15" max="15" width="9.90625" style="122" customWidth="1"/>
    <col min="16" max="17" width="1.08984375" style="122" customWidth="1"/>
    <col min="18" max="18" width="10" style="122" customWidth="1"/>
    <col min="19" max="19" width="9.08984375" style="122" customWidth="1"/>
    <col min="20" max="20" width="6.08984375" style="122" customWidth="1"/>
    <col min="21" max="22" width="9.08984375" style="122" customWidth="1"/>
    <col min="23" max="23" width="6" style="122" customWidth="1"/>
    <col min="24" max="24" width="10.1796875" style="122" customWidth="1"/>
    <col min="25" max="25" width="9.6328125" style="122" bestFit="1" customWidth="1"/>
    <col min="26" max="26" width="9.08984375" style="122" customWidth="1"/>
    <col min="27" max="27" width="6" style="122" customWidth="1"/>
    <col min="28" max="30" width="9.08984375" style="122" customWidth="1"/>
    <col min="31" max="31" width="6" style="122" customWidth="1"/>
    <col min="32" max="33" width="9.08984375" style="122" customWidth="1"/>
    <col min="34" max="16384" width="9.08984375" style="122"/>
  </cols>
  <sheetData>
    <row r="1" spans="1:17" ht="15.75" customHeight="1">
      <c r="A1" s="1745" t="s">
        <v>669</v>
      </c>
      <c r="B1" s="1745"/>
      <c r="C1" s="1745"/>
      <c r="D1" s="1745"/>
      <c r="E1" s="1746" t="str">
        <f>Cover!C1</f>
        <v>MADISON ELEMENTARY SCHOOL DISTRICT</v>
      </c>
      <c r="F1" s="1746"/>
      <c r="G1" s="1746"/>
      <c r="H1" s="611" t="s">
        <v>670</v>
      </c>
      <c r="I1" s="1746" t="str">
        <f>Cover!H1</f>
        <v>MARICOPA</v>
      </c>
      <c r="J1" s="1746"/>
      <c r="K1" s="1746"/>
      <c r="L1" s="1745" t="s">
        <v>671</v>
      </c>
      <c r="M1" s="1745"/>
      <c r="N1" s="1745"/>
      <c r="O1" s="1093" t="str">
        <f>CTD</f>
        <v>070438000</v>
      </c>
      <c r="P1" s="285"/>
      <c r="Q1" s="285"/>
    </row>
    <row r="2" spans="1:17">
      <c r="N2" s="611" t="s">
        <v>18</v>
      </c>
      <c r="O2" s="1093" t="str">
        <f>Cover!C8</f>
        <v>Adopted</v>
      </c>
    </row>
    <row r="3" spans="1:17" ht="1.5" customHeight="1">
      <c r="N3" s="611"/>
      <c r="O3" s="1094"/>
    </row>
    <row r="4" spans="1:17" ht="15.75" customHeight="1">
      <c r="F4" s="1421" t="s">
        <v>782</v>
      </c>
      <c r="G4" s="1421"/>
      <c r="H4" s="1421"/>
      <c r="I4" s="1421"/>
      <c r="N4" s="611"/>
      <c r="O4" s="1094"/>
    </row>
    <row r="5" spans="1:17" ht="2.25" customHeight="1">
      <c r="N5" s="611"/>
      <c r="O5" s="1094"/>
    </row>
    <row r="6" spans="1:17" ht="8.25" hidden="1" customHeight="1">
      <c r="N6" s="611"/>
      <c r="O6" s="1094"/>
    </row>
    <row r="7" spans="1:17" ht="14.25" customHeight="1"/>
    <row r="8" spans="1:17" ht="15.6">
      <c r="A8" s="1095" t="s">
        <v>783</v>
      </c>
      <c r="B8" s="450"/>
      <c r="C8" s="450"/>
      <c r="D8" s="450"/>
      <c r="E8" s="450"/>
      <c r="F8" s="450"/>
      <c r="G8" s="450"/>
      <c r="I8" s="1096"/>
    </row>
    <row r="9" spans="1:17" ht="15.75" customHeight="1">
      <c r="A9" s="450"/>
      <c r="B9" s="450"/>
      <c r="C9" s="450"/>
      <c r="D9" s="450"/>
      <c r="E9" s="450"/>
      <c r="F9" s="450"/>
      <c r="G9" s="1097"/>
      <c r="H9" s="1780" t="s">
        <v>784</v>
      </c>
      <c r="I9" s="1781"/>
      <c r="J9" s="1780" t="s">
        <v>785</v>
      </c>
      <c r="K9" s="1786"/>
      <c r="L9" s="1781"/>
      <c r="M9" s="1098"/>
    </row>
    <row r="10" spans="1:17" ht="15.6">
      <c r="B10" s="125"/>
      <c r="C10" s="450"/>
      <c r="E10" s="450"/>
      <c r="F10" s="450"/>
      <c r="G10" s="1097"/>
      <c r="H10" s="1782"/>
      <c r="I10" s="1783"/>
      <c r="J10" s="1782"/>
      <c r="K10" s="1787"/>
      <c r="L10" s="1783"/>
      <c r="M10" s="1098"/>
    </row>
    <row r="11" spans="1:17" ht="15.75" customHeight="1">
      <c r="A11" s="481"/>
      <c r="B11" s="481"/>
      <c r="C11" s="481"/>
      <c r="D11" s="481"/>
      <c r="E11" s="481"/>
      <c r="F11" s="481"/>
      <c r="G11" s="1099"/>
      <c r="H11" s="1100" t="s">
        <v>682</v>
      </c>
      <c r="I11" s="1101" t="s">
        <v>683</v>
      </c>
      <c r="J11" s="1765" t="s">
        <v>682</v>
      </c>
      <c r="K11" s="1766"/>
      <c r="L11" s="1101" t="s">
        <v>683</v>
      </c>
      <c r="M11" s="1102"/>
    </row>
    <row r="12" spans="1:17">
      <c r="A12" s="1103" t="s">
        <v>786</v>
      </c>
      <c r="B12" s="470"/>
      <c r="C12" s="470"/>
      <c r="D12" s="470"/>
      <c r="E12" s="470"/>
      <c r="F12" s="470"/>
      <c r="G12" s="1104"/>
      <c r="H12" s="1105"/>
      <c r="I12" s="1105"/>
      <c r="J12" s="1767"/>
      <c r="K12" s="1768"/>
      <c r="L12" s="1105"/>
      <c r="M12" s="1040"/>
    </row>
    <row r="13" spans="1:17" ht="12.6" thickBot="1">
      <c r="A13" s="1106"/>
      <c r="B13" s="1107" t="s">
        <v>787</v>
      </c>
      <c r="C13" s="1107"/>
      <c r="D13" s="1107"/>
      <c r="E13" s="1107"/>
      <c r="F13" s="1107"/>
      <c r="G13" s="1108"/>
      <c r="H13" s="1109">
        <v>1.5589999999999999</v>
      </c>
      <c r="I13" s="1109">
        <v>1.669</v>
      </c>
      <c r="J13" s="1769">
        <v>1.399</v>
      </c>
      <c r="K13" s="1770"/>
      <c r="L13" s="1109">
        <v>1.5589999999999999</v>
      </c>
      <c r="M13" s="1040"/>
    </row>
    <row r="14" spans="1:17">
      <c r="A14" s="1040" t="s">
        <v>788</v>
      </c>
      <c r="H14" s="1110"/>
      <c r="I14" s="1111"/>
      <c r="J14" s="1771"/>
      <c r="K14" s="1772"/>
      <c r="L14" s="1113"/>
    </row>
    <row r="15" spans="1:17">
      <c r="A15" s="1040"/>
      <c r="B15" s="122" t="s">
        <v>789</v>
      </c>
      <c r="H15" s="1114">
        <v>500</v>
      </c>
      <c r="I15" s="1115">
        <v>500</v>
      </c>
      <c r="J15" s="1773">
        <v>500</v>
      </c>
      <c r="K15" s="1774"/>
      <c r="L15" s="1116">
        <v>500</v>
      </c>
      <c r="M15" s="1117"/>
    </row>
    <row r="16" spans="1:17">
      <c r="A16" s="1040"/>
      <c r="B16" s="122" t="s">
        <v>790</v>
      </c>
      <c r="G16" s="129" t="s">
        <v>791</v>
      </c>
      <c r="H16" s="1118">
        <f>IF(AND(UnweightedStudCntK8CY&gt;=100,UnweightedStudCntK8CY&lt;500,SmallIsolatedPSD8Checkbox="X"),UnweightedStudCntK8CY,0)</f>
        <v>0</v>
      </c>
      <c r="I16" s="1118">
        <f>IF(AND(UnweightedStudCnt912CY&gt;=100,UnweightedStudCnt912CY&lt;500,SmallIsolated912Checkbox="X"),UnweightedStudCnt912CY,0)</f>
        <v>0</v>
      </c>
      <c r="J16" s="1788">
        <f>IF(AND(UnweightedStudCntK8CY&gt;=100,UnweightedStudCntK8CY&lt;500,SmallIsolatedPSD8Checkbox&lt;&gt;"X"),UnweightedStudCntK8CY,0)</f>
        <v>0</v>
      </c>
      <c r="K16" s="1789"/>
      <c r="L16" s="1119">
        <f>IF(AND(UnweightedStudCnt912CY&gt;=100,UnweightedStudCnt912CY&lt;500,SmallIsolated912Checkbox&lt;&gt;"X"),UnweightedStudCnt912CY,0)</f>
        <v>0</v>
      </c>
      <c r="M16" s="1117"/>
    </row>
    <row r="17" spans="1:13">
      <c r="A17" s="1040"/>
      <c r="B17" s="122" t="s">
        <v>792</v>
      </c>
      <c r="G17" s="129" t="s">
        <v>793</v>
      </c>
      <c r="H17" s="1118">
        <f>IF(H16&gt;0,H15-H16,0)</f>
        <v>0</v>
      </c>
      <c r="I17" s="1118">
        <f>IF(I16&gt;0,I15-I16,0)</f>
        <v>0</v>
      </c>
      <c r="J17" s="1788">
        <f>IF(J16&gt;0,J15-J16,0)</f>
        <v>0</v>
      </c>
      <c r="K17" s="1789"/>
      <c r="L17" s="1116">
        <f>IF(L16&gt;0,L15-L16,0)</f>
        <v>0</v>
      </c>
      <c r="M17" s="1117"/>
    </row>
    <row r="18" spans="1:13">
      <c r="A18" s="1040"/>
      <c r="B18" s="122" t="s">
        <v>794</v>
      </c>
      <c r="G18" s="129" t="s">
        <v>795</v>
      </c>
      <c r="H18" s="1118">
        <v>5.0000000000000001E-4</v>
      </c>
      <c r="I18" s="1118">
        <v>5.0000000000000001E-4</v>
      </c>
      <c r="J18" s="1788">
        <v>2.9999999999999997E-4</v>
      </c>
      <c r="K18" s="1789"/>
      <c r="L18" s="1115">
        <v>4.0000000000000002E-4</v>
      </c>
      <c r="M18" s="987"/>
    </row>
    <row r="19" spans="1:13">
      <c r="A19" s="1040"/>
      <c r="B19" s="122" t="s">
        <v>796</v>
      </c>
      <c r="G19" s="129" t="s">
        <v>793</v>
      </c>
      <c r="H19" s="1118">
        <f>H17*H18</f>
        <v>0</v>
      </c>
      <c r="I19" s="1118">
        <f>I17*I18</f>
        <v>0</v>
      </c>
      <c r="J19" s="1788">
        <f>J17*J18</f>
        <v>0</v>
      </c>
      <c r="K19" s="1789"/>
      <c r="L19" s="1119">
        <f>L17*L18</f>
        <v>0</v>
      </c>
      <c r="M19" s="1117"/>
    </row>
    <row r="20" spans="1:13">
      <c r="A20" s="1040"/>
      <c r="B20" s="122" t="s">
        <v>787</v>
      </c>
      <c r="G20" s="129" t="s">
        <v>797</v>
      </c>
      <c r="H20" s="1120">
        <v>1.3580000000000001</v>
      </c>
      <c r="I20" s="1120">
        <v>1.468</v>
      </c>
      <c r="J20" s="1777">
        <v>1.278</v>
      </c>
      <c r="K20" s="1778"/>
      <c r="L20" s="1121">
        <v>1.3979999999999999</v>
      </c>
      <c r="M20" s="1117"/>
    </row>
    <row r="21" spans="1:13" ht="12.6" thickBot="1">
      <c r="A21" s="1040"/>
      <c r="C21" s="122" t="s">
        <v>798</v>
      </c>
      <c r="G21" s="129" t="s">
        <v>793</v>
      </c>
      <c r="H21" s="1122">
        <f>IF(H16&gt;0,H19+H20,0)</f>
        <v>0</v>
      </c>
      <c r="I21" s="1122">
        <f>IF(I16&gt;0,I19+I20,0)</f>
        <v>0</v>
      </c>
      <c r="J21" s="1793">
        <f>IF(J16&gt;0,J19+J20,0)</f>
        <v>0</v>
      </c>
      <c r="K21" s="1794"/>
      <c r="L21" s="1123">
        <f>IF(L16&gt;0,L19+L20,0)</f>
        <v>0</v>
      </c>
      <c r="M21" s="1117"/>
    </row>
    <row r="22" spans="1:13">
      <c r="A22" s="1040" t="s">
        <v>799</v>
      </c>
      <c r="H22" s="1110"/>
      <c r="I22" s="1111"/>
      <c r="J22" s="1771"/>
      <c r="K22" s="1772"/>
      <c r="L22" s="1113"/>
    </row>
    <row r="23" spans="1:13">
      <c r="A23" s="1040"/>
      <c r="B23" s="122" t="s">
        <v>789</v>
      </c>
      <c r="H23" s="1124">
        <v>600</v>
      </c>
      <c r="I23" s="1125">
        <v>600</v>
      </c>
      <c r="J23" s="1784">
        <v>600</v>
      </c>
      <c r="K23" s="1785"/>
      <c r="L23" s="1126">
        <v>600</v>
      </c>
      <c r="M23" s="1117"/>
    </row>
    <row r="24" spans="1:13">
      <c r="A24" s="1040"/>
      <c r="B24" s="122" t="s">
        <v>800</v>
      </c>
      <c r="G24" s="129" t="s">
        <v>791</v>
      </c>
      <c r="H24" s="1016">
        <f>IF(AND(UnweightedStudCntK8CY&gt;=500,UnweightedStudCntK8CY&lt;600,SmallIsolatedPSD8Checkbox="X"),UnweightedStudCntK8CY,0)</f>
        <v>0</v>
      </c>
      <c r="I24" s="1016">
        <f>IF(AND(UnweightedStudCnt912CY&gt;=500,UnweightedStudCnt912CY&lt;600,SmallIsolated912Checkbox="X"),UnweightedStudCnt912CY,0)</f>
        <v>0</v>
      </c>
      <c r="J24" s="1784">
        <f>IF(AND(UnweightedStudCntK8CY&gt;=500,UnweightedStudCntK8CY&lt;600,SmallIsolatedPSD8Checkbox&lt;&gt;"X"),UnweightedStudCntK8CY,0)</f>
        <v>0</v>
      </c>
      <c r="K24" s="1785"/>
      <c r="L24" s="1017">
        <f>IF(AND(UnweightedStudCnt912CY&gt;=500,UnweightedStudCnt912CY&lt;600,SmallIsolated912Checkbox&lt;&gt;"X"),UnweightedStudCnt912CY,0)</f>
        <v>0</v>
      </c>
      <c r="M24" s="1117"/>
    </row>
    <row r="25" spans="1:13">
      <c r="A25" s="1040"/>
      <c r="B25" s="122" t="s">
        <v>792</v>
      </c>
      <c r="G25" s="129" t="s">
        <v>793</v>
      </c>
      <c r="H25" s="1016">
        <f>IF(H24&gt;0,H23-H24,0)</f>
        <v>0</v>
      </c>
      <c r="I25" s="1016">
        <f>IF(I24&gt;0,I23-I24,0)</f>
        <v>0</v>
      </c>
      <c r="J25" s="1784">
        <f>IF(J24&gt;0,J23-J24,0)</f>
        <v>0</v>
      </c>
      <c r="K25" s="1785"/>
      <c r="L25" s="1017">
        <f>IF(L24&gt;0,L23-L24,0)</f>
        <v>0</v>
      </c>
      <c r="M25" s="1117"/>
    </row>
    <row r="26" spans="1:13">
      <c r="A26" s="1040"/>
      <c r="B26" s="122" t="s">
        <v>794</v>
      </c>
      <c r="G26" s="129" t="s">
        <v>795</v>
      </c>
      <c r="H26" s="1016">
        <v>2E-3</v>
      </c>
      <c r="I26" s="1016">
        <v>2E-3</v>
      </c>
      <c r="J26" s="1784">
        <v>1.1999999999999999E-3</v>
      </c>
      <c r="K26" s="1785"/>
      <c r="L26" s="1017">
        <v>1.2999999999999999E-3</v>
      </c>
      <c r="M26" s="987"/>
    </row>
    <row r="27" spans="1:13">
      <c r="A27" s="1040"/>
      <c r="B27" s="122" t="s">
        <v>796</v>
      </c>
      <c r="G27" s="129" t="s">
        <v>793</v>
      </c>
      <c r="H27" s="1016">
        <f>H25*H26</f>
        <v>0</v>
      </c>
      <c r="I27" s="1016">
        <f>I25*I26</f>
        <v>0</v>
      </c>
      <c r="J27" s="1784">
        <f>J25*J26</f>
        <v>0</v>
      </c>
      <c r="K27" s="1785"/>
      <c r="L27" s="1017">
        <f>L25*L26</f>
        <v>0</v>
      </c>
      <c r="M27" s="1117"/>
    </row>
    <row r="28" spans="1:13">
      <c r="A28" s="1040"/>
      <c r="B28" s="122" t="s">
        <v>787</v>
      </c>
      <c r="G28" s="129" t="s">
        <v>797</v>
      </c>
      <c r="H28" s="1120">
        <v>1.1579999999999999</v>
      </c>
      <c r="I28" s="1120">
        <v>1.268</v>
      </c>
      <c r="J28" s="1777">
        <v>1.1579999999999999</v>
      </c>
      <c r="K28" s="1778"/>
      <c r="L28" s="1121">
        <v>1.268</v>
      </c>
      <c r="M28" s="1117"/>
    </row>
    <row r="29" spans="1:13" ht="12.6" thickBot="1">
      <c r="A29" s="1040"/>
      <c r="C29" s="122" t="s">
        <v>798</v>
      </c>
      <c r="G29" s="1112" t="s">
        <v>793</v>
      </c>
      <c r="H29" s="1122">
        <f>IF(H24&gt;0,H27+H28,0)</f>
        <v>0</v>
      </c>
      <c r="I29" s="1122">
        <f>IF(I24&gt;0,I27+I28,0)</f>
        <v>0</v>
      </c>
      <c r="J29" s="1793">
        <f>IF(J24&gt;0,J27+J28,0)</f>
        <v>0</v>
      </c>
      <c r="K29" s="1794"/>
      <c r="L29" s="1123">
        <f>IF(L24&gt;0,L27+L28,0)</f>
        <v>0</v>
      </c>
      <c r="M29" s="1117"/>
    </row>
    <row r="30" spans="1:13">
      <c r="A30" s="1040" t="s">
        <v>801</v>
      </c>
      <c r="H30" s="1127"/>
      <c r="I30" s="1128"/>
      <c r="J30" s="1489"/>
      <c r="K30" s="1772"/>
      <c r="L30" s="1113"/>
    </row>
    <row r="31" spans="1:13" ht="12.6" thickBot="1">
      <c r="A31" s="1129"/>
      <c r="B31" s="1130" t="s">
        <v>787</v>
      </c>
      <c r="C31" s="1130"/>
      <c r="D31" s="1130"/>
      <c r="E31" s="1130"/>
      <c r="F31" s="1130"/>
      <c r="G31" s="1130"/>
      <c r="H31" s="1131"/>
      <c r="I31" s="1132"/>
      <c r="J31" s="1775">
        <v>1.1579999999999999</v>
      </c>
      <c r="K31" s="1776"/>
      <c r="L31" s="1133">
        <v>1.268</v>
      </c>
      <c r="M31" s="1117"/>
    </row>
    <row r="32" spans="1:13">
      <c r="A32" s="1040" t="s">
        <v>802</v>
      </c>
      <c r="H32" s="1134"/>
      <c r="I32" s="1128"/>
      <c r="J32" s="1791"/>
      <c r="K32" s="1792"/>
      <c r="L32" s="1113"/>
    </row>
    <row r="33" spans="1:22" ht="12.6" thickBot="1">
      <c r="A33" s="1129"/>
      <c r="B33" s="1130" t="s">
        <v>803</v>
      </c>
      <c r="C33" s="1130"/>
      <c r="D33" s="1130"/>
      <c r="E33" s="1130"/>
      <c r="F33" s="1130"/>
      <c r="G33" s="1130"/>
      <c r="H33" s="1131"/>
      <c r="I33" s="1132"/>
      <c r="J33" s="1795"/>
      <c r="K33" s="1796"/>
      <c r="L33" s="1133">
        <v>1.339</v>
      </c>
      <c r="M33" s="1117"/>
      <c r="T33" s="1391" t="s">
        <v>804</v>
      </c>
      <c r="U33" s="1391"/>
      <c r="V33" s="1391"/>
    </row>
    <row r="34" spans="1:22">
      <c r="U34" s="1011" t="s">
        <v>698</v>
      </c>
      <c r="V34" s="1011" t="s">
        <v>805</v>
      </c>
    </row>
    <row r="35" spans="1:22">
      <c r="B35" s="281"/>
      <c r="C35" s="130"/>
      <c r="D35" s="130"/>
      <c r="E35" s="130"/>
      <c r="F35" s="130"/>
      <c r="G35" s="1032"/>
      <c r="H35" s="1032"/>
      <c r="I35" s="1032"/>
      <c r="L35" s="1135"/>
      <c r="O35" s="1136"/>
      <c r="P35" s="1136"/>
      <c r="Q35" s="1136"/>
      <c r="R35" s="1136"/>
      <c r="S35" s="1136"/>
      <c r="T35" s="122" t="s">
        <v>806</v>
      </c>
      <c r="U35" s="1017">
        <f>NonAOIStudCntK3*K3SLW</f>
        <v>130.93549999999999</v>
      </c>
      <c r="V35" s="1017">
        <f>NonAOIStudCntK3R*K3RSLW</f>
        <v>87.290300000000002</v>
      </c>
    </row>
    <row r="36" spans="1:22" ht="12" customHeight="1">
      <c r="T36" s="122" t="s">
        <v>807</v>
      </c>
      <c r="U36" s="1017">
        <f>AOIFTStudCntK3*K3SLW*AOIFTFundFactor</f>
        <v>0</v>
      </c>
      <c r="V36" s="1017">
        <f>AOIFTStudCntK3R*K3RSLW*AOIFTFundFactor</f>
        <v>0</v>
      </c>
    </row>
    <row r="37" spans="1:22" ht="14.25" customHeight="1">
      <c r="A37" s="1095" t="s">
        <v>808</v>
      </c>
      <c r="T37" s="122" t="s">
        <v>809</v>
      </c>
      <c r="U37" s="1017">
        <f>AOIPTStudCntK3*K3SLW*AOIPTFundFactor</f>
        <v>0</v>
      </c>
      <c r="V37" s="1017">
        <f>AOIPTStudCntK3R*K3RSLW*AOIPTFundFactor</f>
        <v>0</v>
      </c>
    </row>
    <row r="38" spans="1:22">
      <c r="B38" s="281" t="s">
        <v>6</v>
      </c>
      <c r="C38" s="122" t="s">
        <v>810</v>
      </c>
      <c r="L38" s="122" t="s">
        <v>698</v>
      </c>
      <c r="N38" s="1137" t="s">
        <v>450</v>
      </c>
      <c r="O38" s="1138">
        <f>ROUND(U38*BSA55BLA*BSA55TEI,2)</f>
        <v>646277.1</v>
      </c>
      <c r="T38" s="122" t="s">
        <v>615</v>
      </c>
      <c r="U38" s="1017">
        <f>U35+U36+U37</f>
        <v>130.93549999999999</v>
      </c>
      <c r="V38" s="1017">
        <f>V35+V36+V37</f>
        <v>87.290300000000002</v>
      </c>
    </row>
    <row r="39" spans="1:22">
      <c r="B39" s="281"/>
      <c r="L39" s="122" t="s">
        <v>697</v>
      </c>
      <c r="N39" s="1137" t="s">
        <v>450</v>
      </c>
      <c r="O39" s="1138">
        <f>ROUND(V38*BSA55BLA*BSA55TEI,2)</f>
        <v>430851.24</v>
      </c>
      <c r="T39" s="1519" t="s">
        <v>811</v>
      </c>
      <c r="U39" s="1519"/>
      <c r="V39" s="1519"/>
    </row>
    <row r="40" spans="1:22">
      <c r="B40" s="281"/>
      <c r="Q40" s="129"/>
      <c r="R40" s="1064"/>
      <c r="T40" s="1519"/>
      <c r="U40" s="1519"/>
      <c r="V40" s="1519"/>
    </row>
    <row r="41" spans="1:22" ht="12" customHeight="1">
      <c r="B41" s="281" t="s">
        <v>9</v>
      </c>
      <c r="C41" s="122" t="s">
        <v>812</v>
      </c>
      <c r="N41" s="1137" t="s">
        <v>450</v>
      </c>
      <c r="O41" s="1138">
        <v>0</v>
      </c>
    </row>
    <row r="42" spans="1:22">
      <c r="Q42" s="129"/>
      <c r="R42" s="1064"/>
    </row>
    <row r="43" spans="1:22" ht="2.25" customHeight="1">
      <c r="R43" s="1139"/>
    </row>
    <row r="44" spans="1:22" ht="12" hidden="1" customHeight="1">
      <c r="A44" s="1140"/>
      <c r="B44" s="1140"/>
      <c r="C44" s="1140"/>
      <c r="D44" s="1140"/>
      <c r="E44" s="1140"/>
      <c r="F44" s="1140"/>
      <c r="G44" s="1140"/>
      <c r="H44" s="1140"/>
      <c r="I44" s="1140"/>
      <c r="J44" s="1140"/>
      <c r="K44" s="1140"/>
      <c r="L44" s="1140"/>
      <c r="M44" s="1140"/>
      <c r="N44" s="1140"/>
      <c r="O44" s="1140"/>
      <c r="P44" s="1140"/>
      <c r="Q44" s="1140"/>
    </row>
    <row r="45" spans="1:22" ht="12" hidden="1" customHeight="1"/>
    <row r="46" spans="1:22" ht="12" hidden="1" customHeight="1"/>
    <row r="47" spans="1:22" ht="12" customHeight="1"/>
    <row r="48" spans="1:22" ht="15.6">
      <c r="A48" s="1095" t="s">
        <v>813</v>
      </c>
      <c r="C48" s="450"/>
      <c r="D48" s="450"/>
    </row>
    <row r="49" spans="1:16" ht="18" customHeight="1">
      <c r="A49" s="450"/>
      <c r="B49" s="450"/>
      <c r="C49" s="450"/>
      <c r="D49" s="450"/>
      <c r="F49" s="150" t="s">
        <v>814</v>
      </c>
    </row>
    <row r="50" spans="1:16" ht="15.6">
      <c r="A50" s="450"/>
      <c r="B50" s="450"/>
      <c r="C50" s="450"/>
      <c r="D50" s="450"/>
      <c r="L50" s="991" t="s">
        <v>682</v>
      </c>
      <c r="O50" s="1093" t="s">
        <v>683</v>
      </c>
      <c r="P50" s="285"/>
    </row>
    <row r="51" spans="1:16">
      <c r="B51" s="1041" t="s">
        <v>6</v>
      </c>
      <c r="C51" s="122" t="s">
        <v>815</v>
      </c>
    </row>
    <row r="52" spans="1:16" ht="12.6" thickBot="1">
      <c r="B52" s="273"/>
      <c r="F52" s="122" t="s">
        <v>816</v>
      </c>
      <c r="K52" s="1141" t="s">
        <v>450</v>
      </c>
      <c r="L52" s="1142">
        <v>663.81</v>
      </c>
      <c r="N52" s="1141" t="s">
        <v>450</v>
      </c>
      <c r="O52" s="1142">
        <v>732.87</v>
      </c>
    </row>
    <row r="53" spans="1:16" ht="6.75" customHeight="1" thickTop="1">
      <c r="B53" s="273"/>
    </row>
    <row r="54" spans="1:16">
      <c r="B54" s="1041" t="s">
        <v>9</v>
      </c>
      <c r="C54" s="122" t="s">
        <v>817</v>
      </c>
    </row>
    <row r="55" spans="1:16">
      <c r="B55" s="273"/>
      <c r="C55" s="129" t="s">
        <v>639</v>
      </c>
      <c r="D55" s="122" t="s">
        <v>789</v>
      </c>
      <c r="K55" s="1050"/>
      <c r="L55" s="1143">
        <v>500</v>
      </c>
      <c r="N55" s="1050"/>
      <c r="O55" s="1143">
        <v>500</v>
      </c>
    </row>
    <row r="56" spans="1:16">
      <c r="B56" s="273"/>
      <c r="C56" s="129" t="s">
        <v>641</v>
      </c>
      <c r="D56" s="122" t="s">
        <v>800</v>
      </c>
      <c r="J56" s="129" t="s">
        <v>791</v>
      </c>
      <c r="K56" s="1144"/>
      <c r="L56" s="1143">
        <f>IF(AND(100&lt;='Data Entry'!H17,'Data Entry'!H17&lt;500),'Data Entry'!H17,0)</f>
        <v>0</v>
      </c>
      <c r="M56" s="129" t="s">
        <v>791</v>
      </c>
      <c r="N56" s="1050"/>
      <c r="O56" s="1143">
        <f>IF(AND(VALUE(LEFT(RIGHT(O1,7),2))=3,(UnweightedStudCnt912PY+HSCountDORtoDOA)&gt;=100,(UnweightedStudCnt912PY+HSCountDORtoDOA)&lt;500),(UnweightedStudCnt912PY+HSCountDORtoDOA),IF(AND(UnweightedStudCnt912PY&gt;=100,UnweightedStudCnt912PY&lt;500),UnweightedStudCnt912PY,0))</f>
        <v>0</v>
      </c>
    </row>
    <row r="57" spans="1:16">
      <c r="B57" s="273"/>
      <c r="C57" s="129" t="s">
        <v>643</v>
      </c>
      <c r="D57" s="122" t="s">
        <v>792</v>
      </c>
      <c r="J57" s="129" t="s">
        <v>793</v>
      </c>
      <c r="K57" s="1144"/>
      <c r="L57" s="1143">
        <f>IF(L56&gt;0,L55-L56,0)</f>
        <v>0</v>
      </c>
      <c r="M57" s="129" t="s">
        <v>793</v>
      </c>
      <c r="N57" s="1050"/>
      <c r="O57" s="1143">
        <f>IF(O56&gt;0,O55-O56,0)</f>
        <v>0</v>
      </c>
    </row>
    <row r="58" spans="1:16">
      <c r="B58" s="273"/>
      <c r="C58" s="129" t="s">
        <v>746</v>
      </c>
      <c r="D58" s="122" t="s">
        <v>794</v>
      </c>
      <c r="J58" s="129" t="s">
        <v>795</v>
      </c>
      <c r="K58" s="1144"/>
      <c r="L58" s="1143">
        <v>2.9999999999999997E-4</v>
      </c>
      <c r="M58" s="129" t="s">
        <v>795</v>
      </c>
      <c r="N58" s="1050"/>
      <c r="O58" s="1145">
        <v>4.0000000000000002E-4</v>
      </c>
    </row>
    <row r="59" spans="1:16">
      <c r="B59" s="273"/>
      <c r="C59" s="129" t="s">
        <v>748</v>
      </c>
      <c r="D59" s="122" t="s">
        <v>796</v>
      </c>
      <c r="J59" s="129" t="s">
        <v>793</v>
      </c>
      <c r="K59" s="1144"/>
      <c r="L59" s="1143">
        <f>IF(L56&gt;0,ROUND(+L57*L58,3),0)</f>
        <v>0</v>
      </c>
      <c r="M59" s="129" t="s">
        <v>793</v>
      </c>
      <c r="N59" s="1050"/>
      <c r="O59" s="1143">
        <f>IF(O56&gt;0,ROUND(+O57*O58,3),0)</f>
        <v>0</v>
      </c>
    </row>
    <row r="60" spans="1:16">
      <c r="B60" s="273"/>
      <c r="C60" s="129" t="s">
        <v>750</v>
      </c>
      <c r="D60" s="122" t="s">
        <v>818</v>
      </c>
      <c r="J60" s="129" t="s">
        <v>797</v>
      </c>
      <c r="K60" s="1144"/>
      <c r="L60" s="1143">
        <v>1.278</v>
      </c>
      <c r="M60" s="129" t="s">
        <v>797</v>
      </c>
      <c r="N60" s="1050"/>
      <c r="O60" s="1145">
        <v>1.3979999999999999</v>
      </c>
    </row>
    <row r="61" spans="1:16">
      <c r="B61" s="273"/>
      <c r="C61" s="129" t="s">
        <v>819</v>
      </c>
      <c r="D61" s="122" t="s">
        <v>798</v>
      </c>
      <c r="J61" s="129" t="s">
        <v>793</v>
      </c>
      <c r="K61" s="1144"/>
      <c r="L61" s="1143">
        <f>IF(L56&gt;0,+L59+L60,0)</f>
        <v>0</v>
      </c>
      <c r="M61" s="129" t="s">
        <v>793</v>
      </c>
      <c r="N61" s="1050"/>
      <c r="O61" s="1143">
        <f>IF(O56&gt;0,+O59+O60,0)</f>
        <v>0</v>
      </c>
    </row>
    <row r="62" spans="1:16">
      <c r="B62" s="273"/>
      <c r="C62" s="129" t="s">
        <v>820</v>
      </c>
      <c r="D62" s="122" t="s">
        <v>821</v>
      </c>
      <c r="J62" s="129" t="s">
        <v>795</v>
      </c>
      <c r="K62" s="1137" t="s">
        <v>450</v>
      </c>
      <c r="L62" s="1146">
        <v>474.47</v>
      </c>
      <c r="M62" s="129" t="s">
        <v>795</v>
      </c>
      <c r="N62" s="1137" t="s">
        <v>450</v>
      </c>
      <c r="O62" s="1146">
        <v>494.39</v>
      </c>
    </row>
    <row r="63" spans="1:16" ht="12.6" thickBot="1">
      <c r="B63" s="273"/>
      <c r="C63" s="129" t="s">
        <v>822</v>
      </c>
      <c r="D63" s="129"/>
      <c r="F63" s="122" t="s">
        <v>816</v>
      </c>
      <c r="J63" s="129" t="s">
        <v>793</v>
      </c>
      <c r="K63" s="1141" t="s">
        <v>450</v>
      </c>
      <c r="L63" s="1142">
        <f>IF(L56&gt;0,ROUND(+L61*L62,2),0)</f>
        <v>0</v>
      </c>
      <c r="M63" s="129" t="s">
        <v>793</v>
      </c>
      <c r="N63" s="1141" t="s">
        <v>450</v>
      </c>
      <c r="O63" s="1142">
        <f>IF(O56&gt;0,ROUND(+O61*O62,2),0)</f>
        <v>0</v>
      </c>
    </row>
    <row r="64" spans="1:16" ht="7.5" customHeight="1" thickTop="1">
      <c r="B64" s="273"/>
    </row>
    <row r="65" spans="2:15">
      <c r="B65" s="1041" t="s">
        <v>24</v>
      </c>
      <c r="C65" s="122" t="s">
        <v>823</v>
      </c>
    </row>
    <row r="66" spans="2:15">
      <c r="B66" s="273"/>
      <c r="C66" s="129" t="s">
        <v>639</v>
      </c>
      <c r="D66" s="122" t="s">
        <v>789</v>
      </c>
      <c r="K66" s="1050"/>
      <c r="L66" s="1143">
        <v>600</v>
      </c>
      <c r="N66" s="1050"/>
      <c r="O66" s="1143">
        <v>600</v>
      </c>
    </row>
    <row r="67" spans="2:15">
      <c r="B67" s="273"/>
      <c r="C67" s="129" t="s">
        <v>641</v>
      </c>
      <c r="D67" s="122" t="s">
        <v>800</v>
      </c>
      <c r="J67" s="129" t="s">
        <v>791</v>
      </c>
      <c r="K67" s="1050"/>
      <c r="L67" s="1145">
        <f>IF(AND(500&lt;='Data Entry'!H17,'Data Entry'!H17&lt;600),'Data Entry'!H17,0)</f>
        <v>0</v>
      </c>
      <c r="M67" s="129" t="s">
        <v>791</v>
      </c>
      <c r="N67" s="1050"/>
      <c r="O67" s="1145">
        <f>IF(AND(VALUE(LEFT(RIGHT(O1,7),2))=3,('Data Entry'!I17+'Data Entry'!L124)&gt;=500,('Data Entry'!I17+'Data Entry'!L124)&lt;600),('Data Entry'!I17+'Data Entry'!L124),IF(AND('Data Entry'!I17&gt;=500,'Data Entry'!I17&lt;600),'Data Entry'!I17,0))</f>
        <v>0</v>
      </c>
    </row>
    <row r="68" spans="2:15">
      <c r="B68" s="273"/>
      <c r="C68" s="129" t="s">
        <v>643</v>
      </c>
      <c r="D68" s="122" t="s">
        <v>792</v>
      </c>
      <c r="J68" s="129" t="s">
        <v>793</v>
      </c>
      <c r="K68" s="1050"/>
      <c r="L68" s="1145">
        <f>IF(L67&gt;0,+L66-L67,0)</f>
        <v>0</v>
      </c>
      <c r="M68" s="129" t="s">
        <v>793</v>
      </c>
      <c r="N68" s="1050"/>
      <c r="O68" s="1145">
        <f>IF(O67&gt;0,+O66-O67,0)</f>
        <v>0</v>
      </c>
    </row>
    <row r="69" spans="2:15">
      <c r="B69" s="273"/>
      <c r="C69" s="129" t="s">
        <v>746</v>
      </c>
      <c r="D69" s="122" t="s">
        <v>794</v>
      </c>
      <c r="J69" s="129" t="s">
        <v>795</v>
      </c>
      <c r="K69" s="1050"/>
      <c r="L69" s="1145">
        <v>1.1999999999999999E-3</v>
      </c>
      <c r="M69" s="129" t="s">
        <v>795</v>
      </c>
      <c r="N69" s="1050"/>
      <c r="O69" s="1145">
        <v>1.2999999999999999E-3</v>
      </c>
    </row>
    <row r="70" spans="2:15">
      <c r="B70" s="273"/>
      <c r="C70" s="129" t="s">
        <v>748</v>
      </c>
      <c r="D70" s="122" t="s">
        <v>796</v>
      </c>
      <c r="J70" s="129" t="s">
        <v>793</v>
      </c>
      <c r="K70" s="1050"/>
      <c r="L70" s="1145">
        <f>IF(L67&gt;0,ROUND(+L68*L69,3),0)</f>
        <v>0</v>
      </c>
      <c r="M70" s="129" t="s">
        <v>793</v>
      </c>
      <c r="N70" s="1050"/>
      <c r="O70" s="1145">
        <f>IF(O67&gt;0,ROUND(+O68*O69,3),0)</f>
        <v>0</v>
      </c>
    </row>
    <row r="71" spans="2:15">
      <c r="B71" s="273"/>
      <c r="C71" s="129" t="s">
        <v>750</v>
      </c>
      <c r="D71" s="122" t="s">
        <v>818</v>
      </c>
      <c r="J71" s="129" t="s">
        <v>797</v>
      </c>
      <c r="K71" s="1050"/>
      <c r="L71" s="1145">
        <v>1.1579999999999999</v>
      </c>
      <c r="M71" s="129" t="s">
        <v>797</v>
      </c>
      <c r="N71" s="1050"/>
      <c r="O71" s="1145">
        <v>1.268</v>
      </c>
    </row>
    <row r="72" spans="2:15">
      <c r="B72" s="273"/>
      <c r="C72" s="129" t="s">
        <v>819</v>
      </c>
      <c r="D72" s="122" t="s">
        <v>798</v>
      </c>
      <c r="J72" s="129" t="s">
        <v>793</v>
      </c>
      <c r="K72" s="1050"/>
      <c r="L72" s="1145">
        <f>IF(L67&gt;0,+L70+L71,0)</f>
        <v>0</v>
      </c>
      <c r="M72" s="129" t="s">
        <v>793</v>
      </c>
      <c r="N72" s="1050"/>
      <c r="O72" s="1145">
        <f>IF(O67&gt;0,+O70+O71,0)</f>
        <v>0</v>
      </c>
    </row>
    <row r="73" spans="2:15">
      <c r="B73" s="273"/>
      <c r="C73" s="129" t="s">
        <v>820</v>
      </c>
      <c r="D73" s="122" t="s">
        <v>821</v>
      </c>
      <c r="J73" s="129" t="s">
        <v>795</v>
      </c>
      <c r="K73" s="1137" t="s">
        <v>450</v>
      </c>
      <c r="L73" s="1146">
        <v>474.47</v>
      </c>
      <c r="M73" s="129" t="s">
        <v>795</v>
      </c>
      <c r="N73" s="1137" t="s">
        <v>450</v>
      </c>
      <c r="O73" s="1146">
        <v>494.39</v>
      </c>
    </row>
    <row r="74" spans="2:15" ht="12.6" thickBot="1">
      <c r="B74" s="273"/>
      <c r="C74" s="129" t="s">
        <v>822</v>
      </c>
      <c r="D74" s="129"/>
      <c r="F74" s="122" t="s">
        <v>816</v>
      </c>
      <c r="J74" s="129" t="s">
        <v>793</v>
      </c>
      <c r="K74" s="1141" t="s">
        <v>450</v>
      </c>
      <c r="L74" s="1142">
        <f>IF(L67&gt;0,ROUND(+L72*L73,2),0)</f>
        <v>0</v>
      </c>
      <c r="M74" s="129" t="s">
        <v>793</v>
      </c>
      <c r="N74" s="1141" t="s">
        <v>450</v>
      </c>
      <c r="O74" s="1142">
        <f>IF(O67&gt;0,ROUND(+O72*O73,2),0)</f>
        <v>0</v>
      </c>
    </row>
    <row r="75" spans="2:15" ht="7.5" customHeight="1" thickTop="1">
      <c r="B75" s="273"/>
    </row>
    <row r="76" spans="2:15">
      <c r="B76" s="1041" t="s">
        <v>51</v>
      </c>
      <c r="C76" s="122" t="s">
        <v>824</v>
      </c>
    </row>
    <row r="77" spans="2:15" ht="12.6" thickBot="1">
      <c r="F77" s="122" t="s">
        <v>816</v>
      </c>
      <c r="K77" s="1141" t="s">
        <v>450</v>
      </c>
      <c r="L77" s="1142">
        <v>549.45000000000005</v>
      </c>
      <c r="N77" s="1141" t="s">
        <v>450</v>
      </c>
      <c r="O77" s="1142">
        <v>600.86</v>
      </c>
    </row>
    <row r="78" spans="2:15" ht="12.6" thickTop="1">
      <c r="K78" s="129"/>
      <c r="L78" s="1064"/>
      <c r="N78" s="129"/>
      <c r="O78" s="1064"/>
    </row>
    <row r="80" spans="2:15">
      <c r="B80" s="281"/>
      <c r="N80" s="129"/>
      <c r="O80" s="1064"/>
    </row>
    <row r="82" spans="1:19" ht="15.75" customHeight="1">
      <c r="A82" s="1797" t="s">
        <v>825</v>
      </c>
      <c r="B82" s="1797"/>
      <c r="C82" s="1797"/>
      <c r="D82" s="1797"/>
      <c r="E82" s="1797"/>
      <c r="F82" s="1797"/>
      <c r="G82" s="1797"/>
      <c r="H82" s="1797"/>
      <c r="I82" s="1797"/>
      <c r="J82" s="1797"/>
      <c r="K82" s="1797"/>
      <c r="L82" s="1797"/>
      <c r="M82" s="1797"/>
      <c r="N82" s="1797"/>
      <c r="O82" s="1797"/>
      <c r="P82" s="1797"/>
      <c r="Q82" s="1797"/>
      <c r="R82" s="1797"/>
      <c r="S82" s="1797"/>
    </row>
    <row r="83" spans="1:19">
      <c r="B83" s="281" t="s">
        <v>6</v>
      </c>
      <c r="C83" s="122" t="s">
        <v>826</v>
      </c>
      <c r="Q83" s="1137" t="s">
        <v>450</v>
      </c>
      <c r="R83" s="1138">
        <f>[1]!GBLBudgFY</f>
        <v>43965655</v>
      </c>
    </row>
    <row r="84" spans="1:19">
      <c r="B84" s="1147" t="s">
        <v>9</v>
      </c>
      <c r="C84" s="122" t="s">
        <v>827</v>
      </c>
      <c r="Q84" s="1137" t="s">
        <v>450</v>
      </c>
      <c r="R84" s="1138">
        <f>BUDG75Adj</f>
        <v>0</v>
      </c>
    </row>
    <row r="85" spans="1:19">
      <c r="B85" s="281" t="s">
        <v>24</v>
      </c>
      <c r="C85" s="122" t="s">
        <v>828</v>
      </c>
      <c r="Q85" s="1137" t="s">
        <v>450</v>
      </c>
      <c r="R85" s="1138">
        <f>R83+R84</f>
        <v>43965655</v>
      </c>
    </row>
    <row r="86" spans="1:19">
      <c r="B86" s="281" t="s">
        <v>51</v>
      </c>
      <c r="C86" s="122" t="s">
        <v>829</v>
      </c>
      <c r="Q86" s="1137" t="s">
        <v>450</v>
      </c>
      <c r="R86" s="1138">
        <f>[1]!F001TotalExp</f>
        <v>43965655</v>
      </c>
    </row>
    <row r="87" spans="1:19">
      <c r="B87" s="281" t="s">
        <v>166</v>
      </c>
      <c r="C87" s="122" t="s">
        <v>830</v>
      </c>
      <c r="Q87" s="1137" t="s">
        <v>450</v>
      </c>
      <c r="R87" s="1138">
        <f>R84</f>
        <v>0</v>
      </c>
    </row>
    <row r="88" spans="1:19">
      <c r="B88" s="281" t="s">
        <v>168</v>
      </c>
      <c r="C88" s="122" t="s">
        <v>831</v>
      </c>
      <c r="Q88" s="1137" t="s">
        <v>450</v>
      </c>
      <c r="R88" s="1138">
        <f>R86+R87</f>
        <v>43965655</v>
      </c>
    </row>
    <row r="89" spans="1:19">
      <c r="B89" s="281" t="s">
        <v>170</v>
      </c>
      <c r="C89" s="122" t="s">
        <v>832</v>
      </c>
      <c r="Q89" s="1137" t="s">
        <v>450</v>
      </c>
      <c r="R89" s="1138">
        <f>MIN(R85,R88)</f>
        <v>43965655</v>
      </c>
    </row>
    <row r="90" spans="1:19">
      <c r="B90" s="1147" t="s">
        <v>172</v>
      </c>
      <c r="C90" s="122" t="s">
        <v>741</v>
      </c>
      <c r="Q90" s="1137" t="s">
        <v>450</v>
      </c>
      <c r="R90" s="1138">
        <f>PYTotMOActExpend</f>
        <v>41965655</v>
      </c>
    </row>
    <row r="91" spans="1:19" ht="23.25" customHeight="1">
      <c r="B91" s="1072" t="s">
        <v>174</v>
      </c>
      <c r="C91" s="1519" t="s">
        <v>833</v>
      </c>
      <c r="D91" s="1519"/>
      <c r="E91" s="1519"/>
      <c r="F91" s="1519"/>
      <c r="G91" s="1519"/>
      <c r="H91" s="1519"/>
      <c r="I91" s="1519"/>
      <c r="K91" s="1137" t="s">
        <v>450</v>
      </c>
      <c r="L91" s="1138" t="str">
        <f>IF((R89-R90&lt;0),R89-R90," ")</f>
        <v xml:space="preserve"> </v>
      </c>
      <c r="N91" s="1779" t="str">
        <f>IF(L91&lt;0,"OVEREXPENDED"," ")</f>
        <v xml:space="preserve"> </v>
      </c>
      <c r="O91" s="1779"/>
      <c r="Q91" s="1137" t="s">
        <v>450</v>
      </c>
      <c r="R91" s="1138">
        <f>IF(R89-R90&gt;0,R89-R90,0)</f>
        <v>2000000</v>
      </c>
    </row>
    <row r="92" spans="1:19">
      <c r="C92" s="488"/>
      <c r="D92" s="488"/>
      <c r="E92" s="488"/>
      <c r="F92" s="488"/>
      <c r="G92" s="488"/>
      <c r="H92" s="488"/>
      <c r="I92" s="488"/>
    </row>
    <row r="93" spans="1:19">
      <c r="B93" s="150" t="s">
        <v>834</v>
      </c>
    </row>
    <row r="95" spans="1:19" ht="15.75" customHeight="1">
      <c r="B95" s="1147" t="s">
        <v>176</v>
      </c>
      <c r="C95" s="122" t="s">
        <v>835</v>
      </c>
      <c r="K95" s="1391" t="s">
        <v>836</v>
      </c>
      <c r="L95" s="1391"/>
      <c r="N95" s="1391" t="s">
        <v>837</v>
      </c>
      <c r="O95" s="1391"/>
      <c r="Q95" s="1391" t="s">
        <v>838</v>
      </c>
      <c r="R95" s="1391"/>
    </row>
    <row r="96" spans="1:19">
      <c r="C96" s="129" t="s">
        <v>639</v>
      </c>
      <c r="D96" s="122" t="s">
        <v>839</v>
      </c>
      <c r="K96" s="1137" t="s">
        <v>450</v>
      </c>
      <c r="L96" s="1138">
        <f>[1]!SpecProgOverride</f>
        <v>0</v>
      </c>
      <c r="M96" s="132" t="s">
        <v>791</v>
      </c>
      <c r="N96" s="1137" t="s">
        <v>450</v>
      </c>
      <c r="O96" s="1138">
        <f>'Data Entry'!L87</f>
        <v>0</v>
      </c>
      <c r="P96" s="132" t="s">
        <v>793</v>
      </c>
      <c r="Q96" s="1137" t="s">
        <v>450</v>
      </c>
      <c r="R96" s="1138">
        <f t="shared" ref="R96:R101" si="0">IF(L96-O96&gt;0,L96-O96,0)</f>
        <v>0</v>
      </c>
    </row>
    <row r="97" spans="2:18">
      <c r="C97" s="129" t="s">
        <v>641</v>
      </c>
      <c r="D97" s="122" t="s">
        <v>840</v>
      </c>
      <c r="K97" s="1137" t="s">
        <v>450</v>
      </c>
      <c r="L97" s="1138">
        <f>[1]!BudgIncrDesegExp</f>
        <v>0</v>
      </c>
      <c r="M97" s="132" t="s">
        <v>791</v>
      </c>
      <c r="N97" s="1137" t="s">
        <v>450</v>
      </c>
      <c r="O97" s="1138">
        <f>'Data Entry'!L88</f>
        <v>0</v>
      </c>
      <c r="P97" s="132" t="s">
        <v>793</v>
      </c>
      <c r="Q97" s="1137" t="s">
        <v>450</v>
      </c>
      <c r="R97" s="1138">
        <f t="shared" si="0"/>
        <v>0</v>
      </c>
    </row>
    <row r="98" spans="2:18">
      <c r="C98" s="129" t="s">
        <v>643</v>
      </c>
      <c r="D98" s="122" t="s">
        <v>841</v>
      </c>
      <c r="K98" s="1137" t="s">
        <v>450</v>
      </c>
      <c r="L98" s="1138">
        <f>[1]!BudgIncrTuitOutDebtServ</f>
        <v>0</v>
      </c>
      <c r="M98" s="132" t="s">
        <v>791</v>
      </c>
      <c r="N98" s="1137" t="s">
        <v>450</v>
      </c>
      <c r="O98" s="1138">
        <f>'Data Entry'!L89</f>
        <v>0</v>
      </c>
      <c r="P98" s="132" t="s">
        <v>793</v>
      </c>
      <c r="Q98" s="1137" t="s">
        <v>450</v>
      </c>
      <c r="R98" s="1138">
        <f t="shared" si="0"/>
        <v>0</v>
      </c>
    </row>
    <row r="99" spans="2:18">
      <c r="C99" s="129" t="s">
        <v>746</v>
      </c>
      <c r="D99" s="122" t="s">
        <v>747</v>
      </c>
      <c r="K99" s="1137" t="s">
        <v>450</v>
      </c>
      <c r="L99" s="1138">
        <f>[1]!BudgIncrDropPrevProg</f>
        <v>0</v>
      </c>
      <c r="M99" s="132" t="s">
        <v>791</v>
      </c>
      <c r="N99" s="1137" t="s">
        <v>450</v>
      </c>
      <c r="O99" s="1138">
        <f>'Data Entry'!L90</f>
        <v>0</v>
      </c>
      <c r="P99" s="132" t="s">
        <v>793</v>
      </c>
      <c r="Q99" s="1137" t="s">
        <v>450</v>
      </c>
      <c r="R99" s="1138">
        <f t="shared" si="0"/>
        <v>0</v>
      </c>
    </row>
    <row r="100" spans="2:18">
      <c r="C100" s="129" t="s">
        <v>748</v>
      </c>
      <c r="D100" s="122" t="s">
        <v>842</v>
      </c>
      <c r="K100" s="1137" t="s">
        <v>450</v>
      </c>
      <c r="L100" s="1138">
        <f>[1]!BudgIncrJCTEVEC</f>
        <v>0</v>
      </c>
      <c r="M100" s="132" t="s">
        <v>791</v>
      </c>
      <c r="N100" s="1137" t="s">
        <v>450</v>
      </c>
      <c r="O100" s="1138">
        <f>'Data Entry'!L91</f>
        <v>0</v>
      </c>
      <c r="P100" s="132" t="s">
        <v>793</v>
      </c>
      <c r="Q100" s="1137" t="s">
        <v>450</v>
      </c>
      <c r="R100" s="1138">
        <f t="shared" si="0"/>
        <v>0</v>
      </c>
    </row>
    <row r="101" spans="2:18">
      <c r="C101" s="129" t="s">
        <v>750</v>
      </c>
      <c r="D101" s="122" t="s">
        <v>843</v>
      </c>
      <c r="K101" s="1137" t="s">
        <v>450</v>
      </c>
      <c r="L101" s="1138">
        <f>[1]!BudgIncrJCTEVEC</f>
        <v>0</v>
      </c>
      <c r="M101" s="132" t="s">
        <v>791</v>
      </c>
      <c r="N101" s="1137" t="s">
        <v>450</v>
      </c>
      <c r="O101" s="1138">
        <f>'Data Entry'!L92</f>
        <v>0</v>
      </c>
      <c r="P101" s="132" t="s">
        <v>793</v>
      </c>
      <c r="Q101" s="1137" t="s">
        <v>450</v>
      </c>
      <c r="R101" s="1138">
        <f t="shared" si="0"/>
        <v>0</v>
      </c>
    </row>
    <row r="102" spans="2:18">
      <c r="C102" s="129" t="s">
        <v>819</v>
      </c>
      <c r="D102" s="122" t="s">
        <v>844</v>
      </c>
      <c r="P102" s="132" t="s">
        <v>793</v>
      </c>
      <c r="Q102" s="1137" t="s">
        <v>450</v>
      </c>
      <c r="R102" s="1138">
        <f>R96+R97+R98+R99+R100+R101</f>
        <v>0</v>
      </c>
    </row>
    <row r="103" spans="2:18">
      <c r="B103" s="281" t="s">
        <v>178</v>
      </c>
      <c r="C103" s="122" t="s">
        <v>845</v>
      </c>
      <c r="Q103" s="1137" t="s">
        <v>450</v>
      </c>
      <c r="R103" s="1138">
        <f>IF(R91-R102&gt;0,R91-R102,0)</f>
        <v>2000000</v>
      </c>
    </row>
    <row r="104" spans="2:18" ht="23.25" customHeight="1">
      <c r="B104" s="1072" t="s">
        <v>180</v>
      </c>
      <c r="C104" s="1717" t="s">
        <v>846</v>
      </c>
      <c r="D104" s="1717"/>
      <c r="E104" s="1717"/>
      <c r="F104" s="1717"/>
      <c r="G104" s="1717"/>
      <c r="H104" s="1717"/>
      <c r="I104" s="1717"/>
      <c r="J104" s="1717"/>
      <c r="P104" s="132" t="s">
        <v>791</v>
      </c>
      <c r="Q104" s="1137" t="s">
        <v>450</v>
      </c>
      <c r="R104" s="1138">
        <f>IF('Data Entry'!L93&gt;0,MIN('Data Entry'!L93,R103),0)</f>
        <v>0</v>
      </c>
    </row>
    <row r="105" spans="2:18">
      <c r="B105" s="281" t="s">
        <v>182</v>
      </c>
      <c r="C105" s="122" t="s">
        <v>847</v>
      </c>
      <c r="P105" s="122" t="s">
        <v>793</v>
      </c>
      <c r="Q105" s="1137" t="s">
        <v>450</v>
      </c>
      <c r="R105" s="1138">
        <f>R103-R104</f>
        <v>2000000</v>
      </c>
    </row>
    <row r="107" spans="2:18">
      <c r="B107" s="281" t="s">
        <v>184</v>
      </c>
      <c r="C107" s="122" t="s">
        <v>848</v>
      </c>
    </row>
    <row r="108" spans="2:18">
      <c r="C108" s="1148" t="s">
        <v>639</v>
      </c>
      <c r="D108" s="122" t="s">
        <v>849</v>
      </c>
      <c r="Q108" s="1137" t="s">
        <v>450</v>
      </c>
      <c r="R108" s="1138">
        <f>IF(VALUE(LEFT(RIGHT(O1,7),2))=1,PYEndMOCash,0)</f>
        <v>0</v>
      </c>
    </row>
    <row r="109" spans="2:18">
      <c r="C109" s="129" t="s">
        <v>641</v>
      </c>
      <c r="D109" s="122" t="s">
        <v>850</v>
      </c>
      <c r="P109" s="129" t="s">
        <v>791</v>
      </c>
      <c r="Q109" s="1137" t="s">
        <v>450</v>
      </c>
      <c r="R109" s="1138">
        <v>0</v>
      </c>
    </row>
    <row r="110" spans="2:18">
      <c r="C110" s="129" t="s">
        <v>643</v>
      </c>
      <c r="D110" s="122" t="s">
        <v>851</v>
      </c>
      <c r="P110" s="129" t="s">
        <v>793</v>
      </c>
      <c r="Q110" s="1137" t="s">
        <v>450</v>
      </c>
      <c r="R110" s="1138">
        <f>R108-R109</f>
        <v>0</v>
      </c>
    </row>
    <row r="111" spans="2:18">
      <c r="B111" s="281" t="s">
        <v>186</v>
      </c>
      <c r="C111" s="122" t="s">
        <v>852</v>
      </c>
    </row>
    <row r="112" spans="2:18">
      <c r="C112" s="129" t="s">
        <v>639</v>
      </c>
      <c r="D112" s="122" t="s">
        <v>853</v>
      </c>
      <c r="N112" s="1137" t="s">
        <v>450</v>
      </c>
      <c r="O112" s="1138">
        <f>R110</f>
        <v>0</v>
      </c>
    </row>
    <row r="113" spans="1:18">
      <c r="C113" s="1148" t="s">
        <v>641</v>
      </c>
      <c r="D113" s="122" t="s">
        <v>854</v>
      </c>
      <c r="N113" s="1137" t="s">
        <v>450</v>
      </c>
      <c r="O113" s="1138">
        <f>AccommRCL10</f>
        <v>0</v>
      </c>
    </row>
    <row r="114" spans="1:18">
      <c r="C114" s="1148" t="s">
        <v>643</v>
      </c>
      <c r="D114" s="122" t="s">
        <v>855</v>
      </c>
      <c r="M114" s="122" t="s">
        <v>797</v>
      </c>
      <c r="N114" s="1137" t="s">
        <v>450</v>
      </c>
      <c r="O114" s="1138">
        <f>AccommRCL05</f>
        <v>0</v>
      </c>
    </row>
    <row r="115" spans="1:18">
      <c r="C115" s="129" t="s">
        <v>746</v>
      </c>
      <c r="D115" s="122" t="s">
        <v>856</v>
      </c>
      <c r="M115" s="122" t="s">
        <v>793</v>
      </c>
      <c r="N115" s="1137" t="s">
        <v>450</v>
      </c>
      <c r="O115" s="1138">
        <f>O113+O114</f>
        <v>0</v>
      </c>
    </row>
    <row r="116" spans="1:18">
      <c r="C116" s="129" t="s">
        <v>748</v>
      </c>
      <c r="D116" s="122" t="s">
        <v>857</v>
      </c>
      <c r="Q116" s="1137" t="s">
        <v>450</v>
      </c>
      <c r="R116" s="1138">
        <f>MIN(O112,O115)</f>
        <v>0</v>
      </c>
    </row>
    <row r="118" spans="1:18" s="130" customFormat="1" ht="17.25" customHeight="1">
      <c r="A118" s="1149" t="s">
        <v>858</v>
      </c>
      <c r="B118" s="1059"/>
      <c r="C118" s="1059"/>
      <c r="D118" s="1059"/>
      <c r="E118" s="1059"/>
      <c r="F118" s="1059"/>
      <c r="G118" s="1059"/>
      <c r="H118" s="1059"/>
      <c r="I118" s="1059"/>
      <c r="J118" s="1059"/>
      <c r="K118" s="1059"/>
      <c r="L118" s="1059"/>
    </row>
    <row r="119" spans="1:18">
      <c r="B119" s="1147" t="s">
        <v>6</v>
      </c>
      <c r="C119" s="122" t="s">
        <v>859</v>
      </c>
      <c r="Q119" s="1137" t="s">
        <v>450</v>
      </c>
      <c r="R119" s="1138">
        <f>'Data Entry'!L96</f>
        <v>0</v>
      </c>
    </row>
    <row r="120" spans="1:18">
      <c r="B120" s="1147" t="s">
        <v>9</v>
      </c>
      <c r="C120" s="1717" t="s">
        <v>755</v>
      </c>
      <c r="D120" s="1717"/>
      <c r="E120" s="1717"/>
      <c r="F120" s="1717"/>
      <c r="G120" s="1717"/>
      <c r="H120" s="1717"/>
      <c r="I120" s="1717"/>
      <c r="J120" s="1717"/>
      <c r="K120" s="1717"/>
      <c r="L120" s="1717"/>
    </row>
    <row r="121" spans="1:18">
      <c r="B121" s="281"/>
      <c r="C121" s="1717"/>
      <c r="D121" s="1717"/>
      <c r="E121" s="1717"/>
      <c r="F121" s="1717"/>
      <c r="G121" s="1717"/>
      <c r="H121" s="1717"/>
      <c r="I121" s="1717"/>
      <c r="J121" s="1717"/>
      <c r="K121" s="1717"/>
      <c r="L121" s="1717"/>
      <c r="P121" s="132" t="s">
        <v>791</v>
      </c>
      <c r="Q121" s="1137" t="s">
        <v>450</v>
      </c>
      <c r="R121" s="1138">
        <f>'Data Entry'!L97</f>
        <v>0</v>
      </c>
    </row>
    <row r="122" spans="1:18">
      <c r="B122" s="281" t="s">
        <v>24</v>
      </c>
      <c r="C122" s="122" t="s">
        <v>860</v>
      </c>
      <c r="N122" s="1137" t="s">
        <v>450</v>
      </c>
      <c r="O122" s="1138">
        <f>IF('Data Entry'!L96&gt;0,CYTRCL-TSL,0)</f>
        <v>0</v>
      </c>
      <c r="P122" s="132"/>
    </row>
    <row r="123" spans="1:18">
      <c r="B123" s="1147" t="s">
        <v>51</v>
      </c>
      <c r="C123" s="1519" t="s">
        <v>861</v>
      </c>
      <c r="D123" s="1519"/>
      <c r="E123" s="1519"/>
      <c r="F123" s="1519"/>
      <c r="G123" s="1519"/>
      <c r="H123" s="1519"/>
      <c r="I123" s="1519"/>
      <c r="J123" s="1519"/>
      <c r="K123" s="1519"/>
      <c r="L123" s="1519"/>
      <c r="M123" s="1519"/>
      <c r="N123" s="1519"/>
      <c r="P123" s="132" t="s">
        <v>791</v>
      </c>
      <c r="Q123" s="1137" t="s">
        <v>450</v>
      </c>
      <c r="R123" s="1138">
        <f>'Data Entry'!L98</f>
        <v>0</v>
      </c>
    </row>
    <row r="124" spans="1:18">
      <c r="B124" s="1147" t="s">
        <v>166</v>
      </c>
      <c r="C124" s="122" t="s">
        <v>758</v>
      </c>
      <c r="P124" s="132" t="s">
        <v>791</v>
      </c>
      <c r="Q124" s="1137" t="s">
        <v>450</v>
      </c>
      <c r="R124" s="1138">
        <f>'Data Entry'!L99</f>
        <v>0</v>
      </c>
    </row>
    <row r="125" spans="1:18">
      <c r="B125" s="1147" t="s">
        <v>168</v>
      </c>
      <c r="C125" s="122" t="s">
        <v>862</v>
      </c>
      <c r="P125" s="132" t="s">
        <v>797</v>
      </c>
      <c r="Q125" s="1137" t="s">
        <v>450</v>
      </c>
      <c r="R125" s="1138">
        <f>'Data Entry'!L100</f>
        <v>0</v>
      </c>
    </row>
    <row r="126" spans="1:18" ht="11.25" customHeight="1">
      <c r="B126" s="1072" t="s">
        <v>170</v>
      </c>
      <c r="C126" s="1519" t="s">
        <v>863</v>
      </c>
      <c r="D126" s="1519"/>
      <c r="E126" s="1519"/>
      <c r="F126" s="1519"/>
      <c r="G126" s="1519"/>
      <c r="H126" s="1519"/>
      <c r="I126" s="1519"/>
      <c r="J126" s="1519"/>
      <c r="P126" s="132" t="s">
        <v>793</v>
      </c>
      <c r="Q126" s="1137" t="s">
        <v>450</v>
      </c>
      <c r="R126" s="1138">
        <f>R119-R121-R123-R124+R125</f>
        <v>0</v>
      </c>
    </row>
    <row r="130" spans="1:26" ht="13.8">
      <c r="A130" s="1095" t="s">
        <v>864</v>
      </c>
    </row>
    <row r="132" spans="1:26" ht="34.5" customHeight="1">
      <c r="A132" s="1764" t="s">
        <v>865</v>
      </c>
      <c r="B132" s="1764"/>
      <c r="C132" s="1764"/>
      <c r="D132" s="1764"/>
      <c r="E132" s="1764"/>
      <c r="F132" s="1764"/>
      <c r="G132" s="1764"/>
      <c r="H132" s="1764"/>
      <c r="I132" s="1764"/>
      <c r="J132" s="1764"/>
      <c r="K132" s="1764"/>
      <c r="L132" s="1764"/>
      <c r="M132" s="1764"/>
      <c r="N132" s="1764"/>
      <c r="O132" s="1764"/>
      <c r="P132" s="1764"/>
      <c r="Q132" s="1764"/>
      <c r="R132" s="1764"/>
    </row>
    <row r="134" spans="1:26" ht="43.5" customHeight="1">
      <c r="A134" s="1519" t="s">
        <v>866</v>
      </c>
      <c r="B134" s="1519"/>
      <c r="C134" s="1519"/>
      <c r="D134" s="1519"/>
      <c r="E134" s="1519"/>
      <c r="F134" s="1519"/>
      <c r="G134" s="1519"/>
      <c r="H134" s="1519"/>
      <c r="I134" s="1519"/>
      <c r="J134" s="1519"/>
      <c r="K134" s="1519"/>
      <c r="L134" s="1519"/>
      <c r="M134" s="1519"/>
      <c r="N134" s="1519"/>
      <c r="O134" s="1519"/>
      <c r="P134" s="1519"/>
      <c r="Q134" s="1519"/>
      <c r="R134" s="1519"/>
    </row>
    <row r="136" spans="1:26">
      <c r="B136" s="281" t="s">
        <v>6</v>
      </c>
      <c r="C136" s="122" t="s">
        <v>867</v>
      </c>
      <c r="W136" s="150"/>
      <c r="Y136" s="285" t="s">
        <v>868</v>
      </c>
    </row>
    <row r="137" spans="1:26">
      <c r="C137" s="154" t="s">
        <v>639</v>
      </c>
      <c r="D137" s="1150" t="s">
        <v>869</v>
      </c>
      <c r="Q137" s="1137" t="s">
        <v>450</v>
      </c>
      <c r="R137" s="1138">
        <v>150000</v>
      </c>
      <c r="T137" s="1763" t="s">
        <v>870</v>
      </c>
      <c r="U137" s="1763"/>
      <c r="Y137" s="991" t="s">
        <v>871</v>
      </c>
      <c r="Z137" s="285" t="s">
        <v>868</v>
      </c>
    </row>
    <row r="138" spans="1:26">
      <c r="C138" s="154" t="s">
        <v>641</v>
      </c>
      <c r="D138" s="130" t="s">
        <v>872</v>
      </c>
      <c r="O138" s="1017">
        <f>IF(AND(SSAPhaseDownCheckbox="X",SSAFYExceeded&lt;2000,UnweightedStudCntK8PY&gt;125,UnweightedStudCntK8PY&lt;154),UnweightedStudCntK8PY,0)</f>
        <v>0</v>
      </c>
      <c r="T138" s="122" t="s">
        <v>789</v>
      </c>
      <c r="Y138" s="1017">
        <v>500</v>
      </c>
      <c r="Z138" s="1017">
        <v>500</v>
      </c>
    </row>
    <row r="139" spans="1:26">
      <c r="C139" s="154" t="s">
        <v>643</v>
      </c>
      <c r="D139" s="1150" t="s">
        <v>873</v>
      </c>
      <c r="N139" s="132" t="s">
        <v>791</v>
      </c>
      <c r="O139" s="1017">
        <v>125</v>
      </c>
      <c r="T139" s="122" t="s">
        <v>874</v>
      </c>
      <c r="X139" s="129" t="s">
        <v>791</v>
      </c>
      <c r="Y139" s="1017">
        <f>IF(AND(SSAPhaseDownCheckbox="X",SmallIsolatedPSD8Checkbox="X"),O138,0)</f>
        <v>0</v>
      </c>
      <c r="Z139" s="1017">
        <f>IF(AND(SSAPhaseDownCheckbox="X",SmallIsolatedPSD8Checkbox&lt;&gt;"X"),O138,0)</f>
        <v>0</v>
      </c>
    </row>
    <row r="140" spans="1:26">
      <c r="C140" s="154" t="s">
        <v>746</v>
      </c>
      <c r="D140" s="1150" t="s">
        <v>875</v>
      </c>
      <c r="N140" s="132" t="s">
        <v>793</v>
      </c>
      <c r="O140" s="1017">
        <f>IF(O138&gt;0,O138-O139,0)</f>
        <v>0</v>
      </c>
      <c r="U140" s="122" t="s">
        <v>792</v>
      </c>
      <c r="X140" s="129" t="s">
        <v>793</v>
      </c>
      <c r="Y140" s="1017">
        <f>IF(Y139&gt;0,Y138-Y139,0)</f>
        <v>0</v>
      </c>
      <c r="Z140" s="1017">
        <f>IF(Z139&gt;0,Z138-Z139,0)</f>
        <v>0</v>
      </c>
    </row>
    <row r="141" spans="1:26">
      <c r="C141" s="154" t="s">
        <v>748</v>
      </c>
      <c r="D141" s="1150" t="s">
        <v>876</v>
      </c>
      <c r="N141" s="132" t="s">
        <v>795</v>
      </c>
      <c r="O141" s="1017">
        <f>IF(AND(O138&gt;0,SSAPhaseDownCheckbox="X",SmallIsolatedPSD8Checkbox="X"),Y144,IF(AND(O138&gt;0,SSAPhaseDownCheckbox="X",SmallIsolatedPSD8Checkbox&lt;&gt;"X"),Z144,0))</f>
        <v>0</v>
      </c>
      <c r="U141" s="122" t="s">
        <v>794</v>
      </c>
      <c r="X141" s="129" t="s">
        <v>795</v>
      </c>
      <c r="Y141" s="1017">
        <v>5.0000000000000001E-4</v>
      </c>
      <c r="Z141" s="1017">
        <v>2.9999999999999997E-4</v>
      </c>
    </row>
    <row r="142" spans="1:26">
      <c r="C142" s="154" t="s">
        <v>750</v>
      </c>
      <c r="D142" s="1150" t="s">
        <v>877</v>
      </c>
      <c r="N142" s="132" t="s">
        <v>793</v>
      </c>
      <c r="O142" s="1017">
        <f>ROUND(O140*O141,3)</f>
        <v>0</v>
      </c>
      <c r="U142" s="122" t="s">
        <v>796</v>
      </c>
      <c r="X142" s="129" t="s">
        <v>793</v>
      </c>
      <c r="Y142" s="1017">
        <f>Y140*Y141</f>
        <v>0</v>
      </c>
      <c r="Z142" s="1017">
        <f>Z140*Z141</f>
        <v>0</v>
      </c>
    </row>
    <row r="143" spans="1:26">
      <c r="C143" s="154" t="s">
        <v>819</v>
      </c>
      <c r="D143" s="1150" t="s">
        <v>878</v>
      </c>
      <c r="N143" s="132" t="s">
        <v>795</v>
      </c>
      <c r="O143" s="1057">
        <f>IF(O138&gt;0,'Data Entry'!L53,0)</f>
        <v>0</v>
      </c>
      <c r="U143" s="122" t="s">
        <v>818</v>
      </c>
      <c r="X143" s="129" t="s">
        <v>797</v>
      </c>
      <c r="Y143" s="1088">
        <v>1.3580000000000001</v>
      </c>
      <c r="Z143" s="1088">
        <v>1.278</v>
      </c>
    </row>
    <row r="144" spans="1:26">
      <c r="C144" s="154" t="s">
        <v>820</v>
      </c>
      <c r="D144" s="1150" t="s">
        <v>879</v>
      </c>
      <c r="P144" s="132" t="s">
        <v>791</v>
      </c>
      <c r="Q144" s="1137" t="s">
        <v>450</v>
      </c>
      <c r="R144" s="1138">
        <f>ROUND(O142*O143,2)</f>
        <v>0</v>
      </c>
      <c r="T144" s="122" t="s">
        <v>880</v>
      </c>
      <c r="X144" s="129" t="s">
        <v>793</v>
      </c>
      <c r="Y144" s="1017">
        <f>IF(Y139&gt;0,Y142+Y143,0)</f>
        <v>0</v>
      </c>
      <c r="Z144" s="1017">
        <f>IF(Z139&gt;0,Z142+Z143,0)</f>
        <v>0</v>
      </c>
    </row>
    <row r="145" spans="1:26">
      <c r="C145" s="154" t="s">
        <v>822</v>
      </c>
      <c r="D145" s="1150" t="s">
        <v>881</v>
      </c>
      <c r="Q145" s="1137" t="s">
        <v>450</v>
      </c>
      <c r="R145" s="1138">
        <f>IF(O138&gt;0,R137-R144,0)</f>
        <v>0</v>
      </c>
    </row>
    <row r="147" spans="1:26" ht="23.25" customHeight="1">
      <c r="A147" s="153"/>
      <c r="B147" s="1072" t="s">
        <v>9</v>
      </c>
      <c r="C147" s="1717" t="s">
        <v>882</v>
      </c>
      <c r="D147" s="1717"/>
      <c r="E147" s="1717"/>
      <c r="F147" s="1717"/>
      <c r="G147" s="1717"/>
      <c r="H147" s="1717"/>
      <c r="I147" s="1717"/>
      <c r="J147" s="1717"/>
      <c r="K147" s="1717"/>
      <c r="L147" s="1717"/>
      <c r="M147" s="1717"/>
      <c r="N147" s="1717"/>
      <c r="O147" s="1717"/>
      <c r="P147" s="1717"/>
      <c r="Q147" s="1717"/>
      <c r="R147" s="155"/>
      <c r="W147" s="150"/>
      <c r="Y147" s="285" t="s">
        <v>868</v>
      </c>
    </row>
    <row r="148" spans="1:26">
      <c r="C148" s="154" t="s">
        <v>639</v>
      </c>
      <c r="D148" s="1150" t="s">
        <v>869</v>
      </c>
      <c r="Q148" s="1137" t="s">
        <v>450</v>
      </c>
      <c r="R148" s="1138">
        <v>350000</v>
      </c>
      <c r="T148" s="1763" t="s">
        <v>883</v>
      </c>
      <c r="U148" s="1763"/>
      <c r="Y148" s="991" t="s">
        <v>871</v>
      </c>
      <c r="Z148" s="285" t="s">
        <v>868</v>
      </c>
    </row>
    <row r="149" spans="1:26">
      <c r="C149" s="154" t="s">
        <v>641</v>
      </c>
      <c r="D149" s="130" t="s">
        <v>884</v>
      </c>
      <c r="O149" s="1017">
        <f>IF(AND(SSAPhaseDownCheckbox="X",SSAFYExceeded&lt;2000,UnweightedStudCnt912PY&gt;100,UnweightedStudCnt912PY&lt;176),UnweightedStudCnt912PY,0)</f>
        <v>0</v>
      </c>
      <c r="T149" s="122" t="s">
        <v>789</v>
      </c>
      <c r="Y149" s="1017">
        <v>500</v>
      </c>
      <c r="Z149" s="1017">
        <v>500</v>
      </c>
    </row>
    <row r="150" spans="1:26">
      <c r="C150" s="154" t="s">
        <v>643</v>
      </c>
      <c r="D150" s="1150" t="s">
        <v>873</v>
      </c>
      <c r="N150" s="132" t="s">
        <v>791</v>
      </c>
      <c r="O150" s="1017">
        <v>100</v>
      </c>
      <c r="T150" s="122" t="s">
        <v>885</v>
      </c>
      <c r="X150" s="129" t="s">
        <v>791</v>
      </c>
      <c r="Y150" s="1017">
        <f>IF(AND(SSAPhaseDownCheckbox="X",SmallIsolated912Checkbox="X"),O149,0)</f>
        <v>0</v>
      </c>
      <c r="Z150" s="1017">
        <f>IF(AND(SSAPhaseDownCheckbox="X",SmallIsolated912Checkbox&lt;&gt;"X"),O149,0)</f>
        <v>0</v>
      </c>
    </row>
    <row r="151" spans="1:26">
      <c r="C151" s="154" t="s">
        <v>746</v>
      </c>
      <c r="D151" s="1150" t="s">
        <v>875</v>
      </c>
      <c r="N151" s="132" t="s">
        <v>793</v>
      </c>
      <c r="O151" s="1017">
        <f>IF(O149&gt;0,O149-O150,0)</f>
        <v>0</v>
      </c>
      <c r="U151" s="122" t="s">
        <v>792</v>
      </c>
      <c r="X151" s="129" t="s">
        <v>793</v>
      </c>
      <c r="Y151" s="1017">
        <f>IF(Y150&gt;0,Y149-Y150,0)</f>
        <v>0</v>
      </c>
      <c r="Z151" s="1017">
        <f>IF(Z150&gt;0,Z149-Z150,0)</f>
        <v>0</v>
      </c>
    </row>
    <row r="152" spans="1:26">
      <c r="C152" s="154" t="s">
        <v>748</v>
      </c>
      <c r="D152" s="1150" t="s">
        <v>886</v>
      </c>
      <c r="N152" s="132" t="s">
        <v>795</v>
      </c>
      <c r="O152" s="1017">
        <f>IF(AND(O149&gt;0,SSAPhaseDownCheckbox="X",SmallIsolatedPSD8Checkbox="X"),Y155,IF(AND(O149&gt;0,SSAPhaseDownCheckbox="X",SmallIsolatedPSD8Checkbox&lt;&gt;"X"),Z155,0))</f>
        <v>0</v>
      </c>
      <c r="U152" s="122" t="s">
        <v>794</v>
      </c>
      <c r="X152" s="129" t="s">
        <v>795</v>
      </c>
      <c r="Y152" s="1017">
        <v>5.0000000000000001E-4</v>
      </c>
      <c r="Z152" s="1017">
        <v>4.0000000000000002E-4</v>
      </c>
    </row>
    <row r="153" spans="1:26">
      <c r="C153" s="154" t="s">
        <v>750</v>
      </c>
      <c r="D153" s="1150" t="s">
        <v>877</v>
      </c>
      <c r="N153" s="132" t="s">
        <v>793</v>
      </c>
      <c r="O153" s="1017">
        <f>ROUND(O151*O152,30)</f>
        <v>0</v>
      </c>
      <c r="U153" s="122" t="s">
        <v>796</v>
      </c>
      <c r="X153" s="129" t="s">
        <v>793</v>
      </c>
      <c r="Y153" s="1017">
        <f>Y151*Y152</f>
        <v>0</v>
      </c>
      <c r="Z153" s="1017">
        <f>Z151*Z152</f>
        <v>0</v>
      </c>
    </row>
    <row r="154" spans="1:26">
      <c r="C154" s="154" t="s">
        <v>819</v>
      </c>
      <c r="D154" s="1150" t="s">
        <v>878</v>
      </c>
      <c r="N154" s="132" t="s">
        <v>795</v>
      </c>
      <c r="O154" s="1057">
        <f>IF(O149&gt;0,'Data Entry'!L53,0)</f>
        <v>0</v>
      </c>
      <c r="U154" s="122" t="s">
        <v>818</v>
      </c>
      <c r="X154" s="129" t="s">
        <v>797</v>
      </c>
      <c r="Y154" s="1088">
        <v>1.468</v>
      </c>
      <c r="Z154" s="1088">
        <v>1.3979999999999999</v>
      </c>
    </row>
    <row r="155" spans="1:26">
      <c r="C155" s="154" t="s">
        <v>820</v>
      </c>
      <c r="D155" s="1150" t="s">
        <v>879</v>
      </c>
      <c r="P155" s="122" t="s">
        <v>791</v>
      </c>
      <c r="Q155" s="1137" t="s">
        <v>450</v>
      </c>
      <c r="R155" s="1138">
        <f>ROUND(O153*O154,2)</f>
        <v>0</v>
      </c>
      <c r="T155" s="122" t="s">
        <v>887</v>
      </c>
      <c r="X155" s="129" t="s">
        <v>793</v>
      </c>
      <c r="Y155" s="1017">
        <f>IF(Y150&gt;0,Y153+Y154,0)</f>
        <v>0</v>
      </c>
      <c r="Z155" s="1017">
        <f>IF(Z150&gt;0,Z153+Z154,0)</f>
        <v>0</v>
      </c>
    </row>
    <row r="156" spans="1:26">
      <c r="C156" s="154" t="s">
        <v>822</v>
      </c>
      <c r="D156" s="1150" t="s">
        <v>888</v>
      </c>
      <c r="Q156" s="1137" t="s">
        <v>450</v>
      </c>
      <c r="R156" s="1138">
        <f>IF(O149&gt;0,R148-R155,0)</f>
        <v>0</v>
      </c>
    </row>
    <row r="158" spans="1:26" ht="23.25" customHeight="1">
      <c r="A158" s="153"/>
      <c r="B158" s="1151" t="s">
        <v>24</v>
      </c>
      <c r="C158" s="1717" t="s">
        <v>889</v>
      </c>
      <c r="D158" s="1717"/>
      <c r="E158" s="1717"/>
      <c r="F158" s="1717"/>
      <c r="G158" s="1717"/>
      <c r="H158" s="1717"/>
      <c r="I158" s="1717"/>
      <c r="J158" s="1717"/>
      <c r="K158" s="1717"/>
      <c r="L158" s="1717"/>
      <c r="M158" s="1717"/>
      <c r="N158" s="1717"/>
      <c r="O158" s="1717"/>
      <c r="P158" s="155"/>
      <c r="Q158" s="1137" t="s">
        <v>450</v>
      </c>
      <c r="R158" s="1138">
        <f>SSAPDRCL10</f>
        <v>0</v>
      </c>
    </row>
    <row r="159" spans="1:26">
      <c r="B159" s="281" t="s">
        <v>51</v>
      </c>
      <c r="C159" s="122" t="s">
        <v>890</v>
      </c>
      <c r="Q159" s="1137" t="s">
        <v>450</v>
      </c>
      <c r="R159" s="1138">
        <f>R145+R156+R158</f>
        <v>0</v>
      </c>
    </row>
    <row r="160" spans="1:26">
      <c r="B160" s="281" t="s">
        <v>166</v>
      </c>
      <c r="C160" s="122" t="s">
        <v>891</v>
      </c>
      <c r="Q160" s="1137" t="s">
        <v>450</v>
      </c>
      <c r="R160" s="1138">
        <f>IF(R159&gt;0,RCL*0.1,0)</f>
        <v>0</v>
      </c>
    </row>
    <row r="161" spans="1:18">
      <c r="B161" s="281" t="s">
        <v>168</v>
      </c>
      <c r="C161" s="122" t="s">
        <v>892</v>
      </c>
      <c r="Q161" s="1137" t="s">
        <v>450</v>
      </c>
      <c r="R161" s="1138">
        <f>MAX(R159,R160)</f>
        <v>0</v>
      </c>
    </row>
    <row r="164" spans="1:18" ht="30" customHeight="1">
      <c r="A164" s="1798" t="s">
        <v>893</v>
      </c>
      <c r="B164" s="1798"/>
      <c r="C164" s="1798"/>
      <c r="D164" s="1798"/>
      <c r="E164" s="1798"/>
      <c r="F164" s="1798"/>
      <c r="G164" s="1798"/>
      <c r="H164" s="1798"/>
      <c r="I164" s="1798"/>
      <c r="J164" s="1798"/>
      <c r="K164" s="1798"/>
      <c r="L164" s="1798"/>
      <c r="M164" s="1798"/>
      <c r="N164" s="1798"/>
      <c r="O164" s="1798"/>
      <c r="P164" s="1798"/>
      <c r="Q164" s="1798"/>
      <c r="R164" s="1798"/>
    </row>
    <row r="166" spans="1:18" ht="34.5" customHeight="1">
      <c r="A166" s="1764" t="s">
        <v>894</v>
      </c>
      <c r="B166" s="1764"/>
      <c r="C166" s="1764"/>
      <c r="D166" s="1764"/>
      <c r="E166" s="1764"/>
      <c r="F166" s="1764"/>
      <c r="G166" s="1764"/>
      <c r="H166" s="1764"/>
      <c r="I166" s="1764"/>
      <c r="J166" s="1764"/>
      <c r="K166" s="1764"/>
      <c r="L166" s="1764"/>
      <c r="M166" s="1764"/>
      <c r="N166" s="1764"/>
      <c r="O166" s="1764"/>
      <c r="P166" s="1764"/>
      <c r="Q166" s="1764"/>
      <c r="R166" s="1764"/>
    </row>
    <row r="168" spans="1:18" ht="34.5" customHeight="1">
      <c r="A168" s="1717" t="s">
        <v>895</v>
      </c>
      <c r="B168" s="1717"/>
      <c r="C168" s="1717"/>
      <c r="D168" s="1717"/>
      <c r="E168" s="1717"/>
      <c r="F168" s="1717"/>
      <c r="G168" s="1717"/>
      <c r="H168" s="1717"/>
      <c r="I168" s="1717"/>
      <c r="J168" s="1717"/>
      <c r="K168" s="1717"/>
      <c r="L168" s="1717"/>
      <c r="M168" s="1717"/>
      <c r="N168" s="1717"/>
      <c r="O168" s="1717"/>
      <c r="P168" s="1717"/>
      <c r="Q168" s="1717"/>
      <c r="R168" s="1717"/>
    </row>
    <row r="170" spans="1:18">
      <c r="B170" s="281" t="s">
        <v>6</v>
      </c>
      <c r="C170" s="122" t="s">
        <v>896</v>
      </c>
    </row>
    <row r="171" spans="1:18">
      <c r="C171" s="260" t="s">
        <v>639</v>
      </c>
      <c r="D171" s="122" t="s">
        <v>872</v>
      </c>
      <c r="O171" s="1017">
        <f>IF(AND(SSAPhaseDownCheckbox="X",SSAFYExceeded&gt;=2000,UnweightedStudCntK8PY&gt;125,UnweightedStudCntK8PY&lt;181),UnweightedStudCntK8PY,0)</f>
        <v>0</v>
      </c>
    </row>
    <row r="172" spans="1:18">
      <c r="C172" s="129" t="s">
        <v>641</v>
      </c>
      <c r="D172" s="122" t="s">
        <v>873</v>
      </c>
      <c r="N172" s="132" t="s">
        <v>791</v>
      </c>
      <c r="O172" s="1017">
        <v>125</v>
      </c>
    </row>
    <row r="173" spans="1:18">
      <c r="C173" s="129" t="s">
        <v>643</v>
      </c>
      <c r="D173" s="122" t="s">
        <v>875</v>
      </c>
      <c r="N173" s="132" t="s">
        <v>793</v>
      </c>
      <c r="O173" s="1017">
        <f>IF(O171&gt;0,O171-O172,0)</f>
        <v>0</v>
      </c>
    </row>
    <row r="174" spans="1:18">
      <c r="C174" s="129" t="s">
        <v>746</v>
      </c>
      <c r="D174" s="122" t="s">
        <v>897</v>
      </c>
      <c r="N174" s="132" t="s">
        <v>795</v>
      </c>
      <c r="O174" s="1017">
        <v>4.4999999999999997E-3</v>
      </c>
    </row>
    <row r="175" spans="1:18">
      <c r="C175" s="129" t="s">
        <v>748</v>
      </c>
      <c r="D175" s="122" t="s">
        <v>898</v>
      </c>
      <c r="N175" s="132" t="s">
        <v>793</v>
      </c>
      <c r="O175" s="1017">
        <f>ROUND(O173*O174,3)</f>
        <v>0</v>
      </c>
    </row>
    <row r="176" spans="1:18">
      <c r="C176" s="129" t="s">
        <v>750</v>
      </c>
      <c r="D176" s="122" t="s">
        <v>899</v>
      </c>
      <c r="N176" s="132"/>
      <c r="O176" s="1017">
        <f>IF(O171&gt;0,0.35-O175,0)</f>
        <v>0</v>
      </c>
    </row>
    <row r="177" spans="2:25">
      <c r="C177" s="129" t="s">
        <v>819</v>
      </c>
      <c r="D177" s="1152" t="s">
        <v>900</v>
      </c>
      <c r="E177" s="1153"/>
      <c r="F177" s="1153"/>
      <c r="N177" s="132" t="s">
        <v>795</v>
      </c>
      <c r="O177" s="1057">
        <f>IF(O171&gt;0,DSLRCLPSD8,0)</f>
        <v>0</v>
      </c>
    </row>
    <row r="178" spans="2:25">
      <c r="C178" s="129" t="s">
        <v>820</v>
      </c>
      <c r="D178" s="122" t="s">
        <v>901</v>
      </c>
      <c r="Q178" s="1137" t="s">
        <v>450</v>
      </c>
      <c r="R178" s="1138">
        <f>IF(O176*O177&gt;0,ROUND(O176*O177,2),0)</f>
        <v>0</v>
      </c>
    </row>
    <row r="180" spans="2:25">
      <c r="B180" s="281" t="s">
        <v>9</v>
      </c>
      <c r="C180" s="122" t="s">
        <v>902</v>
      </c>
    </row>
    <row r="181" spans="2:25">
      <c r="C181" s="260" t="s">
        <v>639</v>
      </c>
      <c r="D181" s="122" t="s">
        <v>884</v>
      </c>
      <c r="O181" s="1017">
        <f>IF(AND(SSAPhaseDownCheckbox="X",SSAFYExceeded&gt;=2000,UnweightedStudCnt912PY&gt;100,UnweightedStudCnt912PY&lt;185),UnweightedStudCnt912PY,0)</f>
        <v>0</v>
      </c>
    </row>
    <row r="182" spans="2:25">
      <c r="C182" s="129" t="s">
        <v>641</v>
      </c>
      <c r="D182" s="122" t="s">
        <v>873</v>
      </c>
      <c r="N182" s="132" t="s">
        <v>791</v>
      </c>
      <c r="O182" s="1017">
        <v>100</v>
      </c>
    </row>
    <row r="183" spans="2:25">
      <c r="C183" s="129" t="s">
        <v>643</v>
      </c>
      <c r="D183" s="122" t="s">
        <v>875</v>
      </c>
      <c r="N183" s="132" t="s">
        <v>793</v>
      </c>
      <c r="O183" s="1017">
        <f>IF(O181&gt;0,O181-O182,0)</f>
        <v>0</v>
      </c>
    </row>
    <row r="184" spans="2:25">
      <c r="C184" s="129" t="s">
        <v>746</v>
      </c>
      <c r="D184" s="122" t="s">
        <v>897</v>
      </c>
      <c r="N184" s="132" t="s">
        <v>795</v>
      </c>
      <c r="O184" s="1017">
        <v>6.4999999999999997E-3</v>
      </c>
    </row>
    <row r="185" spans="2:25">
      <c r="C185" s="129" t="s">
        <v>748</v>
      </c>
      <c r="D185" s="122" t="s">
        <v>898</v>
      </c>
      <c r="N185" s="132" t="s">
        <v>793</v>
      </c>
      <c r="O185" s="1017">
        <f>ROUND(O183*O184,3)</f>
        <v>0</v>
      </c>
    </row>
    <row r="186" spans="2:25">
      <c r="C186" s="129" t="s">
        <v>750</v>
      </c>
      <c r="D186" s="122" t="s">
        <v>903</v>
      </c>
      <c r="N186" s="132"/>
      <c r="O186" s="1017">
        <f>IF(O181&gt;0,0.65-O185,0)</f>
        <v>0</v>
      </c>
    </row>
    <row r="187" spans="2:25">
      <c r="C187" s="129" t="s">
        <v>819</v>
      </c>
      <c r="D187" s="1152" t="s">
        <v>904</v>
      </c>
      <c r="E187" s="1152"/>
      <c r="F187" s="1152"/>
      <c r="N187" s="132" t="s">
        <v>795</v>
      </c>
      <c r="O187" s="1057">
        <f>IF(O181&gt;0,DSLRCL912,0)</f>
        <v>0</v>
      </c>
    </row>
    <row r="188" spans="2:25">
      <c r="C188" s="129" t="s">
        <v>820</v>
      </c>
      <c r="D188" s="122" t="s">
        <v>905</v>
      </c>
      <c r="Q188" s="1137" t="s">
        <v>450</v>
      </c>
      <c r="R188" s="1138">
        <f>IF(O186*O187&gt;0,ROUND(O186*O187,2),0)</f>
        <v>0</v>
      </c>
    </row>
    <row r="189" spans="2:25">
      <c r="U189" s="1747" t="s">
        <v>1344</v>
      </c>
      <c r="V189" s="1747"/>
      <c r="W189" s="1747"/>
      <c r="X189" s="1747"/>
      <c r="Y189" s="278"/>
    </row>
    <row r="190" spans="2:25" ht="23.25" customHeight="1">
      <c r="B190" s="1151" t="s">
        <v>24</v>
      </c>
      <c r="C190" s="1717" t="s">
        <v>889</v>
      </c>
      <c r="D190" s="1717"/>
      <c r="E190" s="1717"/>
      <c r="F190" s="1717"/>
      <c r="G190" s="1717"/>
      <c r="H190" s="1717"/>
      <c r="I190" s="1717"/>
      <c r="J190" s="1717"/>
      <c r="K190" s="1717"/>
      <c r="L190" s="1717"/>
      <c r="M190" s="1717"/>
      <c r="N190" s="1717"/>
      <c r="O190" s="1717"/>
      <c r="Q190" s="1137" t="s">
        <v>450</v>
      </c>
      <c r="R190" s="1138">
        <f>SSAPDRCL10</f>
        <v>0</v>
      </c>
      <c r="U190" s="1760" t="s">
        <v>906</v>
      </c>
      <c r="V190" s="1761"/>
      <c r="W190" s="1761"/>
      <c r="X190" s="1762"/>
      <c r="Y190" s="120">
        <f>IF(AND(SSAPhaseDownCheckbox="X",SSAFYExceeded&gt;=2000,UnweightedStudCnt912PY&gt;100,UnweightedStudCnt912PY&lt;185),('BSA55'!G142*RCL),0)</f>
        <v>0</v>
      </c>
    </row>
    <row r="191" spans="2:25">
      <c r="B191" s="281" t="s">
        <v>51</v>
      </c>
      <c r="C191" s="424" t="s">
        <v>907</v>
      </c>
      <c r="D191" s="424"/>
      <c r="E191" s="424"/>
      <c r="F191" s="424"/>
      <c r="G191" s="424"/>
      <c r="H191" s="424"/>
      <c r="I191" s="424"/>
      <c r="J191" s="699"/>
      <c r="Q191" s="1137" t="s">
        <v>450</v>
      </c>
      <c r="R191" s="1138">
        <f>R178+R188+R190</f>
        <v>0</v>
      </c>
      <c r="U191" s="1760" t="s">
        <v>908</v>
      </c>
      <c r="V191" s="1761"/>
      <c r="W191" s="1761"/>
      <c r="X191" s="1762"/>
      <c r="Y191" s="1154">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2" spans="2:25" ht="12.75" customHeight="1">
      <c r="B192" s="281" t="s">
        <v>166</v>
      </c>
      <c r="C192" s="122" t="s">
        <v>891</v>
      </c>
      <c r="Q192" s="1137" t="s">
        <v>450</v>
      </c>
      <c r="R192" s="1138">
        <f>IF(R191&gt;0,DSLRCLTotal*0.1,0)</f>
        <v>0</v>
      </c>
      <c r="U192" s="1760" t="s">
        <v>909</v>
      </c>
      <c r="V192" s="1761"/>
      <c r="W192" s="1761"/>
      <c r="X192" s="1762"/>
      <c r="Y192" s="120">
        <f>IF(AND(SSAPhaseDownCheckbox="X",SSAFYExceeded&gt;=2000,UnweightedStudCnt912PY&gt;100,UnweightedStudCnt912PY&lt;185),RCL,0)</f>
        <v>0</v>
      </c>
    </row>
    <row r="193" spans="1:25" ht="12.75" customHeight="1">
      <c r="B193" s="281" t="s">
        <v>168</v>
      </c>
      <c r="C193" s="424" t="s">
        <v>892</v>
      </c>
      <c r="Q193" s="1137" t="s">
        <v>450</v>
      </c>
      <c r="R193" s="1138">
        <f>MAX(R191,R192)</f>
        <v>0</v>
      </c>
      <c r="U193" s="1760" t="s">
        <v>910</v>
      </c>
      <c r="V193" s="1761"/>
      <c r="W193" s="1761"/>
      <c r="X193" s="1762"/>
      <c r="Y193" s="120">
        <f>Y191*Y192</f>
        <v>0</v>
      </c>
    </row>
    <row r="194" spans="1:25">
      <c r="U194" s="1760" t="s">
        <v>911</v>
      </c>
      <c r="V194" s="1761"/>
      <c r="W194" s="1761"/>
      <c r="X194" s="1762"/>
      <c r="Y194" s="1155">
        <f>Y190-Y193</f>
        <v>0</v>
      </c>
    </row>
    <row r="195" spans="1:25">
      <c r="U195" s="1760" t="s">
        <v>912</v>
      </c>
      <c r="V195" s="1761"/>
      <c r="W195" s="1761"/>
      <c r="X195" s="1762"/>
      <c r="Y195" s="1155">
        <f>Y194*0.1</f>
        <v>0</v>
      </c>
    </row>
    <row r="198" spans="1:25" ht="32.1" customHeight="1">
      <c r="A198" s="1790" t="s">
        <v>1345</v>
      </c>
      <c r="B198" s="1790"/>
      <c r="C198" s="1790"/>
      <c r="D198" s="1790"/>
      <c r="E198" s="1790"/>
      <c r="F198" s="1790"/>
      <c r="G198" s="1790"/>
      <c r="H198" s="1790"/>
      <c r="I198" s="1790"/>
      <c r="J198" s="1790"/>
      <c r="K198" s="1790"/>
      <c r="L198" s="1790"/>
      <c r="M198" s="1790"/>
      <c r="N198" s="1790"/>
      <c r="O198" s="1790"/>
      <c r="P198" s="1790"/>
      <c r="Q198" s="1790"/>
      <c r="R198" s="1790"/>
      <c r="S198" s="1790"/>
    </row>
    <row r="200" spans="1:25" ht="24.75" customHeight="1">
      <c r="B200" s="1764" t="s">
        <v>913</v>
      </c>
      <c r="C200" s="1764"/>
      <c r="D200" s="1764"/>
      <c r="E200" s="1764"/>
      <c r="F200" s="1764"/>
      <c r="G200" s="1764"/>
      <c r="H200" s="1764"/>
      <c r="I200" s="1764"/>
      <c r="J200" s="1764"/>
      <c r="K200" s="1764"/>
      <c r="L200" s="1764"/>
      <c r="M200" s="1764"/>
      <c r="N200" s="1764"/>
      <c r="O200" s="1764"/>
      <c r="P200" s="1764"/>
      <c r="Q200" s="1764"/>
      <c r="R200" s="1764"/>
    </row>
    <row r="202" spans="1:25">
      <c r="B202" s="281" t="s">
        <v>6</v>
      </c>
      <c r="C202" s="122" t="s">
        <v>914</v>
      </c>
      <c r="R202" s="1057">
        <f>'Data Entry'!L113</f>
        <v>0</v>
      </c>
    </row>
    <row r="203" spans="1:25">
      <c r="B203" s="281" t="s">
        <v>9</v>
      </c>
      <c r="C203" s="122" t="s">
        <v>915</v>
      </c>
      <c r="Q203" s="122" t="s">
        <v>795</v>
      </c>
      <c r="R203" s="1057">
        <v>0.05</v>
      </c>
    </row>
    <row r="204" spans="1:25">
      <c r="B204" s="281" t="s">
        <v>24</v>
      </c>
      <c r="C204" s="122" t="s">
        <v>916</v>
      </c>
      <c r="Q204" s="122" t="s">
        <v>793</v>
      </c>
      <c r="R204" s="1088">
        <f>IF(R202&gt;0,R202*R203,0)</f>
        <v>0</v>
      </c>
    </row>
    <row r="205" spans="1:25" ht="23.25" customHeight="1">
      <c r="B205" s="1072" t="s">
        <v>51</v>
      </c>
      <c r="C205" s="1519" t="s">
        <v>917</v>
      </c>
      <c r="D205" s="1519"/>
      <c r="E205" s="1519"/>
      <c r="F205" s="1519"/>
      <c r="G205" s="1519"/>
      <c r="H205" s="1519"/>
      <c r="I205" s="1519"/>
      <c r="J205" s="1519"/>
      <c r="K205" s="1519"/>
      <c r="L205" s="1519"/>
      <c r="R205" s="1088">
        <f>'Data Entry'!L114</f>
        <v>0</v>
      </c>
    </row>
    <row r="207" spans="1:25">
      <c r="B207" s="150" t="s">
        <v>918</v>
      </c>
    </row>
    <row r="209" spans="2:18">
      <c r="B209" s="281" t="s">
        <v>166</v>
      </c>
      <c r="C209" s="1156" t="s">
        <v>919</v>
      </c>
      <c r="R209" s="1057">
        <f>'Data Entry'!L115</f>
        <v>0</v>
      </c>
    </row>
    <row r="210" spans="2:18">
      <c r="B210" s="281" t="s">
        <v>168</v>
      </c>
      <c r="C210" s="1156" t="s">
        <v>920</v>
      </c>
      <c r="Q210" s="132" t="s">
        <v>791</v>
      </c>
      <c r="R210" s="1057">
        <f>'Data Entry'!L116</f>
        <v>0</v>
      </c>
    </row>
    <row r="211" spans="2:18">
      <c r="B211" s="281" t="s">
        <v>170</v>
      </c>
      <c r="C211" s="1156" t="s">
        <v>921</v>
      </c>
      <c r="Q211" s="122" t="s">
        <v>793</v>
      </c>
      <c r="R211" s="1057">
        <f>IF(R209-R210&gt;0,R209-R210,0)</f>
        <v>0</v>
      </c>
    </row>
    <row r="212" spans="2:18">
      <c r="B212" s="281" t="s">
        <v>172</v>
      </c>
      <c r="C212" s="1156" t="s">
        <v>922</v>
      </c>
      <c r="L212" s="129" t="s">
        <v>923</v>
      </c>
      <c r="N212" s="129" t="s">
        <v>795</v>
      </c>
      <c r="O212" s="1057">
        <v>0.75</v>
      </c>
      <c r="Q212" s="122" t="s">
        <v>793</v>
      </c>
      <c r="R212" s="1057">
        <f>IF(OR(Cover!FiscalYear='Data Entry'!L112+1,Cover!FiscalYear='Data Entry'!L112+2,Cover!FiscalYear='Data Entry'!L112+3),R211*O212,0)</f>
        <v>0</v>
      </c>
    </row>
    <row r="213" spans="2:18">
      <c r="B213" s="281" t="s">
        <v>174</v>
      </c>
      <c r="C213" s="1156" t="s">
        <v>924</v>
      </c>
      <c r="L213" s="129" t="s">
        <v>925</v>
      </c>
      <c r="N213" s="129" t="s">
        <v>795</v>
      </c>
      <c r="O213" s="1057">
        <v>0.5</v>
      </c>
      <c r="Q213" s="122" t="s">
        <v>793</v>
      </c>
      <c r="R213" s="1057">
        <f>IF(OR(Cover!FiscalYear='Data Entry'!L112+2,Cover!FiscalYear='Data Entry'!L112+3),R211*O212,0)</f>
        <v>0</v>
      </c>
    </row>
    <row r="214" spans="2:18">
      <c r="B214" s="281" t="s">
        <v>176</v>
      </c>
      <c r="C214" s="1156" t="s">
        <v>926</v>
      </c>
      <c r="L214" s="129" t="s">
        <v>927</v>
      </c>
      <c r="N214" s="129" t="s">
        <v>795</v>
      </c>
      <c r="O214" s="1057">
        <v>0.25</v>
      </c>
      <c r="Q214" s="122" t="s">
        <v>793</v>
      </c>
      <c r="R214" s="1057">
        <f>IF(Cover!FiscalYear='Data Entry'!L112+3,R211*O212,0)</f>
        <v>0</v>
      </c>
    </row>
    <row r="215" spans="2:18">
      <c r="B215" s="281" t="s">
        <v>178</v>
      </c>
      <c r="C215" s="1156" t="s">
        <v>928</v>
      </c>
      <c r="R215" s="1057">
        <f>R212+R213+R214</f>
        <v>0</v>
      </c>
    </row>
    <row r="216" spans="2:18">
      <c r="C216" s="1156"/>
    </row>
    <row r="217" spans="2:18" ht="34.5" customHeight="1">
      <c r="B217" s="1764" t="s">
        <v>929</v>
      </c>
      <c r="C217" s="1764"/>
      <c r="D217" s="1764"/>
      <c r="E217" s="1764"/>
      <c r="F217" s="1764"/>
      <c r="G217" s="1764"/>
      <c r="H217" s="1764"/>
      <c r="I217" s="1764"/>
      <c r="J217" s="1764"/>
      <c r="K217" s="1764"/>
      <c r="L217" s="1764"/>
      <c r="M217" s="1764"/>
      <c r="N217" s="1764"/>
      <c r="O217" s="1764"/>
      <c r="P217" s="1764"/>
      <c r="Q217" s="1764"/>
      <c r="R217" s="1764"/>
    </row>
    <row r="219" spans="2:18">
      <c r="B219" s="281" t="s">
        <v>180</v>
      </c>
      <c r="C219" s="122" t="s">
        <v>930</v>
      </c>
    </row>
    <row r="220" spans="2:18">
      <c r="C220" s="129" t="s">
        <v>639</v>
      </c>
      <c r="D220" s="1156" t="s">
        <v>931</v>
      </c>
      <c r="Q220" s="1137" t="s">
        <v>450</v>
      </c>
      <c r="R220" s="1138">
        <f>IF(AND('Data Entry'!C118="X",'Data Entry'!L114&gt;=500,Cover!FiscalYear='Data Entry'!L112+1),650000,0)</f>
        <v>0</v>
      </c>
    </row>
    <row r="221" spans="2:18">
      <c r="C221" s="129" t="s">
        <v>641</v>
      </c>
      <c r="D221" s="1156" t="s">
        <v>932</v>
      </c>
      <c r="Q221" s="1137" t="s">
        <v>450</v>
      </c>
      <c r="R221" s="1138">
        <f>IF(AND('Data Entry'!C118="X",'Data Entry'!L114&gt;=500,Cover!FiscalYear='Data Entry'!L112+2),600000,0)</f>
        <v>0</v>
      </c>
    </row>
    <row r="222" spans="2:18">
      <c r="C222" s="129" t="s">
        <v>643</v>
      </c>
      <c r="D222" s="1156" t="s">
        <v>933</v>
      </c>
      <c r="Q222" s="1137" t="s">
        <v>450</v>
      </c>
      <c r="R222" s="1138">
        <f>IF(AND('Data Entry'!C118="X",'Data Entry'!L114&gt;=500,Cover!FiscalYear='Data Entry'!L112+3),500000,0)</f>
        <v>0</v>
      </c>
    </row>
    <row r="223" spans="2:18">
      <c r="C223" s="129" t="s">
        <v>746</v>
      </c>
      <c r="D223" s="1156" t="s">
        <v>934</v>
      </c>
      <c r="Q223" s="1137" t="s">
        <v>450</v>
      </c>
      <c r="R223" s="1138">
        <f>IF(AND('Data Entry'!C118="X",'Data Entry'!L114&gt;=500,Cover!FiscalYear='Data Entry'!L112+4),300000,0)</f>
        <v>0</v>
      </c>
    </row>
    <row r="224" spans="2:18">
      <c r="C224" s="129" t="s">
        <v>748</v>
      </c>
      <c r="D224" s="1156" t="s">
        <v>935</v>
      </c>
      <c r="Q224" s="1137" t="s">
        <v>450</v>
      </c>
      <c r="R224" s="1138">
        <f>IF(AND('Data Entry'!C118="X",'Data Entry'!L114&gt;=500,Cover!FiscalYear='Data Entry'!L112+5),100000,0)</f>
        <v>0</v>
      </c>
    </row>
    <row r="225" spans="1:18">
      <c r="B225" s="281" t="s">
        <v>182</v>
      </c>
      <c r="C225" s="122" t="s">
        <v>936</v>
      </c>
    </row>
    <row r="226" spans="1:18">
      <c r="C226" s="129" t="s">
        <v>639</v>
      </c>
      <c r="D226" s="1156" t="s">
        <v>937</v>
      </c>
      <c r="Q226" s="1137" t="s">
        <v>450</v>
      </c>
      <c r="R226" s="1138">
        <f>IF(AND(VALUE(LEFT(RIGHT(O1,7),2))=5,'Data Entry'!C118="X",'Data Entry'!L114&gt;=50,Cover!FiscalYear='Data Entry'!L112+1),100000,0)</f>
        <v>0</v>
      </c>
    </row>
    <row r="227" spans="1:18">
      <c r="C227" s="129" t="s">
        <v>641</v>
      </c>
      <c r="D227" s="1156" t="s">
        <v>938</v>
      </c>
      <c r="Q227" s="1137" t="s">
        <v>450</v>
      </c>
      <c r="R227" s="1138">
        <f>IF(AND(VALUE(LEFT(RIGHT(O1,7),2))=5,'Data Entry'!C118="X",'Data Entry'!L120&gt;=50,Cover!FiscalYear='Data Entry'!L112+2),200000,0)</f>
        <v>0</v>
      </c>
    </row>
    <row r="228" spans="1:18">
      <c r="C228" s="129" t="s">
        <v>643</v>
      </c>
      <c r="D228" s="1156" t="s">
        <v>939</v>
      </c>
      <c r="Q228" s="1137" t="s">
        <v>450</v>
      </c>
      <c r="R228" s="1138">
        <f>IF(AND(VALUE(LEFT(RIGHT(O1,7),2))=5,'Data Entry'!C118="X",'Data Entry'!L121&gt;=50,Cover!FiscalYear='Data Entry'!L112+3),325000,0)</f>
        <v>0</v>
      </c>
    </row>
    <row r="229" spans="1:18">
      <c r="C229" s="129" t="s">
        <v>746</v>
      </c>
      <c r="D229" s="1156" t="s">
        <v>940</v>
      </c>
      <c r="Q229" s="1137" t="s">
        <v>450</v>
      </c>
      <c r="R229" s="1138">
        <f>IF(AND(VALUE(LEFT(RIGHT(O1,7),2))=5,'Data Entry'!C118="X",Cover!FiscalYear='Data Entry'!L112+4),200000,0)</f>
        <v>0</v>
      </c>
    </row>
    <row r="230" spans="1:18">
      <c r="C230" s="129" t="s">
        <v>748</v>
      </c>
      <c r="D230" s="1156" t="s">
        <v>941</v>
      </c>
      <c r="Q230" s="1137" t="s">
        <v>450</v>
      </c>
      <c r="R230" s="1138">
        <f>IF(AND(VALUE(LEFT(RIGHT(O1,7),2))=5,'Data Entry'!C118="X",Cover!FiscalYear='Data Entry'!L112+5),100000,0)</f>
        <v>0</v>
      </c>
    </row>
    <row r="233" spans="1:18" ht="15.75" customHeight="1">
      <c r="A233" s="1095" t="s">
        <v>942</v>
      </c>
      <c r="B233" s="1095"/>
      <c r="C233" s="1095"/>
      <c r="D233" s="1095"/>
      <c r="E233" s="1095"/>
      <c r="F233" s="1095"/>
      <c r="G233" s="1095"/>
      <c r="H233" s="1095"/>
      <c r="I233" s="1095"/>
      <c r="J233" s="1095"/>
      <c r="K233" s="1095"/>
      <c r="L233" s="1095"/>
    </row>
    <row r="234" spans="1:18" ht="8.25" customHeight="1"/>
    <row r="235" spans="1:18">
      <c r="B235" s="281" t="s">
        <v>6</v>
      </c>
      <c r="C235" s="1157" t="s">
        <v>943</v>
      </c>
      <c r="Q235" s="1137" t="s">
        <v>450</v>
      </c>
      <c r="R235" s="1138">
        <f>F001P530</f>
        <v>0</v>
      </c>
    </row>
    <row r="236" spans="1:18">
      <c r="B236" s="281" t="s">
        <v>9</v>
      </c>
      <c r="C236" s="1158" t="s">
        <v>944</v>
      </c>
      <c r="Q236" s="1137" t="s">
        <v>450</v>
      </c>
      <c r="R236" s="1138">
        <f>R215+(IF(AND(Cover!FiscalYear='Data Entry'!L112+1,(R220+R226)&gt;0),R220+R226,IF(AND(Cover!FiscalYear='Data Entry'!L112+2,(R221+R227)&gt;0),R221+R227,IF(AND(Cover!FiscalYear='Data Entry'!L112+3,(R222+R228)&gt;0),R222+R228,IF(AND(Cover!FiscalYear='Data Entry'!L112+4,(R223+R229)&gt;0),R223+R229,IF(AND(Cover!FiscalYear='Data Entry'!L112+5,(R224+R230)&gt;0),R224+R230,0))))))</f>
        <v>0</v>
      </c>
    </row>
    <row r="237" spans="1:18">
      <c r="B237" s="281" t="s">
        <v>24</v>
      </c>
      <c r="C237" s="1157" t="s">
        <v>945</v>
      </c>
      <c r="Q237" s="1137" t="s">
        <v>450</v>
      </c>
      <c r="R237" s="1138">
        <f>'Truth in Tax'!I31</f>
        <v>0</v>
      </c>
    </row>
    <row r="238" spans="1:18">
      <c r="B238" s="281" t="s">
        <v>51</v>
      </c>
      <c r="C238" s="1157" t="s">
        <v>946</v>
      </c>
      <c r="Q238" s="1137" t="s">
        <v>450</v>
      </c>
      <c r="R238" s="1138">
        <f>F001P540</f>
        <v>0</v>
      </c>
    </row>
    <row r="239" spans="1:18">
      <c r="B239" s="281" t="s">
        <v>166</v>
      </c>
      <c r="C239" s="1157" t="s">
        <v>947</v>
      </c>
      <c r="Q239" s="1137" t="s">
        <v>450</v>
      </c>
      <c r="R239" s="1138">
        <f>'Truth in Tax'!I29</f>
        <v>0</v>
      </c>
    </row>
    <row r="240" spans="1:18" ht="23.25" customHeight="1">
      <c r="B240" s="1072" t="s">
        <v>168</v>
      </c>
      <c r="C240" s="1519" t="s">
        <v>948</v>
      </c>
      <c r="D240" s="1519"/>
      <c r="E240" s="1519"/>
      <c r="F240" s="1519"/>
      <c r="G240" s="1519"/>
      <c r="H240" s="1519"/>
      <c r="I240" s="1519"/>
      <c r="J240" s="1519"/>
      <c r="K240" s="1519"/>
      <c r="L240" s="1519"/>
      <c r="Q240" s="1137" t="s">
        <v>450</v>
      </c>
      <c r="R240" s="1138">
        <f>IF(AND(SSA_MO&lt;=50000,OR('Data Entry'!Y17=1,'Data Entry'!Z17=1)),SSA_MO,0)</f>
        <v>0</v>
      </c>
    </row>
  </sheetData>
  <sheetProtection formatCells="0" formatColumns="0" formatRows="0"/>
  <mergeCells count="64">
    <mergeCell ref="C240:L240"/>
    <mergeCell ref="J18:K18"/>
    <mergeCell ref="J19:K19"/>
    <mergeCell ref="J32:K32"/>
    <mergeCell ref="J21:K21"/>
    <mergeCell ref="J22:K22"/>
    <mergeCell ref="J30:K30"/>
    <mergeCell ref="J24:K24"/>
    <mergeCell ref="J33:K33"/>
    <mergeCell ref="J29:K29"/>
    <mergeCell ref="B217:R217"/>
    <mergeCell ref="C205:L205"/>
    <mergeCell ref="B200:R200"/>
    <mergeCell ref="Q95:R95"/>
    <mergeCell ref="A82:S82"/>
    <mergeCell ref="A164:R164"/>
    <mergeCell ref="A198:S198"/>
    <mergeCell ref="K95:L95"/>
    <mergeCell ref="A168:R168"/>
    <mergeCell ref="C91:I91"/>
    <mergeCell ref="C104:J104"/>
    <mergeCell ref="C123:N123"/>
    <mergeCell ref="A134:R134"/>
    <mergeCell ref="C120:L121"/>
    <mergeCell ref="C126:J126"/>
    <mergeCell ref="A132:R132"/>
    <mergeCell ref="C190:O190"/>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7:U137"/>
    <mergeCell ref="T148:U148"/>
    <mergeCell ref="C147:Q147"/>
    <mergeCell ref="C158:O158"/>
    <mergeCell ref="A166:R166"/>
    <mergeCell ref="U195:X195"/>
    <mergeCell ref="U189:X189"/>
    <mergeCell ref="U190:X190"/>
    <mergeCell ref="U191:X191"/>
    <mergeCell ref="U192:X192"/>
    <mergeCell ref="U193:X193"/>
    <mergeCell ref="U194:X194"/>
  </mergeCells>
  <hyperlinks>
    <hyperlink ref="D177" r:id="rId1" display="G. K-8 Revenue Control Limit (2)"/>
    <hyperlink ref="D187" r:id="rId2" display="G. 9-12 Revenue Control Limit"/>
    <hyperlink ref="B84" location="BUDG75Adj" display="2."/>
    <hyperlink ref="B90" location="PYTotMOActExpend" display="8."/>
    <hyperlink ref="B95" location="PYActExpend" display="10."/>
    <hyperlink ref="C108" location="PYEndMOCash" display="a."/>
    <hyperlink ref="C113" location="AccommRCL10" display="b."/>
    <hyperlink ref="C114" location="AccommRCL05" display="c."/>
    <hyperlink ref="B119" location="CYIARev" display="1."/>
    <hyperlink ref="B120" location="CYIARevBondDS" display="2."/>
    <hyperlink ref="B123" location="CYIAMOTRCL" display="4."/>
    <hyperlink ref="B124" location="CYIAMOTax" display="5."/>
    <hyperlink ref="B125" location="PYIAEndCash" display="6."/>
    <hyperlink ref="B158" location="SSAPDRCL10" display="3."/>
    <hyperlink ref="B190" location="SSAPDRCL10" display="3."/>
  </hyperlinks>
  <printOptions horizontalCentered="1"/>
  <pageMargins left="0.2" right="0.2" top="0.25" bottom="0.25" header="0.5" footer="0.25"/>
  <pageSetup paperSize="5" scale="65" orientation="portrait" r:id="rId3"/>
  <headerFooter>
    <oddFooter>&amp;L&amp;"Times New Roman,Bold"Rev. 5/23 Arizona Department of Education and Auditor General&amp;R&amp;"Times New Roman,Bold"Page &amp;P of &amp;N</oddFooter>
  </headerFooter>
  <rowBreaks count="2" manualBreakCount="2">
    <brk id="117" max="18" man="1"/>
    <brk id="194" max="18" man="1"/>
  </rowBreaks>
  <colBreaks count="1" manualBreakCount="1">
    <brk id="19" max="1048575" man="1"/>
  </colBreak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4"/>
  <sheetViews>
    <sheetView showGridLines="0" topLeftCell="A143" workbookViewId="0">
      <selection activeCell="G124" sqref="G124"/>
    </sheetView>
  </sheetViews>
  <sheetFormatPr defaultColWidth="8.90625" defaultRowHeight="15" customHeight="1"/>
  <cols>
    <col min="1" max="1" width="34.90625" style="125" customWidth="1"/>
    <col min="2" max="2" width="9.90625" style="125" customWidth="1"/>
    <col min="3" max="4" width="9.08984375" style="125" customWidth="1"/>
    <col min="5" max="5" width="11.90625" style="125" customWidth="1"/>
    <col min="6" max="6" width="13.90625" style="125" customWidth="1"/>
    <col min="7" max="7" width="11.90625" style="125" customWidth="1"/>
    <col min="8" max="8" width="11.453125" style="125" customWidth="1"/>
    <col min="9" max="9" width="10.90625" style="125" customWidth="1"/>
    <col min="10" max="10" width="10.08984375" style="125" customWidth="1"/>
    <col min="11" max="11" width="10.90625" style="125" customWidth="1"/>
    <col min="12" max="12" width="15.453125" style="125" bestFit="1" customWidth="1"/>
    <col min="13" max="13" width="10.08984375" style="164" bestFit="1" customWidth="1"/>
    <col min="14" max="26" width="8.90625" style="125" customWidth="1"/>
    <col min="27" max="27" width="8.90625" style="191" customWidth="1"/>
    <col min="28" max="29" width="8.90625" style="125" customWidth="1"/>
    <col min="30" max="16384" width="8.90625" style="125"/>
  </cols>
  <sheetData>
    <row r="1" spans="1:27" ht="15" customHeight="1">
      <c r="A1" s="1159" t="s">
        <v>669</v>
      </c>
      <c r="B1" s="1811" t="str">
        <f>DistrictName</f>
        <v>MADISON ELEMENTARY SCHOOL DISTRICT</v>
      </c>
      <c r="C1" s="1811"/>
      <c r="D1" s="1811"/>
      <c r="E1" s="1811"/>
      <c r="F1" s="1159" t="s">
        <v>670</v>
      </c>
      <c r="G1" s="1810" t="str">
        <f>Cover!H1</f>
        <v>MARICOPA</v>
      </c>
      <c r="H1" s="1811"/>
      <c r="I1" s="1811"/>
      <c r="K1" s="1159" t="s">
        <v>671</v>
      </c>
      <c r="L1" s="1812" t="str">
        <f>CTD</f>
        <v>070438000</v>
      </c>
      <c r="M1" s="1812"/>
      <c r="AA1" s="164"/>
    </row>
    <row r="2" spans="1:27" ht="15" customHeight="1">
      <c r="A2" s="611"/>
      <c r="B2" s="611"/>
      <c r="C2" s="507"/>
      <c r="D2" s="132"/>
      <c r="E2" s="611"/>
      <c r="F2" s="507"/>
      <c r="G2" s="132"/>
      <c r="H2" s="132"/>
      <c r="I2" s="122"/>
      <c r="K2" s="1159" t="s">
        <v>18</v>
      </c>
      <c r="L2" s="1761" t="str">
        <f>Version</f>
        <v>Adopted</v>
      </c>
      <c r="M2" s="1761"/>
      <c r="AA2" s="164"/>
    </row>
    <row r="3" spans="1:27" ht="15" customHeight="1">
      <c r="B3" s="1160"/>
      <c r="C3" s="1160"/>
      <c r="D3" s="1421" t="str">
        <f>IF(DistrictName&lt;&gt;0,DistrictName,"")</f>
        <v>MADISON ELEMENTARY SCHOOL DISTRICT</v>
      </c>
      <c r="E3" s="1421"/>
      <c r="F3" s="1421"/>
      <c r="G3" s="1421"/>
      <c r="H3" s="1421"/>
      <c r="I3" s="1160"/>
      <c r="J3" s="1160"/>
      <c r="K3" s="1160"/>
      <c r="L3" s="1160"/>
      <c r="M3" s="1160"/>
      <c r="AA3" s="164"/>
    </row>
    <row r="4" spans="1:27" ht="34.5" customHeight="1">
      <c r="B4" s="449"/>
      <c r="C4" s="449"/>
      <c r="D4" s="1799" t="s">
        <v>949</v>
      </c>
      <c r="E4" s="1799"/>
      <c r="F4" s="1799"/>
      <c r="G4" s="1799"/>
      <c r="H4" s="1799"/>
      <c r="I4" s="449"/>
      <c r="J4" s="449"/>
      <c r="K4" s="449"/>
      <c r="L4" s="449"/>
      <c r="M4" s="449"/>
      <c r="AA4" s="164"/>
    </row>
    <row r="5" spans="1:27" ht="15" customHeight="1" thickBot="1">
      <c r="A5" s="1130"/>
      <c r="B5" s="1130"/>
      <c r="C5" s="1161"/>
      <c r="D5" s="1161"/>
      <c r="E5" s="1130"/>
      <c r="F5" s="1162" t="s">
        <v>950</v>
      </c>
      <c r="G5" s="1163" t="str">
        <f>IF(AND(SmallIsolatedPSD8Checkbox="X",SmallIsolated912Checkbox="X"),"Both Elementary and High School",IF(SmallIsolatedPSD8Checkbox="X","Elementary",IF(SmallIsolated912Checkbox="X","High School","Not Isolated")))</f>
        <v>Not Isolated</v>
      </c>
      <c r="H5" s="1130"/>
      <c r="I5" s="1130"/>
      <c r="J5" s="1130"/>
      <c r="K5" s="1161"/>
      <c r="L5" s="1164" t="s">
        <v>951</v>
      </c>
      <c r="M5" s="1164" t="s">
        <v>952</v>
      </c>
      <c r="AA5" s="164"/>
    </row>
    <row r="6" spans="1:27" ht="26.25" customHeight="1">
      <c r="A6" s="1165" t="s">
        <v>953</v>
      </c>
      <c r="B6" s="122"/>
      <c r="C6" s="1166" t="s">
        <v>954</v>
      </c>
      <c r="D6" s="1166" t="s">
        <v>955</v>
      </c>
      <c r="E6" s="1166" t="s">
        <v>956</v>
      </c>
      <c r="F6" s="1166" t="s">
        <v>787</v>
      </c>
      <c r="G6" s="1166" t="s">
        <v>957</v>
      </c>
      <c r="H6" s="1166" t="s">
        <v>958</v>
      </c>
      <c r="I6" s="1166" t="s">
        <v>959</v>
      </c>
      <c r="AA6" s="164"/>
    </row>
    <row r="7" spans="1:27" ht="15" customHeight="1">
      <c r="A7" s="1167" t="s">
        <v>681</v>
      </c>
      <c r="B7" s="122"/>
      <c r="C7" s="1168">
        <f>NonAOIStudCntPSDCY</f>
        <v>20.024999999999999</v>
      </c>
      <c r="D7" s="1168">
        <f>AOIFTStudCntPSDCY</f>
        <v>0</v>
      </c>
      <c r="E7" s="1169">
        <f>AOIPTStudCntPSDCY</f>
        <v>0</v>
      </c>
      <c r="F7" s="1170">
        <f>IF(AND(C7=0,D7=0,E7=0),0,1.45)</f>
        <v>1.45</v>
      </c>
      <c r="G7" s="1169">
        <f>NonAOIStudCntPSDCY*F7</f>
        <v>29.036300000000001</v>
      </c>
      <c r="H7" s="1169">
        <f>AOIFTStudCntPSDCY*F7</f>
        <v>0</v>
      </c>
      <c r="I7" s="1169">
        <f>AOIPTStudCntPSDCY*F7</f>
        <v>0</v>
      </c>
      <c r="AA7" s="164"/>
    </row>
    <row r="8" spans="1:27" ht="15" customHeight="1">
      <c r="A8" s="1167" t="s">
        <v>960</v>
      </c>
      <c r="B8" s="122"/>
      <c r="C8" s="1168">
        <f>NonAOIStudCntK8CY</f>
        <v>5239.2137000000002</v>
      </c>
      <c r="D8" s="1168">
        <f>AOIFTStudCntK8CY</f>
        <v>0</v>
      </c>
      <c r="E8" s="1169">
        <f>AOIPTStudCntK8CY</f>
        <v>0</v>
      </c>
      <c r="F8" s="1170">
        <f>IF(UnweightedStudCntK8CY&gt;0,AA13,0)</f>
        <v>1.1579999999999999</v>
      </c>
      <c r="G8" s="1169">
        <f>NonAOIStudCntK8CY*F8</f>
        <v>6067.0095000000001</v>
      </c>
      <c r="H8" s="1169">
        <f>AOIFTStudCntK8CY*F8</f>
        <v>0</v>
      </c>
      <c r="I8" s="1169">
        <f>AOIPTStudCntK8CY*F8</f>
        <v>0</v>
      </c>
      <c r="AA8" s="164"/>
    </row>
    <row r="9" spans="1:27" ht="15" customHeight="1">
      <c r="A9" s="1167" t="s">
        <v>683</v>
      </c>
      <c r="B9" s="122"/>
      <c r="C9" s="1168">
        <f>NonAOIStudCnt912CY</f>
        <v>0</v>
      </c>
      <c r="D9" s="1171">
        <f>AOIFTStudCnt912CY</f>
        <v>0</v>
      </c>
      <c r="E9" s="1169">
        <f>AOIPTStudCnt912CY</f>
        <v>0</v>
      </c>
      <c r="F9" s="1170">
        <f>IF(VALUE(LEFT(RIGHT(L1,7),2))=8,SuppLvlWgt912NonIsolated,IF(UnweightedStudCnt912CY&gt;0,AA15,0))</f>
        <v>0</v>
      </c>
      <c r="G9" s="1169">
        <f>NonAOIStudCnt912CY*F9</f>
        <v>0</v>
      </c>
      <c r="H9" s="1172">
        <f>AOIFTStudCnt912CY*F9</f>
        <v>0</v>
      </c>
      <c r="I9" s="1169">
        <f>AOIPTStudCnt912CY*F9</f>
        <v>0</v>
      </c>
      <c r="AA9" s="164"/>
    </row>
    <row r="10" spans="1:27" ht="15" customHeight="1">
      <c r="A10" s="372" t="s">
        <v>961</v>
      </c>
      <c r="B10" s="122"/>
      <c r="C10" s="1173">
        <f>TotalNonAOIStudCntCY</f>
        <v>5259.2386999999999</v>
      </c>
      <c r="D10" s="1173">
        <f>TotalAOIFTStudCntCY</f>
        <v>0</v>
      </c>
      <c r="E10" s="1174">
        <f>TotalAOIPTStudCntCY</f>
        <v>0</v>
      </c>
      <c r="F10" s="1169"/>
      <c r="G10" s="1169"/>
      <c r="H10" s="1172"/>
      <c r="I10" s="1169"/>
      <c r="AA10" s="164"/>
    </row>
    <row r="11" spans="1:27" ht="15" customHeight="1">
      <c r="A11" s="372" t="s">
        <v>962</v>
      </c>
      <c r="B11" s="122"/>
      <c r="C11" s="1169"/>
      <c r="D11" s="1169"/>
      <c r="E11" s="1174">
        <f>SUM(C10:E10)</f>
        <v>5259.2386999999999</v>
      </c>
      <c r="F11" s="1169"/>
      <c r="G11" s="1169"/>
      <c r="H11" s="1169"/>
      <c r="I11" s="1169"/>
      <c r="AA11" s="164"/>
    </row>
    <row r="12" spans="1:27" ht="15" customHeight="1">
      <c r="A12" s="372" t="s">
        <v>963</v>
      </c>
      <c r="B12" s="122"/>
      <c r="C12" s="1169"/>
      <c r="D12" s="1169"/>
      <c r="E12" s="1169"/>
      <c r="F12" s="1169"/>
      <c r="G12" s="1174">
        <f>((C7*F7)+(C8*F8)+(C9*F9))</f>
        <v>6096.0456999999997</v>
      </c>
      <c r="H12" s="1174">
        <f>((D7*F7)+(D8*F8)+(D9*F9))</f>
        <v>0</v>
      </c>
      <c r="I12" s="1174">
        <f>((E7*F7)+(E8*F8)+(E9*F9))</f>
        <v>0</v>
      </c>
      <c r="AA12" s="164"/>
    </row>
    <row r="13" spans="1:27" ht="15" customHeight="1">
      <c r="A13" s="1175" t="s">
        <v>964</v>
      </c>
      <c r="B13" s="280"/>
      <c r="C13" s="1172"/>
      <c r="D13" s="1172"/>
      <c r="E13" s="1172"/>
      <c r="F13" s="1172"/>
      <c r="G13" s="1172"/>
      <c r="H13" s="1172"/>
      <c r="I13" s="1176">
        <f>(((C7+D7+E7)*F7)+((C8+D8+E8)*F8)+((C9+D9+E9)*F9))</f>
        <v>6096.0456999999997</v>
      </c>
      <c r="J13" s="184"/>
      <c r="K13" s="184"/>
      <c r="L13" s="184"/>
      <c r="M13" s="1177"/>
      <c r="AA13" s="1178">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179"/>
      <c r="B14" s="1130"/>
      <c r="C14" s="1180"/>
      <c r="D14" s="1180"/>
      <c r="E14" s="1180"/>
      <c r="F14" s="1180"/>
      <c r="G14" s="1180"/>
      <c r="H14" s="1180"/>
      <c r="I14" s="1181"/>
      <c r="J14" s="1161"/>
      <c r="K14" s="1161"/>
      <c r="L14" s="1161"/>
      <c r="M14" s="1182"/>
      <c r="AA14" s="1183"/>
    </row>
    <row r="15" spans="1:27" s="184" customFormat="1" ht="7.5" customHeight="1">
      <c r="A15" s="280"/>
      <c r="B15" s="280"/>
      <c r="C15" s="280"/>
      <c r="D15" s="280"/>
      <c r="E15" s="280"/>
      <c r="F15" s="280"/>
      <c r="G15" s="280"/>
      <c r="H15" s="280"/>
      <c r="I15" s="280"/>
      <c r="M15" s="1177"/>
      <c r="AA15" s="1184">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185" t="s">
        <v>965</v>
      </c>
      <c r="B16" s="354"/>
      <c r="C16" s="1166" t="s">
        <v>954</v>
      </c>
      <c r="D16" s="1166" t="s">
        <v>955</v>
      </c>
      <c r="E16" s="1166" t="s">
        <v>956</v>
      </c>
      <c r="F16" s="1166" t="s">
        <v>787</v>
      </c>
      <c r="G16" s="1166" t="s">
        <v>957</v>
      </c>
      <c r="H16" s="1166" t="s">
        <v>958</v>
      </c>
      <c r="I16" s="1166" t="s">
        <v>959</v>
      </c>
      <c r="AA16" s="164"/>
    </row>
    <row r="17" spans="1:27" ht="15" customHeight="1">
      <c r="A17" s="377" t="s">
        <v>699</v>
      </c>
      <c r="B17" s="354"/>
      <c r="C17" s="1169">
        <f>NonAOIStudCntELL</f>
        <v>231.0549</v>
      </c>
      <c r="D17" s="1169">
        <f>AOIFTStudCntELL</f>
        <v>0</v>
      </c>
      <c r="E17" s="1169">
        <f>AOIPTStudCntELL</f>
        <v>0</v>
      </c>
      <c r="F17" s="1170">
        <v>0.115</v>
      </c>
      <c r="G17" s="1169">
        <f>NonAOIStudCntELL*F17</f>
        <v>26.571300000000001</v>
      </c>
      <c r="H17" s="1169">
        <f>AOIFTStudCntELL*F17</f>
        <v>0</v>
      </c>
      <c r="I17" s="1169">
        <f>AOIPTStudCntELL*F17</f>
        <v>0</v>
      </c>
      <c r="AA17" s="164"/>
    </row>
    <row r="18" spans="1:27" ht="15" customHeight="1">
      <c r="A18" s="377" t="s">
        <v>698</v>
      </c>
      <c r="B18" s="354"/>
      <c r="C18" s="1169">
        <f>NonAOIStudCntK3</f>
        <v>2182.2579000000001</v>
      </c>
      <c r="D18" s="1169">
        <f>AOIFTStudCntK3</f>
        <v>0</v>
      </c>
      <c r="E18" s="1169">
        <f>AOIPTStudCntK3</f>
        <v>0</v>
      </c>
      <c r="F18" s="1170">
        <v>0.06</v>
      </c>
      <c r="G18" s="1169">
        <f>NonAOIStudCntK3*F18</f>
        <v>130.93549999999999</v>
      </c>
      <c r="H18" s="1169">
        <f>AOIFTStudCntK3*F18</f>
        <v>0</v>
      </c>
      <c r="I18" s="1169">
        <f>AOIPTStudCntK3*F18</f>
        <v>0</v>
      </c>
      <c r="AA18" s="164"/>
    </row>
    <row r="19" spans="1:27" ht="15" customHeight="1">
      <c r="A19" s="377" t="s">
        <v>966</v>
      </c>
      <c r="B19" s="354"/>
      <c r="C19" s="1169">
        <f>NonAOIStudCntK3R</f>
        <v>2182.2579000000001</v>
      </c>
      <c r="D19" s="1169">
        <f>AOIFTStudCntK3R</f>
        <v>0</v>
      </c>
      <c r="E19" s="1169">
        <f>AOIPTStudCntK3R</f>
        <v>0</v>
      </c>
      <c r="F19" s="1170">
        <v>0.04</v>
      </c>
      <c r="G19" s="1169">
        <f>NonAOIStudCntK3R*F19</f>
        <v>87.290300000000002</v>
      </c>
      <c r="H19" s="1169">
        <f>AOIFTStudCntK3R*F19</f>
        <v>0</v>
      </c>
      <c r="I19" s="1169">
        <f>AOIPTStudCntK3R*F19</f>
        <v>0</v>
      </c>
      <c r="AA19" s="164"/>
    </row>
    <row r="20" spans="1:27" ht="15" customHeight="1">
      <c r="A20" s="377" t="s">
        <v>700</v>
      </c>
      <c r="B20" s="354"/>
      <c r="C20" s="1169">
        <f>NonAOIStudCntHI</f>
        <v>5.1349999999999998</v>
      </c>
      <c r="D20" s="1169">
        <f>AOIFTStudCntHI</f>
        <v>0</v>
      </c>
      <c r="E20" s="1169">
        <f>AOIPTStudCntHI</f>
        <v>0</v>
      </c>
      <c r="F20" s="1170">
        <v>4.7709999999999999</v>
      </c>
      <c r="G20" s="1169">
        <f>NonAOIStudCntHI*F20</f>
        <v>24.499099999999999</v>
      </c>
      <c r="H20" s="1169">
        <f>AOIFTStudCntHI*F20</f>
        <v>0</v>
      </c>
      <c r="I20" s="1169">
        <f>AOIPTStudCntHI*F20</f>
        <v>0</v>
      </c>
      <c r="AA20" s="164"/>
    </row>
    <row r="21" spans="1:27" ht="15" customHeight="1">
      <c r="A21" s="377" t="s">
        <v>967</v>
      </c>
      <c r="B21" s="354"/>
      <c r="C21" s="1169">
        <f>NonAOIStudCntMDR.AR.SIDR</f>
        <v>41.75</v>
      </c>
      <c r="D21" s="1169">
        <f>AOIFTStudCntMDR.AR.SIDR</f>
        <v>0</v>
      </c>
      <c r="E21" s="1169">
        <f>AOIPTStudCntMDR.AR.SIDR</f>
        <v>0</v>
      </c>
      <c r="F21" s="1170">
        <v>6.024</v>
      </c>
      <c r="G21" s="1169">
        <f>NonAOIStudCntMDR.AR.SIDR*F21</f>
        <v>251.50200000000001</v>
      </c>
      <c r="H21" s="1169">
        <f>AOIFTStudCntMDR.AR.SIDR*F21</f>
        <v>0</v>
      </c>
      <c r="I21" s="1169">
        <f>AOIPTStudCntMDR.AR.SIDR*F21</f>
        <v>0</v>
      </c>
      <c r="AA21" s="164"/>
    </row>
    <row r="22" spans="1:27" ht="15" customHeight="1">
      <c r="A22" s="1186" t="s">
        <v>968</v>
      </c>
      <c r="B22" s="354"/>
      <c r="C22" s="1169">
        <f>NonAOIStudCntMDSC.ASC.SIDSC</f>
        <v>28.2044</v>
      </c>
      <c r="D22" s="1169">
        <f>AOIFTStudCntMDSC.ASC.SIDSC</f>
        <v>0</v>
      </c>
      <c r="E22" s="1169">
        <f>AOIPTStudCntMDSC.ASC.SIDSC</f>
        <v>0</v>
      </c>
      <c r="F22" s="1187">
        <v>5.9880000000000004</v>
      </c>
      <c r="G22" s="1169">
        <f>NonAOIStudCntMDSC.ASC.SIDSC*F22</f>
        <v>168.8879</v>
      </c>
      <c r="H22" s="1169">
        <f>AOIFTStudCntMDSC.ASC.SIDSC*F22</f>
        <v>0</v>
      </c>
      <c r="I22" s="1169">
        <f>AOIPTStudCntMDSC.ASC.SIDSC*F22</f>
        <v>0</v>
      </c>
      <c r="AA22" s="164"/>
    </row>
    <row r="23" spans="1:27" ht="15" customHeight="1">
      <c r="A23" s="1186" t="s">
        <v>703</v>
      </c>
      <c r="B23" s="354"/>
      <c r="C23" s="1169">
        <f>NonAOIStudCntMDSSI</f>
        <v>2.98</v>
      </c>
      <c r="D23" s="1169">
        <f>AOIFTStudCntMDSSI</f>
        <v>0</v>
      </c>
      <c r="E23" s="1169">
        <f>AOIPTStudCntMDSSI</f>
        <v>0</v>
      </c>
      <c r="F23" s="1187">
        <v>7.9470000000000001</v>
      </c>
      <c r="G23" s="1169">
        <f>NonAOIStudCntMDSSI*F23</f>
        <v>23.682099999999998</v>
      </c>
      <c r="H23" s="1169">
        <f>AOIFTStudCntMDSSI*F23</f>
        <v>0</v>
      </c>
      <c r="I23" s="1169">
        <f>AOIPTStudCntMDSSI*F23</f>
        <v>0</v>
      </c>
      <c r="AA23" s="164"/>
    </row>
    <row r="24" spans="1:27" ht="15" customHeight="1">
      <c r="A24" s="1186" t="s">
        <v>704</v>
      </c>
      <c r="B24" s="354"/>
      <c r="C24" s="1169">
        <f>NonAOIStudCntOIR</f>
        <v>1</v>
      </c>
      <c r="D24" s="1169">
        <f>AOIFTStudCntOIR</f>
        <v>0</v>
      </c>
      <c r="E24" s="1169">
        <f>AOIPTStudCntOIR</f>
        <v>0</v>
      </c>
      <c r="F24" s="1187">
        <v>3.1579999999999999</v>
      </c>
      <c r="G24" s="1169">
        <f>NonAOIStudCntOIR*F24</f>
        <v>3.1579999999999999</v>
      </c>
      <c r="H24" s="1169">
        <f>AOIFTStudCntOIR*F24</f>
        <v>0</v>
      </c>
      <c r="I24" s="1169">
        <f>AOIPTStudCntOIR*F24</f>
        <v>0</v>
      </c>
      <c r="AA24" s="164"/>
    </row>
    <row r="25" spans="1:27" ht="15" customHeight="1">
      <c r="A25" s="1186" t="s">
        <v>705</v>
      </c>
      <c r="B25" s="354"/>
      <c r="C25" s="1169">
        <f>NonAOIStudCntOISC</f>
        <v>1.5</v>
      </c>
      <c r="D25" s="1169">
        <f>AOIFTStudCntOISC</f>
        <v>0</v>
      </c>
      <c r="E25" s="1169">
        <f>AOIPTStudCntOISC</f>
        <v>0</v>
      </c>
      <c r="F25" s="1187">
        <v>6.7729999999999997</v>
      </c>
      <c r="G25" s="1169">
        <f>NonAOIStudCntOISC*F25</f>
        <v>10.1595</v>
      </c>
      <c r="H25" s="1169">
        <f>AOIFTStudCntOISC*F25</f>
        <v>0</v>
      </c>
      <c r="I25" s="1169">
        <f>AOIPTStudCntOISC*F25</f>
        <v>0</v>
      </c>
      <c r="AA25" s="164"/>
    </row>
    <row r="26" spans="1:27" ht="15" customHeight="1">
      <c r="A26" s="1186" t="s">
        <v>706</v>
      </c>
      <c r="B26" s="354"/>
      <c r="C26" s="1169">
        <f>NonAOIStudCntP.SD</f>
        <v>2.29</v>
      </c>
      <c r="D26" s="1169">
        <f>AOIFTStudCntP.SD</f>
        <v>0</v>
      </c>
      <c r="E26" s="1169">
        <f>AOIPTStudCntP.SD</f>
        <v>0</v>
      </c>
      <c r="F26" s="1187">
        <v>3.5950000000000002</v>
      </c>
      <c r="G26" s="1169">
        <f>NonAOIStudCntP.SD*F26</f>
        <v>8.2325999999999997</v>
      </c>
      <c r="H26" s="1169">
        <f>AOIFTStudCntP.SD*F26</f>
        <v>0</v>
      </c>
      <c r="I26" s="1169">
        <f>AOIPTStudCntP.SD*F26</f>
        <v>0</v>
      </c>
      <c r="M26" s="125"/>
      <c r="AA26" s="125"/>
    </row>
    <row r="27" spans="1:27" ht="15" customHeight="1">
      <c r="A27" s="1186" t="s">
        <v>969</v>
      </c>
      <c r="B27" s="354"/>
      <c r="C27" s="1169">
        <f>NonAOIStudCntDD.ED.MIID.SLD.SLI.OHI</f>
        <v>422.82420000000002</v>
      </c>
      <c r="D27" s="1169">
        <f>AOIFTStudCntDD.ED.MIID.SLD.SLI.OHI</f>
        <v>0</v>
      </c>
      <c r="E27" s="1169">
        <f>AOIPTStudCntDD.ED.MIID.SLD.SLI.OHI</f>
        <v>0</v>
      </c>
      <c r="F27" s="1170">
        <v>0.29199999999999998</v>
      </c>
      <c r="G27" s="1169">
        <f>NonAOIStudCntDD.ED.MIID.SLD.SLI.OHI*F27</f>
        <v>123.46469999999999</v>
      </c>
      <c r="H27" s="1169">
        <f>AOIFTStudCntDD.ED.MIID.SLD.SLI.OHI*F27</f>
        <v>0</v>
      </c>
      <c r="I27" s="1169">
        <f>AOIPTStudCntDD.ED.MIID.SLD.SLI.OHI*F27</f>
        <v>0</v>
      </c>
      <c r="AA27" s="164"/>
    </row>
    <row r="28" spans="1:27" ht="15" customHeight="1">
      <c r="A28" s="1186" t="s">
        <v>709</v>
      </c>
      <c r="B28" s="354"/>
      <c r="C28" s="1169">
        <f>NonAOIStudCntEDP</f>
        <v>5.4739000000000004</v>
      </c>
      <c r="D28" s="1169">
        <f>AOIFTStudCntEDP</f>
        <v>0</v>
      </c>
      <c r="E28" s="1169">
        <f>AOIPTStudCntEDP</f>
        <v>0</v>
      </c>
      <c r="F28" s="1187">
        <v>4.8220000000000001</v>
      </c>
      <c r="G28" s="1169">
        <f>NonAOIStudCntEDP*F28</f>
        <v>26.395099999999999</v>
      </c>
      <c r="H28" s="1169">
        <f>AOIFTStudCntEDP*F28</f>
        <v>0</v>
      </c>
      <c r="I28" s="1169">
        <f>AOIPTStudCntEDP*F28</f>
        <v>0</v>
      </c>
      <c r="AA28" s="164"/>
    </row>
    <row r="29" spans="1:27" ht="15" customHeight="1">
      <c r="A29" s="1186" t="s">
        <v>710</v>
      </c>
      <c r="B29" s="354"/>
      <c r="C29" s="1169">
        <f>NonAOIStudCntMOID</f>
        <v>5.56</v>
      </c>
      <c r="D29" s="1169">
        <f>AOIFTStudCntMOID</f>
        <v>0</v>
      </c>
      <c r="E29" s="1169">
        <f>AOIPTStudCntMOID</f>
        <v>0</v>
      </c>
      <c r="F29" s="1187">
        <v>4.4210000000000003</v>
      </c>
      <c r="G29" s="1169">
        <f>NonAOIStudCntMOID*F29</f>
        <v>24.5808</v>
      </c>
      <c r="H29" s="1169">
        <f>AOIFTStudCntMOID*F29</f>
        <v>0</v>
      </c>
      <c r="I29" s="1169">
        <f>AOIPTStudCntMOID*F29</f>
        <v>0</v>
      </c>
      <c r="AA29" s="164"/>
    </row>
    <row r="30" spans="1:27" ht="15" customHeight="1">
      <c r="A30" s="1186" t="s">
        <v>711</v>
      </c>
      <c r="B30" s="354"/>
      <c r="C30" s="1169">
        <f>NonAOIStudCntVI</f>
        <v>2.42</v>
      </c>
      <c r="D30" s="1169">
        <f>AOIFTStudCntVI</f>
        <v>0</v>
      </c>
      <c r="E30" s="1169">
        <f>AOIPTStudCntVI</f>
        <v>0</v>
      </c>
      <c r="F30" s="1187">
        <v>4.806</v>
      </c>
      <c r="G30" s="1169">
        <f>NonAOIStudCntVI*F30</f>
        <v>11.6305</v>
      </c>
      <c r="H30" s="1169">
        <f>AOIFTStudCntVI*F30</f>
        <v>0</v>
      </c>
      <c r="I30" s="1169">
        <f>AOIPTStudCntVI*F30</f>
        <v>0</v>
      </c>
      <c r="AA30" s="164"/>
    </row>
    <row r="31" spans="1:27" ht="15" customHeight="1">
      <c r="A31" s="1186" t="s">
        <v>712</v>
      </c>
      <c r="B31" s="354"/>
      <c r="C31" s="1169">
        <f>NonAOIStudCntG</f>
        <v>504.65989999999999</v>
      </c>
      <c r="D31" s="1169">
        <f>AOIFTStudCntG</f>
        <v>0</v>
      </c>
      <c r="E31" s="1169">
        <f>AOIPTStudCntG</f>
        <v>0</v>
      </c>
      <c r="F31" s="1187">
        <v>7.0000000000000001E-3</v>
      </c>
      <c r="G31" s="1169">
        <f>NonAOIStudCntG*F31</f>
        <v>3.5326</v>
      </c>
      <c r="H31" s="1169">
        <f>AOIFTStudCntG*F31</f>
        <v>0</v>
      </c>
      <c r="I31" s="1169">
        <f>AOIPTStudCntG*F31</f>
        <v>0</v>
      </c>
      <c r="AA31" s="164"/>
    </row>
    <row r="32" spans="1:27" ht="15" customHeight="1">
      <c r="A32" s="377" t="s">
        <v>713</v>
      </c>
      <c r="C32" s="1169">
        <f>NonAOIStudCntFRPL</f>
        <v>1446.6133</v>
      </c>
      <c r="D32" s="1169">
        <f>AOIFTStudCntFRPL</f>
        <v>0</v>
      </c>
      <c r="E32" s="1169">
        <f>AOIPTStudCntFRPL</f>
        <v>0</v>
      </c>
      <c r="F32" s="1188">
        <v>2.1999999999999999E-2</v>
      </c>
      <c r="G32" s="1169">
        <f>NonAOIStudCntFRPL*F32</f>
        <v>31.825500000000002</v>
      </c>
      <c r="H32" s="1169">
        <f>AOIFTStudCntFRPL*F32</f>
        <v>0</v>
      </c>
      <c r="I32" s="1169">
        <f>AOIPTStudCntFRPL*F32</f>
        <v>0</v>
      </c>
      <c r="AA32" s="164"/>
    </row>
    <row r="33" spans="1:27" ht="15" customHeight="1">
      <c r="A33" s="1189" t="s">
        <v>970</v>
      </c>
      <c r="B33" s="1189"/>
      <c r="C33" s="1176">
        <f>SUM(C17:C32)</f>
        <v>7065.9813999999997</v>
      </c>
      <c r="D33" s="1176">
        <f>SUM(D17:D32)</f>
        <v>0</v>
      </c>
      <c r="E33" s="1176">
        <f>SUM(E17:E32)</f>
        <v>0</v>
      </c>
      <c r="F33" s="1190"/>
      <c r="G33" s="1174"/>
      <c r="H33" s="1174"/>
      <c r="I33" s="1174"/>
      <c r="M33" s="125"/>
      <c r="AA33" s="125"/>
    </row>
    <row r="34" spans="1:27" ht="15" customHeight="1">
      <c r="A34" s="1189" t="s">
        <v>971</v>
      </c>
      <c r="B34" s="1189"/>
      <c r="C34" s="1189"/>
      <c r="D34" s="1191"/>
      <c r="E34" s="1174">
        <f>SUM(C33:E33)</f>
        <v>7065.9813999999997</v>
      </c>
      <c r="F34" s="1192"/>
      <c r="G34" s="1174"/>
      <c r="H34" s="1174"/>
      <c r="I34" s="1174"/>
      <c r="AA34" s="164"/>
    </row>
    <row r="35" spans="1:27" ht="15" customHeight="1">
      <c r="A35" s="1189" t="s">
        <v>972</v>
      </c>
      <c r="B35" s="1189"/>
      <c r="C35" s="1189"/>
      <c r="D35" s="1193"/>
      <c r="E35" s="1192"/>
      <c r="F35" s="1192"/>
      <c r="G35" s="1194">
        <f>((C17*F17)+(C18*F18)+(C19*F19)+(C20*F20)+(C21*F21)+(C22*F22)+(C23*F23)+(C24*F24)+(C25*F25)+(C26*F26)+(C27*F27)+(C28*F28)+(C29*F29)+(C30*F30)+(C31*F31)+(C32*F32))</f>
        <v>956.34739999999999</v>
      </c>
      <c r="H35" s="1194">
        <f>((D17*F17)+(D18*F18)+(D19*F19)+(D20*F20)+(D21*F21)+(D22*F22)+(D23*F23)+(D24*F24)+(D25*F25)+(D26*F26)+(D27*F27)+(D28*F28)+(D29*F29)+(D30*F30)+(D31*F31)+(D32*F32))</f>
        <v>0</v>
      </c>
      <c r="I35" s="1194">
        <f>((E17*F17)+(E18*F18)+(E19*F19)+(E20*F20)+(E21*F21)+(E22*F22)+(E23*F23)+(E24*F24)+(E25*F25)+(E26*F26)+(E27*F27)+(E28*F28)+(E29*F29)+(E30*F30)+(E31*F31)+(E32*F32))</f>
        <v>0</v>
      </c>
      <c r="AA35" s="164"/>
    </row>
    <row r="36" spans="1:27" ht="15" customHeight="1">
      <c r="A36" s="1189" t="s">
        <v>973</v>
      </c>
      <c r="B36" s="1189"/>
      <c r="C36" s="1189"/>
      <c r="D36" s="1193"/>
      <c r="E36" s="1192"/>
      <c r="F36" s="1192"/>
      <c r="G36" s="1174"/>
      <c r="H36" s="1174"/>
      <c r="I36" s="1174">
        <f>(((C17+D17+E17)*F17)+((C18+D18+E18)*F18)+((C19+D19+E19)*F19)+((C20+D20+E20)*F20)+((C21+D21+E21)*F21)+((C22+D22+E22)*F22)+((C23+D23+E23)*F23)+((C24+D24+E24)*F24)+((C25+D25+E25)*F25)+((C26+D26+E26)*F26)+((C27+D27+E27)*F27)+((C28+D28+E28)*F28)+((C29+D29+E29)*F29)+((C30+D30+E30)*F30)+((C31+D31+E31)*F31)+((C32+D32+E32)*F32))</f>
        <v>956.34739999999999</v>
      </c>
      <c r="AA36" s="164"/>
    </row>
    <row r="37" spans="1:27" ht="15" customHeight="1">
      <c r="B37" s="354"/>
      <c r="G37" s="354"/>
      <c r="H37" s="354"/>
      <c r="I37" s="354"/>
      <c r="AA37" s="164"/>
    </row>
    <row r="38" spans="1:27" ht="15" customHeight="1">
      <c r="A38" s="1195"/>
      <c r="B38" s="1802"/>
      <c r="C38" s="1802"/>
      <c r="D38" s="1802"/>
      <c r="E38" s="1195"/>
      <c r="F38" s="1802"/>
      <c r="G38" s="1803"/>
      <c r="H38" s="1803"/>
      <c r="I38" s="280"/>
      <c r="J38" s="611"/>
      <c r="K38" s="1809"/>
      <c r="L38" s="1809" t="str">
        <f>CTD</f>
        <v>070438000</v>
      </c>
      <c r="AA38" s="164"/>
    </row>
    <row r="39" spans="1:27" ht="15" customHeight="1">
      <c r="A39" s="1160"/>
      <c r="B39" s="1160"/>
      <c r="C39" s="1160"/>
      <c r="D39" s="1421" t="str">
        <f>IF(DistrictName&lt;&gt;0,DistrictName,"")</f>
        <v>MADISON ELEMENTARY SCHOOL DISTRICT</v>
      </c>
      <c r="E39" s="1421"/>
      <c r="F39" s="1421"/>
      <c r="G39" s="1421"/>
      <c r="H39" s="1421"/>
      <c r="I39" s="1160"/>
      <c r="J39" s="1160"/>
      <c r="K39" s="1160"/>
      <c r="L39" s="1160"/>
      <c r="M39" s="1160"/>
      <c r="AA39" s="164"/>
    </row>
    <row r="40" spans="1:27" ht="34.5" customHeight="1">
      <c r="A40" s="449"/>
      <c r="B40" s="449"/>
      <c r="C40" s="449"/>
      <c r="D40" s="1799" t="s">
        <v>949</v>
      </c>
      <c r="E40" s="1799"/>
      <c r="F40" s="1799"/>
      <c r="G40" s="1799"/>
      <c r="H40" s="1799"/>
      <c r="I40" s="449"/>
      <c r="J40" s="449"/>
      <c r="K40" s="449"/>
      <c r="L40" s="449"/>
      <c r="M40" s="449"/>
      <c r="AA40" s="164"/>
    </row>
    <row r="41" spans="1:27" ht="15" customHeight="1" thickBot="1">
      <c r="A41" s="1130"/>
      <c r="B41" s="1130"/>
      <c r="C41" s="1130"/>
      <c r="D41" s="1130"/>
      <c r="E41" s="1163"/>
      <c r="F41" s="1162" t="s">
        <v>950</v>
      </c>
      <c r="G41" s="1163" t="str">
        <f>IF(AND(SmallIsolatedPSD8Checkbox="X",SmallIsolated912Checkbox="X"),"Elementary and High School",IF(SmallIsolatedPSD8Checkbox="X","Elementary",IF(SmallIsolated912Checkbox="X","High School","Not Isolated")))</f>
        <v>Not Isolated</v>
      </c>
      <c r="H41" s="1130"/>
      <c r="I41" s="1130"/>
      <c r="J41" s="1130"/>
      <c r="K41" s="1161"/>
      <c r="L41" s="1164" t="s">
        <v>951</v>
      </c>
      <c r="M41" s="1164" t="s">
        <v>974</v>
      </c>
      <c r="AA41" s="164"/>
    </row>
    <row r="42" spans="1:27" ht="15" customHeight="1">
      <c r="AA42" s="164"/>
    </row>
    <row r="43" spans="1:27" ht="21.6">
      <c r="A43" s="1196" t="s">
        <v>975</v>
      </c>
      <c r="B43" s="354"/>
      <c r="C43" s="354"/>
      <c r="D43" s="1197" t="s">
        <v>976</v>
      </c>
      <c r="E43" s="354"/>
      <c r="F43" s="1197" t="s">
        <v>955</v>
      </c>
      <c r="G43" s="1175"/>
      <c r="H43" s="1197" t="s">
        <v>956</v>
      </c>
      <c r="I43" s="1198"/>
      <c r="J43" s="1198"/>
      <c r="K43" s="1198"/>
      <c r="L43" s="1198"/>
      <c r="M43" s="1198"/>
      <c r="N43" s="1198"/>
      <c r="O43" s="1198"/>
      <c r="P43" s="1198"/>
      <c r="Q43" s="1198"/>
      <c r="AA43" s="164"/>
    </row>
    <row r="44" spans="1:27" ht="15" customHeight="1">
      <c r="A44" s="1804" t="s">
        <v>963</v>
      </c>
      <c r="B44" s="1804"/>
      <c r="C44" s="1199"/>
      <c r="D44" s="1200">
        <f>NonAOIRegEdWgtdADM</f>
        <v>6096.0456999999997</v>
      </c>
      <c r="E44" s="1201"/>
      <c r="F44" s="1200">
        <f>AOIFTRegEdWgtdADM</f>
        <v>0</v>
      </c>
      <c r="G44" s="1201"/>
      <c r="H44" s="1200">
        <f>AOIPTRegEdWgtdADM</f>
        <v>0</v>
      </c>
      <c r="I44" s="1202"/>
      <c r="J44" s="1808"/>
      <c r="K44" s="1808"/>
      <c r="L44" s="1808"/>
      <c r="AA44" s="164"/>
    </row>
    <row r="45" spans="1:27" ht="15" customHeight="1">
      <c r="A45" s="1804" t="s">
        <v>972</v>
      </c>
      <c r="B45" s="1804"/>
      <c r="C45" s="1199" t="s">
        <v>797</v>
      </c>
      <c r="D45" s="1203">
        <f>NonAOIGrBAddOnWgtdADM</f>
        <v>956.34739999999999</v>
      </c>
      <c r="E45" s="1201" t="s">
        <v>797</v>
      </c>
      <c r="F45" s="1200">
        <f>AOIFTGrBAddOnWgtdADM</f>
        <v>0</v>
      </c>
      <c r="G45" s="1201" t="s">
        <v>797</v>
      </c>
      <c r="H45" s="1200">
        <f>AOIPTGrBAddOnWgtdADM</f>
        <v>0</v>
      </c>
      <c r="I45" s="1202"/>
      <c r="J45" s="122"/>
      <c r="K45" s="1202"/>
      <c r="L45" s="1202"/>
      <c r="AA45" s="164"/>
    </row>
    <row r="46" spans="1:27" ht="15" customHeight="1">
      <c r="A46" s="1204" t="s">
        <v>977</v>
      </c>
      <c r="B46" s="354"/>
      <c r="C46" s="1199" t="s">
        <v>793</v>
      </c>
      <c r="D46" s="1203">
        <f>((C7*F7)+(C8*F8)+(C9*F9)+C17*F17)+(C18*F18)+(C19*F19)+(C20*F20)+(C21*F21)+(C22*F22)+(C23*F23)+(C24*F24)+(C25*F25)+(C26*F26)+(C27*F27)+(C28*F28)+(C29*F29)+(C30*F30)+(C31*F31)+(C32*F32)</f>
        <v>7052.3932000000004</v>
      </c>
      <c r="E46" s="1201" t="s">
        <v>793</v>
      </c>
      <c r="F46" s="1200">
        <f>((D7*F7)+(D8*F8)+(D9*F9)+(D17*F17)+(D18*F18)+(D19*F19)+(D20*F20)+(D21*F21)+(D22*F22)+(D23*F23)+(D24*F24)+(D25*F25)+(D26*F26)+(D27*F27)+(D28*F28)+(D29*F29)+(D30*F30)+(D31*F31)+(D32*F32))</f>
        <v>0</v>
      </c>
      <c r="G46" s="1201" t="s">
        <v>793</v>
      </c>
      <c r="H46" s="1200">
        <f>((E7*F7)+(E8*F8)+(E9*F9)+(E17*F17)+(E18*F18)+(E19*F19)+(E20*F20)+(E21*F21)+(E22*F22)+(E23*F23)+(E24*F24)+(E25*F25)+(E26*F26)+(E27*F27)+(E28*F28)+(E29*F29)+(E30*F30)+(E31*F31)+(E32*F32))</f>
        <v>0</v>
      </c>
      <c r="I46" s="1202"/>
      <c r="J46" s="122"/>
      <c r="K46" s="1202"/>
      <c r="L46" s="1202"/>
      <c r="AA46" s="164"/>
    </row>
    <row r="47" spans="1:27" ht="15" customHeight="1">
      <c r="A47" s="1204" t="s">
        <v>978</v>
      </c>
      <c r="B47" s="354"/>
      <c r="C47" s="1199" t="s">
        <v>795</v>
      </c>
      <c r="D47" s="1203">
        <v>1</v>
      </c>
      <c r="E47" s="1205" t="s">
        <v>795</v>
      </c>
      <c r="F47" s="1203">
        <v>0.95</v>
      </c>
      <c r="G47" s="1205" t="s">
        <v>795</v>
      </c>
      <c r="H47" s="1203">
        <v>0.85</v>
      </c>
      <c r="I47" s="1202"/>
      <c r="J47" s="122"/>
      <c r="K47" s="1202"/>
      <c r="L47" s="1202"/>
      <c r="AA47" s="164"/>
    </row>
    <row r="48" spans="1:27" ht="15" customHeight="1">
      <c r="A48" s="1204" t="s">
        <v>979</v>
      </c>
      <c r="B48" s="354"/>
      <c r="C48" s="1199" t="s">
        <v>793</v>
      </c>
      <c r="D48" s="1203">
        <f>(((C7*F7)+(C8*F8)+(C9*F9)+C17*F17)+(C18*F18)+(C19*F19)+(C20*F20)+(C21*F21)+(C22*F22)+(C23*F23)+(C24*F24)+(C25*F25)+(C26*F26)+(C27*F27)+(C28*F28)+(C29*F29)+(C30*F30)+(C31*F31)+(C32*F32))*D47</f>
        <v>7052.3932000000004</v>
      </c>
      <c r="E48" s="1205" t="s">
        <v>793</v>
      </c>
      <c r="F48" s="1203">
        <f>(((D7*F7)+(D8*F8)+(D9*F9)+(D17*F17)+(D18*F18)+(D19*F19)+(D20*F20)+(D21*F21)+(D22*F22)+(D23*F23)+(D24*F24)+(D25*F25)+(D26*F26)+(D27*F27)+(D28*F28)+(D29*F29)+(D30*F30)+(D31*F31)+(D32*F32)))*F47</f>
        <v>0</v>
      </c>
      <c r="G48" s="1205" t="s">
        <v>793</v>
      </c>
      <c r="H48" s="1203">
        <f>(((E7*F7)+(E8*F8)+(E9*F9)+(E17*F17)+(E18*F18)+(E19*F19)+(E20*F20)+(E21*F21)+(E22*F22)+(E23*F23)+(E24*F24)+(E25*F25)+(E26*F26)+(E27*F27)+(E28*F28)+(E29*F29)+(E30*F30)+(E31*F31)+(E32*F32)))*H47</f>
        <v>0</v>
      </c>
      <c r="I48" s="1202"/>
      <c r="J48" s="122"/>
      <c r="K48" s="1202"/>
      <c r="L48" s="1202"/>
      <c r="AA48" s="164"/>
    </row>
    <row r="49" spans="1:27" s="184" customFormat="1" ht="7.5" customHeight="1" thickBot="1">
      <c r="A49" s="1206"/>
      <c r="B49" s="1163"/>
      <c r="C49" s="1207"/>
      <c r="D49" s="1208"/>
      <c r="E49" s="1209"/>
      <c r="F49" s="1208"/>
      <c r="G49" s="1209"/>
      <c r="H49" s="1208"/>
      <c r="I49" s="1210"/>
      <c r="J49" s="1130"/>
      <c r="K49" s="1210"/>
      <c r="L49" s="1210"/>
      <c r="M49" s="1211"/>
      <c r="AA49" s="1212"/>
    </row>
    <row r="50" spans="1:27" s="184" customFormat="1" ht="7.5" customHeight="1">
      <c r="A50" s="1204"/>
      <c r="B50" s="439"/>
      <c r="C50" s="1199"/>
      <c r="D50" s="1200"/>
      <c r="E50" s="1205"/>
      <c r="F50" s="1200"/>
      <c r="G50" s="1205"/>
      <c r="H50" s="1200"/>
      <c r="I50" s="1202"/>
      <c r="J50" s="280"/>
      <c r="K50" s="1202"/>
      <c r="L50" s="1202"/>
      <c r="M50" s="1212"/>
      <c r="AA50" s="1212"/>
    </row>
    <row r="51" spans="1:27" ht="15" customHeight="1">
      <c r="A51" s="1213" t="s">
        <v>980</v>
      </c>
      <c r="B51" s="1214"/>
      <c r="C51" s="439"/>
      <c r="D51" s="905"/>
      <c r="E51" s="905"/>
      <c r="F51" s="905"/>
      <c r="G51" s="905"/>
      <c r="H51" s="1215">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7052.3931640000001</v>
      </c>
      <c r="I51" s="122"/>
      <c r="J51" s="122"/>
      <c r="K51" s="122"/>
      <c r="L51" s="122"/>
      <c r="AA51" s="164"/>
    </row>
    <row r="52" spans="1:27" ht="15" customHeight="1" thickBot="1">
      <c r="A52" s="1216" t="s">
        <v>981</v>
      </c>
      <c r="B52" s="1214"/>
      <c r="C52" s="354"/>
      <c r="D52" s="354"/>
      <c r="E52" s="1217"/>
      <c r="F52" s="1217"/>
      <c r="G52" s="1217" t="s">
        <v>795</v>
      </c>
      <c r="H52" s="1218">
        <f>IF(Checkbox200Days="X",BaseLevelAmount*1.05,BaseLevelAmount)</f>
        <v>4914.71</v>
      </c>
      <c r="I52" s="122"/>
      <c r="J52" s="1219"/>
      <c r="K52" s="122"/>
      <c r="L52" s="122"/>
      <c r="AA52" s="164"/>
    </row>
    <row r="53" spans="1:27" ht="15" customHeight="1">
      <c r="A53" s="1214" t="s">
        <v>982</v>
      </c>
      <c r="B53" s="1214"/>
      <c r="C53" s="354"/>
      <c r="D53" s="354"/>
      <c r="E53" s="354"/>
      <c r="F53" s="354"/>
      <c r="G53" s="354"/>
      <c r="H53" s="1220">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34660467.210000001</v>
      </c>
      <c r="I53" s="122"/>
      <c r="J53" s="122"/>
      <c r="K53" s="122"/>
      <c r="L53" s="122"/>
      <c r="AA53" s="164"/>
    </row>
    <row r="54" spans="1:27" ht="15" customHeight="1">
      <c r="A54" s="1807" t="s">
        <v>983</v>
      </c>
      <c r="B54" s="1807"/>
      <c r="C54" s="1170">
        <f>TEI</f>
        <v>1.0043</v>
      </c>
      <c r="D54" s="354"/>
      <c r="E54" s="354"/>
      <c r="F54" s="354"/>
      <c r="G54" s="354"/>
      <c r="H54" s="1159"/>
      <c r="I54" s="122"/>
      <c r="J54" s="122"/>
      <c r="K54" s="122"/>
      <c r="L54" s="122"/>
      <c r="AA54" s="164"/>
    </row>
    <row r="55" spans="1:27" ht="15" customHeight="1" thickBot="1">
      <c r="A55" s="1216" t="s">
        <v>984</v>
      </c>
      <c r="B55" s="1214"/>
      <c r="C55" s="354"/>
      <c r="D55" s="354"/>
      <c r="E55" s="354"/>
      <c r="F55" s="354"/>
      <c r="G55" s="816" t="s">
        <v>795</v>
      </c>
      <c r="H55" s="1221">
        <f>IF(TEI&gt;1,TEI,1)</f>
        <v>1.0043</v>
      </c>
      <c r="I55" s="122"/>
      <c r="J55" s="122"/>
      <c r="K55" s="122"/>
      <c r="L55" s="122"/>
      <c r="AA55" s="164"/>
    </row>
    <row r="56" spans="1:27" ht="15" customHeight="1">
      <c r="A56" s="1222" t="s">
        <v>985</v>
      </c>
      <c r="B56" s="354"/>
      <c r="C56" s="1223"/>
      <c r="D56" s="354"/>
      <c r="E56" s="354"/>
      <c r="F56" s="354"/>
      <c r="G56" s="354"/>
      <c r="H56" s="1224"/>
      <c r="I56" s="122"/>
      <c r="J56" s="122"/>
      <c r="K56" s="122"/>
      <c r="L56" s="122"/>
      <c r="AA56" s="164"/>
    </row>
    <row r="57" spans="1:27" ht="15" customHeight="1">
      <c r="A57" s="372" t="s">
        <v>986</v>
      </c>
      <c r="B57" s="354"/>
      <c r="C57" s="354"/>
      <c r="D57" s="354"/>
      <c r="E57" s="354"/>
      <c r="F57" s="354"/>
      <c r="G57" s="354"/>
      <c r="H57" s="1220">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34809507.219999999</v>
      </c>
      <c r="I57" s="122"/>
      <c r="J57" s="122"/>
      <c r="K57" s="122"/>
      <c r="L57" s="122"/>
      <c r="AA57" s="164"/>
    </row>
    <row r="58" spans="1:27" ht="15" customHeight="1">
      <c r="A58" s="372"/>
      <c r="B58" s="354"/>
      <c r="C58" s="354"/>
      <c r="D58" s="354"/>
      <c r="E58" s="354"/>
      <c r="F58" s="354"/>
      <c r="G58" s="354"/>
      <c r="H58" s="1225"/>
      <c r="I58" s="122"/>
      <c r="J58" s="122"/>
      <c r="K58" s="122"/>
      <c r="L58" s="122"/>
      <c r="AA58" s="164"/>
    </row>
    <row r="59" spans="1:27" ht="15" customHeight="1">
      <c r="A59" s="1226" t="s">
        <v>987</v>
      </c>
      <c r="B59" s="354"/>
      <c r="C59" s="1227"/>
      <c r="D59" s="1227"/>
      <c r="E59" s="1227"/>
      <c r="F59" s="1227"/>
      <c r="G59" s="1227"/>
      <c r="H59" s="1228"/>
      <c r="I59" s="122"/>
      <c r="J59" s="122"/>
      <c r="K59" s="122"/>
      <c r="L59" s="122"/>
      <c r="AA59" s="164"/>
    </row>
    <row r="60" spans="1:27" ht="15" customHeight="1">
      <c r="A60" s="1229" t="s">
        <v>988</v>
      </c>
      <c r="B60" s="1159" t="s">
        <v>797</v>
      </c>
      <c r="C60" s="1230">
        <f>NonFedAuditExp</f>
        <v>39500</v>
      </c>
      <c r="D60" s="428"/>
      <c r="E60" s="428"/>
      <c r="F60" s="428"/>
      <c r="G60" s="428"/>
      <c r="H60" s="1231"/>
      <c r="I60" s="1232"/>
      <c r="J60" s="122"/>
      <c r="K60" s="122"/>
      <c r="L60" s="122"/>
      <c r="AA60" s="164"/>
    </row>
    <row r="61" spans="1:27" ht="15" customHeight="1">
      <c r="A61" s="354" t="s">
        <v>989</v>
      </c>
      <c r="B61" s="1159" t="s">
        <v>797</v>
      </c>
      <c r="C61" s="1233">
        <f>IncreaseTuitionLossAdj</f>
        <v>0</v>
      </c>
      <c r="D61" s="428"/>
      <c r="E61" s="428"/>
      <c r="F61" s="428"/>
      <c r="G61" s="428"/>
      <c r="H61" s="1231"/>
      <c r="I61" s="1232"/>
      <c r="J61" s="122"/>
      <c r="K61" s="122"/>
      <c r="L61" s="122"/>
      <c r="AA61" s="164"/>
    </row>
    <row r="62" spans="1:27" ht="15" customHeight="1">
      <c r="A62" s="354" t="s">
        <v>990</v>
      </c>
      <c r="B62" s="1159" t="s">
        <v>797</v>
      </c>
      <c r="C62" s="1233">
        <f>IF(AND(Cover!E3='Data Entry'!L112+1,(Calculations!R220+Calculations!R226)&gt;0),Calculations!R220+Calculations!R226,IF(AND(Cover!E3='Data Entry'!L112+2,(Calculations!R221+Calculations!R227)&gt;0),Calculations!R221+Calculations!R227,IF(AND(Cover!E3='Data Entry'!L112+3,(Calculations!R222+Calculations!R228)&gt;0),Calculations!R222+Calculations!R228,IF(AND(Cover!E3='Data Entry'!L112+4,(Calculations!R223+Calculations!R229)&gt;0),Calculations!R223+Calculations!R229,IF(AND(Cover!E3='Data Entry'!L112+5,(Calculations!R224+Calculations!R230)&gt;0),Calculations!R224+Calculations!R230,0)))))</f>
        <v>0</v>
      </c>
      <c r="D62" s="428"/>
      <c r="E62" s="428"/>
      <c r="F62" s="428"/>
      <c r="G62" s="428"/>
      <c r="H62" s="1231"/>
      <c r="I62" s="1232"/>
      <c r="J62" s="122"/>
      <c r="K62" s="122"/>
      <c r="L62" s="122"/>
      <c r="AA62" s="164"/>
    </row>
    <row r="63" spans="1:27" ht="15" customHeight="1">
      <c r="A63" s="1229" t="s">
        <v>991</v>
      </c>
      <c r="B63" s="1159" t="s">
        <v>797</v>
      </c>
      <c r="C63" s="1233">
        <f>RemoteInstructionDecre</f>
        <v>0</v>
      </c>
      <c r="D63" s="428"/>
      <c r="E63" s="428"/>
      <c r="F63" s="428"/>
      <c r="G63" s="428"/>
      <c r="H63" s="1231"/>
      <c r="I63" s="1232"/>
      <c r="J63" s="122"/>
      <c r="K63" s="122"/>
      <c r="L63" s="122"/>
      <c r="AA63" s="164"/>
    </row>
    <row r="64" spans="1:27" ht="15.6">
      <c r="A64" s="1234"/>
      <c r="B64" s="1159"/>
      <c r="C64" s="1230"/>
      <c r="D64" s="428"/>
      <c r="E64" s="428"/>
      <c r="F64" s="428"/>
      <c r="G64" s="428"/>
      <c r="H64" s="1231"/>
      <c r="I64" s="1232"/>
      <c r="J64" s="122"/>
      <c r="K64" s="122"/>
      <c r="L64" s="122"/>
      <c r="AA64" s="164"/>
    </row>
    <row r="65" spans="1:27" ht="15.6">
      <c r="A65" s="1234"/>
      <c r="B65" s="1159"/>
      <c r="C65" s="1230"/>
      <c r="D65" s="428"/>
      <c r="E65" s="428"/>
      <c r="F65" s="428"/>
      <c r="G65" s="428"/>
      <c r="H65" s="1231"/>
      <c r="I65" s="1232"/>
      <c r="J65" s="122"/>
      <c r="K65" s="122"/>
      <c r="L65" s="122"/>
      <c r="AA65" s="164"/>
    </row>
    <row r="66" spans="1:27" ht="15" customHeight="1">
      <c r="A66" s="875" t="s">
        <v>992</v>
      </c>
      <c r="B66" s="354"/>
      <c r="C66" s="354"/>
      <c r="D66" s="354"/>
      <c r="E66" s="354"/>
      <c r="F66" s="354"/>
      <c r="G66" s="354"/>
      <c r="H66" s="1235">
        <f>SUM(C60:C65)</f>
        <v>39500</v>
      </c>
      <c r="I66" s="1236"/>
      <c r="J66" s="122"/>
      <c r="K66" s="122"/>
      <c r="L66" s="122"/>
      <c r="AA66" s="164"/>
    </row>
    <row r="67" spans="1:27" ht="15" customHeight="1">
      <c r="A67" s="1237" t="s">
        <v>993</v>
      </c>
      <c r="B67" s="354"/>
      <c r="C67" s="1237"/>
      <c r="D67" s="1237"/>
      <c r="E67" s="1237"/>
      <c r="F67" s="1237"/>
      <c r="G67" s="1237"/>
      <c r="H67" s="1238">
        <f>H66+H57</f>
        <v>34849007.219999999</v>
      </c>
      <c r="I67" s="1239"/>
      <c r="J67" s="122"/>
      <c r="K67" s="122"/>
      <c r="L67" s="122"/>
      <c r="AA67" s="164"/>
    </row>
    <row r="68" spans="1:27" ht="15" customHeight="1">
      <c r="AA68" s="164"/>
    </row>
    <row r="69" spans="1:27" ht="15" customHeight="1">
      <c r="AA69" s="164"/>
    </row>
    <row r="70" spans="1:27" ht="15" customHeight="1">
      <c r="AA70" s="164"/>
    </row>
    <row r="71" spans="1:27" ht="15" customHeight="1">
      <c r="A71" s="1160"/>
      <c r="B71" s="1160"/>
      <c r="C71" s="1160"/>
      <c r="D71" s="1421" t="str">
        <f>IF(DistrictName&lt;&gt;0,DistrictName,"")</f>
        <v>MADISON ELEMENTARY SCHOOL DISTRICT</v>
      </c>
      <c r="E71" s="1421"/>
      <c r="F71" s="1421"/>
      <c r="G71" s="1421"/>
      <c r="H71" s="1421"/>
      <c r="I71" s="1160"/>
      <c r="J71" s="1160"/>
      <c r="K71" s="1160"/>
      <c r="L71" s="1160"/>
      <c r="M71" s="1160"/>
      <c r="AA71" s="164"/>
    </row>
    <row r="72" spans="1:27" ht="34.5" customHeight="1">
      <c r="A72" s="449"/>
      <c r="B72" s="449"/>
      <c r="C72" s="449"/>
      <c r="D72" s="1799" t="s">
        <v>949</v>
      </c>
      <c r="E72" s="1799"/>
      <c r="F72" s="1799"/>
      <c r="G72" s="1799"/>
      <c r="H72" s="1799"/>
      <c r="I72" s="449"/>
      <c r="J72" s="449"/>
      <c r="K72" s="449"/>
      <c r="L72" s="449"/>
      <c r="M72" s="449"/>
      <c r="AA72" s="125"/>
    </row>
    <row r="73" spans="1:27" ht="15" customHeight="1" thickBot="1">
      <c r="A73" s="1163"/>
      <c r="B73" s="1163"/>
      <c r="C73" s="1163"/>
      <c r="D73" s="1163"/>
      <c r="E73" s="1163"/>
      <c r="F73" s="1162" t="s">
        <v>950</v>
      </c>
      <c r="G73" s="1163" t="str">
        <f>IF(AND(SmallIsolatedPSD8Checkbox="X",SmallIsolated912Checkbox="X"),"Elementary and High School",IF(SmallIsolatedPSD8Checkbox="X","Elementary",IF(SmallIsolated912Checkbox="X","High School","Not Isolated")))</f>
        <v>Not Isolated</v>
      </c>
      <c r="H73" s="1163"/>
      <c r="I73" s="1163"/>
      <c r="J73" s="1163"/>
      <c r="K73" s="1163"/>
      <c r="L73" s="1164" t="s">
        <v>951</v>
      </c>
      <c r="M73" s="1164" t="s">
        <v>994</v>
      </c>
      <c r="AA73" s="164"/>
    </row>
    <row r="74" spans="1:27" ht="15" customHeight="1">
      <c r="A74" s="354"/>
      <c r="B74" s="354"/>
      <c r="C74" s="354"/>
      <c r="D74" s="354"/>
      <c r="E74" s="1240"/>
      <c r="F74" s="1241"/>
      <c r="G74" s="354"/>
      <c r="H74" s="354"/>
      <c r="I74" s="354"/>
      <c r="J74" s="354"/>
      <c r="K74" s="354"/>
      <c r="L74" s="354"/>
      <c r="M74" s="1242"/>
      <c r="AA74" s="164"/>
    </row>
    <row r="75" spans="1:27" ht="15" customHeight="1">
      <c r="A75" s="1243" t="s">
        <v>995</v>
      </c>
      <c r="B75" s="1244"/>
      <c r="C75" s="1245"/>
      <c r="D75" s="354"/>
      <c r="E75" s="1246"/>
      <c r="F75" s="1247" t="s">
        <v>996</v>
      </c>
      <c r="G75" s="354"/>
      <c r="H75" s="354"/>
      <c r="I75" s="354"/>
      <c r="J75" s="354"/>
      <c r="K75" s="354"/>
      <c r="L75" s="354"/>
      <c r="M75" s="1242"/>
      <c r="AA75" s="164"/>
    </row>
    <row r="76" spans="1:27" ht="15" customHeight="1">
      <c r="A76" s="1805" t="s">
        <v>997</v>
      </c>
      <c r="B76" s="1805"/>
      <c r="C76" s="1245"/>
      <c r="D76" s="354"/>
      <c r="E76" s="1246"/>
      <c r="F76" s="1248" t="s">
        <v>998</v>
      </c>
      <c r="G76" s="354"/>
      <c r="H76" s="354"/>
      <c r="I76" s="354"/>
      <c r="J76" s="1249">
        <f>AdjBaseSuppLvl</f>
        <v>34849007.219999999</v>
      </c>
      <c r="K76" s="354"/>
      <c r="L76" s="354"/>
      <c r="M76" s="1242"/>
      <c r="AA76" s="164"/>
    </row>
    <row r="77" spans="1:27" ht="15" customHeight="1">
      <c r="A77" s="1250" t="s">
        <v>999</v>
      </c>
      <c r="B77" s="1250"/>
      <c r="C77" s="354"/>
      <c r="D77" s="354"/>
      <c r="E77" s="1251"/>
      <c r="F77" s="1248" t="s">
        <v>1000</v>
      </c>
      <c r="G77" s="354"/>
      <c r="H77" s="354"/>
      <c r="I77" s="816" t="s">
        <v>797</v>
      </c>
      <c r="J77" s="1252">
        <f>ConsolUnifTransCosts</f>
        <v>0</v>
      </c>
      <c r="K77" s="354"/>
      <c r="L77" s="354"/>
      <c r="M77" s="1242"/>
      <c r="AA77" s="125"/>
    </row>
    <row r="78" spans="1:27" ht="15" customHeight="1" thickBot="1">
      <c r="A78" s="1250" t="s">
        <v>1001</v>
      </c>
      <c r="B78" s="1250"/>
      <c r="C78" s="354"/>
      <c r="D78" s="354"/>
      <c r="E78" s="1253">
        <f>EligibleStudTrans</f>
        <v>842</v>
      </c>
      <c r="F78" s="1248" t="s">
        <v>1002</v>
      </c>
      <c r="G78" s="354"/>
      <c r="H78" s="354"/>
      <c r="I78" s="816" t="s">
        <v>797</v>
      </c>
      <c r="J78" s="1254">
        <f>TSL</f>
        <v>322469.31</v>
      </c>
      <c r="K78" s="354"/>
      <c r="L78" s="354"/>
      <c r="M78" s="354"/>
      <c r="AA78" s="164"/>
    </row>
    <row r="79" spans="1:27" ht="15" customHeight="1">
      <c r="A79" s="1250" t="s">
        <v>1003</v>
      </c>
      <c r="B79" s="1250"/>
      <c r="C79" s="354"/>
      <c r="D79" s="354"/>
      <c r="E79" s="1255">
        <f>IF(ApprDRMiles&gt;0,ApprDRMiles/EligibleStudTrans,0)</f>
        <v>0.81120000000000003</v>
      </c>
      <c r="F79" s="1256" t="s">
        <v>1004</v>
      </c>
      <c r="G79" s="439"/>
      <c r="H79" s="439"/>
      <c r="I79" s="439"/>
      <c r="J79" s="1257">
        <f>SUM(J76:J78)</f>
        <v>35171476.530000001</v>
      </c>
      <c r="K79" s="439"/>
      <c r="L79" s="439"/>
      <c r="M79" s="1258"/>
      <c r="AA79" s="164"/>
    </row>
    <row r="80" spans="1:27" ht="15" customHeight="1" thickBot="1">
      <c r="A80" s="1250" t="s">
        <v>1005</v>
      </c>
      <c r="B80" s="1250"/>
      <c r="C80" s="354"/>
      <c r="D80" s="1259"/>
      <c r="E80" s="1260">
        <f>ApprDRMiles</f>
        <v>683</v>
      </c>
      <c r="F80" s="1261"/>
      <c r="G80" s="1163"/>
      <c r="H80" s="1163"/>
      <c r="I80" s="1163"/>
      <c r="J80" s="1163"/>
      <c r="K80" s="1163"/>
      <c r="L80" s="1163"/>
      <c r="M80" s="1262"/>
      <c r="AA80" s="164"/>
    </row>
    <row r="81" spans="1:27" ht="15" customHeight="1">
      <c r="A81" s="1250" t="s">
        <v>1006</v>
      </c>
      <c r="B81" s="1250"/>
      <c r="C81" s="354"/>
      <c r="D81" s="816" t="s">
        <v>795</v>
      </c>
      <c r="E81" s="1263">
        <f>IF(DailyRteMilesPerElgStud=0,0,IF(AND(DailyRteMilesPerElgStud&gt;0.5,DailyRteMilesPerElgStud&lt;=1),StateSupportLevelRouteMile2,StateSupportLevelRouteMile1))</f>
        <v>2.37</v>
      </c>
      <c r="AA81" s="164"/>
    </row>
    <row r="82" spans="1:27" ht="15" customHeight="1" thickBot="1">
      <c r="A82" s="1250" t="s">
        <v>1007</v>
      </c>
      <c r="B82" s="1250"/>
      <c r="C82" s="354"/>
      <c r="D82" s="816" t="s">
        <v>795</v>
      </c>
      <c r="E82" s="1264">
        <f>IF(Checkbox200Days="X",200,180)</f>
        <v>180</v>
      </c>
      <c r="F82" s="1247" t="s">
        <v>1008</v>
      </c>
      <c r="G82" s="354"/>
      <c r="H82" s="354"/>
      <c r="I82" s="354"/>
      <c r="J82" s="354"/>
      <c r="K82" s="354"/>
      <c r="L82" s="354"/>
      <c r="M82" s="1242"/>
      <c r="AA82" s="164"/>
    </row>
    <row r="83" spans="1:27" ht="15" customHeight="1">
      <c r="A83" s="1250" t="s">
        <v>1009</v>
      </c>
      <c r="B83" s="1250"/>
      <c r="C83" s="354"/>
      <c r="D83" s="816"/>
      <c r="E83" s="1263">
        <f>E80*E81*E82</f>
        <v>291367.8</v>
      </c>
      <c r="F83" s="1248" t="s">
        <v>1010</v>
      </c>
      <c r="G83" s="354"/>
      <c r="H83" s="354"/>
      <c r="I83" s="354"/>
      <c r="J83" s="1249">
        <f>AdjBaseSuppLvl</f>
        <v>34849007.219999999</v>
      </c>
      <c r="K83" s="354"/>
      <c r="L83" s="354"/>
      <c r="M83" s="1242"/>
      <c r="AA83" s="164"/>
    </row>
    <row r="84" spans="1:27" ht="15" customHeight="1" thickBot="1">
      <c r="A84" s="1265" t="s">
        <v>1011</v>
      </c>
      <c r="B84" s="1250"/>
      <c r="C84" s="354"/>
      <c r="D84" s="816" t="s">
        <v>795</v>
      </c>
      <c r="E84" s="1266">
        <f>IF(VALUE(LEFT(RIGHT(L1,7),2))=3,Type03TranspFactor,IF(VALUE(LEFT(RIGHT(L1,7),2))=2,Type02TranspFactor,IF(VALUE(LEFT(RIGHT(L1,7),2))=4,Type04TranspFactor,IF(VALUE(LEFT(RIGHT(L1,7),2))=5,Type05TranspFactor,IF(VALUE(LEFT(RIGHT(L1,7),2))=1,Type01TranspFactor,0)))))</f>
        <v>0.1</v>
      </c>
      <c r="F84" s="1248" t="s">
        <v>1000</v>
      </c>
      <c r="G84" s="354"/>
      <c r="H84" s="354"/>
      <c r="I84" s="816" t="s">
        <v>797</v>
      </c>
      <c r="J84" s="1252">
        <f>ConsolUnifTransCosts</f>
        <v>0</v>
      </c>
      <c r="K84" s="354"/>
      <c r="L84" s="354"/>
      <c r="M84" s="1242"/>
      <c r="AA84" s="164"/>
    </row>
    <row r="85" spans="1:27" ht="15" customHeight="1" thickBot="1">
      <c r="A85" s="1267" t="s">
        <v>1012</v>
      </c>
      <c r="B85" s="1250"/>
      <c r="C85" s="354"/>
      <c r="D85" s="816"/>
      <c r="E85" s="1263">
        <f>ROUND((E82*E80)*E81*E84,2)</f>
        <v>29136.78</v>
      </c>
      <c r="F85" s="1248" t="s">
        <v>1013</v>
      </c>
      <c r="G85" s="354"/>
      <c r="H85" s="354"/>
      <c r="I85" s="816" t="s">
        <v>797</v>
      </c>
      <c r="J85" s="1254">
        <f>CYTRCL</f>
        <v>963801.39</v>
      </c>
      <c r="K85" s="354"/>
      <c r="L85" s="354"/>
      <c r="M85" s="1242"/>
      <c r="AA85" s="164"/>
    </row>
    <row r="86" spans="1:27" ht="15" customHeight="1">
      <c r="A86" s="1250" t="s">
        <v>1014</v>
      </c>
      <c r="B86" s="1250"/>
      <c r="C86" s="354"/>
      <c r="D86" s="816"/>
      <c r="E86" s="1253">
        <f>ActDisabilityRM+EstDisabilityRM</f>
        <v>829</v>
      </c>
      <c r="F86" s="1256" t="s">
        <v>1015</v>
      </c>
      <c r="G86" s="354"/>
      <c r="H86" s="354"/>
      <c r="I86" s="354"/>
      <c r="J86" s="1235">
        <f>SUM(J83:J85)</f>
        <v>35812808.609999999</v>
      </c>
      <c r="K86" s="354"/>
      <c r="L86" s="354"/>
      <c r="M86" s="1242"/>
      <c r="AA86" s="164"/>
    </row>
    <row r="87" spans="1:27" ht="15" customHeight="1" thickBot="1">
      <c r="A87" s="1250" t="s">
        <v>1006</v>
      </c>
      <c r="B87" s="1250"/>
      <c r="C87" s="354"/>
      <c r="D87" s="816" t="s">
        <v>795</v>
      </c>
      <c r="E87" s="1266">
        <f>E81</f>
        <v>2.37</v>
      </c>
      <c r="F87" s="1261"/>
      <c r="G87" s="1163"/>
      <c r="H87" s="1163"/>
      <c r="I87" s="1163"/>
      <c r="J87" s="1163"/>
      <c r="K87" s="354"/>
      <c r="L87" s="354"/>
      <c r="M87" s="1242"/>
      <c r="AA87" s="164"/>
    </row>
    <row r="88" spans="1:27" ht="15" customHeight="1" thickBot="1">
      <c r="A88" s="1250" t="s">
        <v>1016</v>
      </c>
      <c r="B88" s="354"/>
      <c r="C88" s="354"/>
      <c r="D88" s="354"/>
      <c r="E88" s="1263">
        <f>ROUND(E86*E87,2)</f>
        <v>1964.73</v>
      </c>
      <c r="F88" s="1268" t="s">
        <v>1017</v>
      </c>
      <c r="G88" s="1269"/>
      <c r="H88" s="1269"/>
      <c r="I88" s="1270"/>
      <c r="J88" s="1271">
        <f>IF(J79&gt;J86,J86,J79)</f>
        <v>35171476.530000001</v>
      </c>
      <c r="K88" s="439"/>
      <c r="L88" s="354"/>
      <c r="M88" s="1242"/>
      <c r="AA88" s="164"/>
    </row>
    <row r="89" spans="1:27" ht="15" customHeight="1">
      <c r="A89" s="354" t="s">
        <v>1018</v>
      </c>
      <c r="B89" s="354"/>
      <c r="C89" s="377" t="s">
        <v>1019</v>
      </c>
      <c r="D89" s="377" t="s">
        <v>1020</v>
      </c>
      <c r="E89" s="1272"/>
      <c r="AA89" s="164"/>
    </row>
    <row r="90" spans="1:27" ht="15" customHeight="1">
      <c r="A90" s="354" t="s">
        <v>1021</v>
      </c>
      <c r="B90" s="354"/>
      <c r="C90" s="1273">
        <f>AnnualExpforBusPass</f>
        <v>0</v>
      </c>
      <c r="D90" s="1273">
        <f>AnnualExpforBusToken</f>
        <v>0</v>
      </c>
      <c r="E90" s="1274">
        <f>C90+D90</f>
        <v>0</v>
      </c>
      <c r="AA90" s="164"/>
    </row>
    <row r="91" spans="1:27" ht="15" customHeight="1">
      <c r="A91" s="372" t="s">
        <v>1002</v>
      </c>
      <c r="B91" s="354"/>
      <c r="C91" s="354"/>
      <c r="D91" s="354"/>
      <c r="E91" s="1263">
        <f>E83+E85+E88+E90</f>
        <v>322469.31</v>
      </c>
      <c r="F91" s="1275"/>
      <c r="G91" s="354"/>
      <c r="H91" s="354"/>
      <c r="I91" s="354"/>
      <c r="J91" s="354"/>
      <c r="K91" s="354"/>
      <c r="L91" s="354"/>
      <c r="M91" s="1242"/>
      <c r="AA91" s="164"/>
    </row>
    <row r="92" spans="1:27" ht="15" customHeight="1" thickBot="1">
      <c r="A92" s="1276"/>
      <c r="B92" s="1163"/>
      <c r="C92" s="1163"/>
      <c r="D92" s="1163"/>
      <c r="E92" s="1277"/>
      <c r="F92" s="1275"/>
      <c r="G92" s="354"/>
      <c r="H92" s="354"/>
      <c r="I92" s="354"/>
      <c r="J92" s="354"/>
      <c r="K92" s="354"/>
      <c r="L92" s="354"/>
      <c r="M92" s="1242"/>
      <c r="AA92" s="164"/>
    </row>
    <row r="93" spans="1:27" ht="15" customHeight="1">
      <c r="A93" s="354"/>
      <c r="B93" s="354"/>
      <c r="C93" s="354"/>
      <c r="D93" s="354"/>
      <c r="E93" s="1278"/>
      <c r="F93" s="1275"/>
      <c r="G93" s="439"/>
      <c r="H93" s="354"/>
      <c r="I93" s="354"/>
      <c r="J93" s="354"/>
      <c r="K93" s="354"/>
      <c r="L93" s="354"/>
      <c r="M93" s="1242"/>
      <c r="AA93" s="164"/>
    </row>
    <row r="94" spans="1:27" ht="15" customHeight="1">
      <c r="A94" s="1243" t="s">
        <v>1022</v>
      </c>
      <c r="B94" s="439"/>
      <c r="C94" s="439"/>
      <c r="D94" s="439"/>
      <c r="E94" s="1251"/>
      <c r="F94" s="1275"/>
      <c r="G94" s="354"/>
      <c r="H94" s="354"/>
      <c r="I94" s="354"/>
      <c r="J94" s="354"/>
      <c r="K94" s="354"/>
      <c r="L94" s="354"/>
      <c r="M94" s="1242"/>
      <c r="AA94" s="164"/>
    </row>
    <row r="95" spans="1:27" ht="15" customHeight="1">
      <c r="A95" s="354" t="s">
        <v>1023</v>
      </c>
      <c r="B95" s="354"/>
      <c r="C95" s="354"/>
      <c r="D95" s="816"/>
      <c r="E95" s="1279" cm="1">
        <f t="array" ref="E95">[1]!CYTRCL</f>
        <v>963801.39</v>
      </c>
      <c r="F95" s="1275"/>
      <c r="G95" s="354"/>
      <c r="H95" s="354"/>
      <c r="I95" s="354"/>
      <c r="J95" s="354"/>
      <c r="K95" s="354"/>
      <c r="L95" s="354"/>
      <c r="M95" s="1242"/>
      <c r="AA95" s="164"/>
    </row>
    <row r="96" spans="1:27" ht="15" customHeight="1">
      <c r="A96" s="1280"/>
      <c r="B96" s="1280"/>
      <c r="C96" s="1280"/>
      <c r="D96" s="1280"/>
      <c r="E96" s="1251"/>
      <c r="F96" s="1275"/>
      <c r="G96" s="354"/>
      <c r="H96" s="354"/>
      <c r="I96" s="354"/>
      <c r="J96" s="354"/>
      <c r="K96" s="354"/>
      <c r="L96" s="354"/>
      <c r="M96" s="1242"/>
      <c r="AA96" s="164"/>
    </row>
    <row r="97" spans="1:27" ht="15" customHeight="1">
      <c r="A97" s="1281" t="s">
        <v>1024</v>
      </c>
      <c r="B97" s="354" t="s">
        <v>1025</v>
      </c>
      <c r="C97" s="1282">
        <f>TSL</f>
        <v>322469.31</v>
      </c>
      <c r="D97" s="354"/>
      <c r="E97" s="1251"/>
      <c r="F97" s="1275"/>
      <c r="G97" s="354"/>
      <c r="H97" s="354"/>
      <c r="I97" s="354"/>
      <c r="J97" s="354"/>
      <c r="K97" s="354"/>
      <c r="L97" s="354"/>
      <c r="M97" s="1242"/>
      <c r="AA97" s="164"/>
    </row>
    <row r="98" spans="1:27" ht="15" customHeight="1" thickBot="1">
      <c r="A98" s="354"/>
      <c r="B98" s="354" t="s">
        <v>1026</v>
      </c>
      <c r="C98" s="1283">
        <f>[1]BSA55!$C$97</f>
        <v>478370.14</v>
      </c>
      <c r="D98" s="354"/>
      <c r="E98" s="1251"/>
      <c r="F98" s="1275"/>
      <c r="G98" s="354"/>
      <c r="H98" s="354"/>
      <c r="I98" s="354"/>
      <c r="J98" s="354"/>
      <c r="K98" s="354"/>
      <c r="L98" s="354"/>
      <c r="M98" s="1242"/>
      <c r="AA98" s="164"/>
    </row>
    <row r="99" spans="1:27" ht="15" customHeight="1" thickBot="1">
      <c r="A99" s="354"/>
      <c r="B99" s="354" t="s">
        <v>1027</v>
      </c>
      <c r="C99" s="1284">
        <f>IF(C97-C98&gt;0,C97-C98,0)</f>
        <v>0</v>
      </c>
      <c r="D99" s="354"/>
      <c r="E99" s="1251"/>
      <c r="F99" s="1275"/>
      <c r="G99" s="354"/>
      <c r="H99" s="354"/>
      <c r="I99" s="354"/>
      <c r="J99" s="354"/>
      <c r="K99" s="354"/>
      <c r="L99" s="354"/>
      <c r="M99" s="1242"/>
      <c r="AA99" s="164"/>
    </row>
    <row r="100" spans="1:27" ht="15" customHeight="1">
      <c r="A100" s="354"/>
      <c r="B100" s="354"/>
      <c r="C100" s="354"/>
      <c r="D100" s="354"/>
      <c r="E100" s="1251"/>
      <c r="F100" s="1275"/>
      <c r="G100" s="354"/>
      <c r="H100" s="354"/>
      <c r="I100" s="354"/>
      <c r="J100" s="354"/>
      <c r="K100" s="354"/>
      <c r="L100" s="354"/>
      <c r="M100" s="1242"/>
      <c r="AA100" s="164"/>
    </row>
    <row r="101" spans="1:27" ht="15" customHeight="1">
      <c r="A101" s="354" t="s">
        <v>1028</v>
      </c>
      <c r="B101" s="354"/>
      <c r="C101" s="354"/>
      <c r="D101" s="816"/>
      <c r="E101" s="1279">
        <f>C99+E95</f>
        <v>963801.39</v>
      </c>
      <c r="F101" s="1275"/>
      <c r="G101" s="354"/>
      <c r="H101" s="354"/>
      <c r="I101" s="354"/>
      <c r="J101" s="354"/>
      <c r="K101" s="354"/>
      <c r="L101" s="354"/>
      <c r="M101" s="1242"/>
      <c r="AA101" s="164"/>
    </row>
    <row r="102" spans="1:27" ht="15" customHeight="1">
      <c r="A102" s="1281" t="s">
        <v>1029</v>
      </c>
      <c r="B102" s="816"/>
      <c r="C102" s="1282">
        <f>E91*1.2</f>
        <v>386963.17</v>
      </c>
      <c r="D102" s="354"/>
      <c r="E102" s="1251"/>
      <c r="F102" s="1275"/>
      <c r="G102" s="354"/>
      <c r="H102" s="354"/>
      <c r="I102" s="354"/>
      <c r="J102" s="354"/>
      <c r="K102" s="354"/>
      <c r="L102" s="354"/>
      <c r="M102" s="1242"/>
      <c r="AA102" s="164"/>
    </row>
    <row r="103" spans="1:27" ht="15" customHeight="1">
      <c r="A103" s="875" t="s">
        <v>1013</v>
      </c>
      <c r="B103" s="354"/>
      <c r="C103" s="354"/>
      <c r="D103" s="816"/>
      <c r="E103" s="1285">
        <f>MAX(TSL,IF(PremFYTRCL&gt;AdjFYTRCL,TRCLBudgPY,PremFYTRCL))</f>
        <v>963801.39</v>
      </c>
      <c r="F103" s="1275"/>
      <c r="G103" s="354"/>
      <c r="H103" s="354"/>
      <c r="I103" s="354"/>
      <c r="J103" s="354"/>
      <c r="K103" s="354"/>
      <c r="L103" s="354"/>
      <c r="M103" s="1242"/>
      <c r="AA103" s="164"/>
    </row>
    <row r="104" spans="1:27" ht="15" customHeight="1">
      <c r="A104" s="354"/>
      <c r="B104" s="354"/>
      <c r="C104" s="354"/>
      <c r="D104" s="354"/>
      <c r="E104" s="354"/>
      <c r="F104" s="354"/>
      <c r="G104" s="354"/>
      <c r="H104" s="354"/>
      <c r="I104" s="354"/>
      <c r="J104" s="354"/>
      <c r="K104" s="354"/>
      <c r="L104" s="354"/>
      <c r="M104" s="1242"/>
      <c r="AA104" s="164"/>
    </row>
    <row r="105" spans="1:27" ht="15" customHeight="1">
      <c r="M105" s="125"/>
      <c r="AA105" s="164"/>
    </row>
    <row r="106" spans="1:27" ht="15" customHeight="1">
      <c r="A106" s="450"/>
      <c r="B106" s="450"/>
      <c r="C106" s="450"/>
      <c r="D106" s="1421" t="str">
        <f>IF(DistrictName&lt;&gt;0,DistrictName,"")</f>
        <v>MADISON ELEMENTARY SCHOOL DISTRICT</v>
      </c>
      <c r="E106" s="1421"/>
      <c r="F106" s="1421"/>
      <c r="G106" s="1421"/>
      <c r="H106" s="1421"/>
      <c r="I106" s="450"/>
      <c r="J106" s="450"/>
      <c r="K106" s="450"/>
      <c r="L106" s="450"/>
      <c r="M106" s="450"/>
      <c r="AA106" s="164"/>
    </row>
    <row r="107" spans="1:27" ht="34.5" customHeight="1">
      <c r="A107" s="449"/>
      <c r="B107" s="449"/>
      <c r="C107" s="449"/>
      <c r="D107" s="1799" t="s">
        <v>949</v>
      </c>
      <c r="E107" s="1799"/>
      <c r="F107" s="1799"/>
      <c r="G107" s="1799"/>
      <c r="H107" s="1799"/>
      <c r="I107" s="449"/>
      <c r="J107" s="449"/>
      <c r="K107" s="449"/>
      <c r="L107" s="449"/>
      <c r="M107" s="449"/>
      <c r="AA107" s="164"/>
    </row>
    <row r="108" spans="1:27" ht="15" customHeight="1" thickBot="1">
      <c r="A108" s="1163"/>
      <c r="B108" s="1163"/>
      <c r="C108" s="1163"/>
      <c r="D108" s="1163"/>
      <c r="E108" s="1163"/>
      <c r="F108" s="1162" t="s">
        <v>950</v>
      </c>
      <c r="G108" s="1163" t="str">
        <f>IF(AND(SmallIsolatedPSD8Checkbox="X",SmallIsolated912Checkbox="X"),"Elementary and High School",IF(SmallIsolatedPSD8Checkbox="X","Elementary",IF(SmallIsolated912Checkbox="X","High School","Not Isolated")))</f>
        <v>Not Isolated</v>
      </c>
      <c r="H108" s="1163"/>
      <c r="I108" s="1163"/>
      <c r="J108" s="1163"/>
      <c r="K108" s="1163"/>
      <c r="L108" s="1164" t="s">
        <v>951</v>
      </c>
      <c r="M108" s="1164" t="s">
        <v>1030</v>
      </c>
      <c r="AA108" s="125"/>
    </row>
    <row r="109" spans="1:27" ht="15" customHeight="1">
      <c r="A109" s="354"/>
      <c r="B109" s="354"/>
      <c r="C109" s="354"/>
      <c r="D109" s="354"/>
      <c r="E109" s="354"/>
      <c r="F109" s="354"/>
      <c r="G109" s="354"/>
      <c r="H109" s="354"/>
      <c r="I109" s="354"/>
      <c r="J109" s="354"/>
      <c r="K109" s="354"/>
      <c r="L109" s="354"/>
      <c r="M109" s="1242"/>
      <c r="AA109" s="164"/>
    </row>
    <row r="110" spans="1:27" ht="20.399999999999999">
      <c r="A110" s="1286" t="s">
        <v>1031</v>
      </c>
      <c r="B110" s="1287"/>
      <c r="C110" s="1287"/>
      <c r="D110" s="1287"/>
      <c r="E110" s="1288" t="s">
        <v>681</v>
      </c>
      <c r="F110" s="1289"/>
      <c r="G110" s="1288" t="s">
        <v>682</v>
      </c>
      <c r="H110" s="1289"/>
      <c r="I110" s="1290" t="s">
        <v>683</v>
      </c>
      <c r="J110" s="1289"/>
      <c r="K110" s="1291" t="s">
        <v>1032</v>
      </c>
      <c r="L110" s="1292"/>
      <c r="M110" s="1288" t="s">
        <v>615</v>
      </c>
      <c r="O110" s="122"/>
      <c r="AA110" s="164"/>
    </row>
    <row r="111" spans="1:27" ht="15" customHeight="1">
      <c r="A111" s="354" t="s">
        <v>1033</v>
      </c>
      <c r="B111" s="354"/>
      <c r="C111" s="354"/>
      <c r="D111" s="354"/>
      <c r="E111" s="1172">
        <f>UnweightedStudCntPSDPY</f>
        <v>20.024999999999999</v>
      </c>
      <c r="F111" s="1293"/>
      <c r="G111" s="1172">
        <f>UnweightedStudCntK8PY</f>
        <v>5239.2137000000002</v>
      </c>
      <c r="H111" s="1294"/>
      <c r="I111" s="1172">
        <f>UnweightedStudCnt912PY</f>
        <v>0</v>
      </c>
      <c r="J111" s="1294"/>
      <c r="K111" s="1200">
        <f>IF(VALUE(LEFT(RIGHT(L1,7),2))=3,(HSCountDORtoDOA),0)</f>
        <v>0</v>
      </c>
      <c r="L111" s="1295"/>
      <c r="M111" s="1296"/>
      <c r="O111" s="122"/>
      <c r="AA111" s="164"/>
    </row>
    <row r="112" spans="1:27" ht="15" customHeight="1" thickBot="1">
      <c r="A112" s="354" t="s">
        <v>1034</v>
      </c>
      <c r="B112" s="354"/>
      <c r="C112" s="354"/>
      <c r="D112" s="816" t="s">
        <v>795</v>
      </c>
      <c r="E112" s="1297">
        <f>IF(E111=0,0,Calculations!L77)</f>
        <v>549.45000000000005</v>
      </c>
      <c r="F112" s="816" t="s">
        <v>795</v>
      </c>
      <c r="G112" s="1283">
        <f>IF(VALUE(LEFT(RIGHT(L1,7),2))=8,0,IF(AND(UnweightedStudCntK8PY&gt;0,UnweightedStudCntK8PY&lt;100),Calculations!L52,IF(AND(Calculations!L56&gt;0),Calculations!L63,IF(AND(Calculations!L67&gt;0),Calculations!L74,IF(UnweightedStudCntK8PY&gt;=600,Calculations!L77,0)))))</f>
        <v>549.45000000000005</v>
      </c>
      <c r="H112" s="816" t="s">
        <v>795</v>
      </c>
      <c r="I112" s="1283">
        <f>IF(I111=0,0,IF(VALUE(LEFT(RIGHT(L1,7),2))=3,AA166/2,AA166))</f>
        <v>0</v>
      </c>
      <c r="J112" s="816" t="s">
        <v>795</v>
      </c>
      <c r="K112" s="1298">
        <f>IF(K111=0,0,IF(VALUE(LEFT(RIGHT(L1,7),2))=3,AA166/2,AA166))</f>
        <v>0</v>
      </c>
      <c r="L112" s="1299"/>
      <c r="M112" s="1300"/>
      <c r="O112" s="122"/>
      <c r="AA112" s="164"/>
    </row>
    <row r="113" spans="1:27" ht="15" customHeight="1">
      <c r="A113" s="372" t="s">
        <v>1035</v>
      </c>
      <c r="B113" s="354"/>
      <c r="C113" s="354"/>
      <c r="D113" s="816" t="s">
        <v>793</v>
      </c>
      <c r="E113" s="1282">
        <f>IF(E111&gt;0,ROUND(E111*E112,2),0)</f>
        <v>11002.74</v>
      </c>
      <c r="F113" s="816" t="s">
        <v>793</v>
      </c>
      <c r="G113" s="1282">
        <f>IF(G111&gt;0,ROUND(G111*G112,2),0)</f>
        <v>2878685.97</v>
      </c>
      <c r="H113" s="816" t="s">
        <v>793</v>
      </c>
      <c r="I113" s="1282">
        <f>IF(OR(I111&gt;0),I111*I112,0)</f>
        <v>0</v>
      </c>
      <c r="J113" s="816" t="s">
        <v>793</v>
      </c>
      <c r="K113" s="1301">
        <f>IF(OR(K111&gt;0),K111*K112,0)</f>
        <v>0</v>
      </c>
      <c r="L113" s="1302"/>
      <c r="M113" s="1303">
        <f>(E111*E112)+(G111*G112)+(I111*I112)+(K111*K112)</f>
        <v>2889688.7</v>
      </c>
      <c r="O113" s="122"/>
      <c r="AA113" s="125"/>
    </row>
    <row r="114" spans="1:27" ht="15" customHeight="1">
      <c r="A114" s="1304" t="s">
        <v>1036</v>
      </c>
      <c r="B114" s="354"/>
      <c r="C114" s="354"/>
      <c r="D114" s="354"/>
      <c r="E114" s="816"/>
      <c r="F114" s="354"/>
      <c r="G114" s="816"/>
      <c r="H114" s="354"/>
      <c r="I114" s="816"/>
      <c r="J114" s="354"/>
      <c r="K114" s="816"/>
      <c r="L114" s="354"/>
      <c r="M114" s="1296"/>
      <c r="N114" s="122"/>
      <c r="O114" s="122"/>
      <c r="AA114" s="164"/>
    </row>
    <row r="115" spans="1:27" ht="15" customHeight="1">
      <c r="A115" s="1243" t="s">
        <v>1037</v>
      </c>
      <c r="B115" s="354"/>
      <c r="C115" s="354"/>
      <c r="D115" s="354"/>
      <c r="E115" s="816"/>
      <c r="F115" s="354"/>
      <c r="G115" s="816"/>
      <c r="H115" s="354"/>
      <c r="I115" s="816"/>
      <c r="J115" s="354"/>
      <c r="K115" s="816"/>
      <c r="L115" s="354"/>
      <c r="M115" s="1296"/>
      <c r="N115" s="122"/>
      <c r="O115" s="122"/>
      <c r="AA115" s="164"/>
    </row>
    <row r="116" spans="1:27" ht="15" customHeight="1">
      <c r="A116" s="354" t="s">
        <v>1033</v>
      </c>
      <c r="B116" s="354"/>
      <c r="C116" s="1169">
        <f>IF(VALUE(LEFT(RIGHT(L1,7),2))=3,'Data Entry'!G17+UnweightedStudCntK8PY+UnweightedStudCnt912PY+HSCountDORtoDOA,'Data Entry'!G17+UnweightedStudCntK8PY+UnweightedStudCnt912PY)</f>
        <v>5259.2386999999999</v>
      </c>
      <c r="D116" s="354"/>
      <c r="E116" s="816"/>
      <c r="F116" s="354"/>
      <c r="G116" s="816"/>
      <c r="H116" s="354"/>
      <c r="I116" s="816"/>
      <c r="J116" s="354"/>
      <c r="K116" s="816"/>
      <c r="L116" s="354"/>
      <c r="M116" s="1296"/>
      <c r="N116" s="122"/>
      <c r="O116" s="122"/>
      <c r="AA116" s="164"/>
    </row>
    <row r="117" spans="1:27" ht="15" customHeight="1" thickBot="1">
      <c r="A117" s="354" t="s">
        <v>1038</v>
      </c>
      <c r="B117" s="816" t="s">
        <v>1039</v>
      </c>
      <c r="C117" s="1305">
        <f>PY100DayADM</f>
        <v>5326.5313999999998</v>
      </c>
      <c r="D117" s="354"/>
      <c r="E117" s="816"/>
      <c r="F117" s="354"/>
      <c r="G117" s="816"/>
      <c r="H117" s="354"/>
      <c r="I117" s="816"/>
      <c r="J117" s="354"/>
      <c r="K117" s="816"/>
      <c r="L117" s="354"/>
      <c r="M117" s="1296"/>
      <c r="N117" s="122"/>
      <c r="O117" s="122"/>
      <c r="AA117" s="164"/>
    </row>
    <row r="118" spans="1:27" ht="15" customHeight="1" thickBot="1">
      <c r="A118" s="354" t="s">
        <v>1040</v>
      </c>
      <c r="B118" s="816" t="s">
        <v>793</v>
      </c>
      <c r="C118" s="1169">
        <f>IF(C117&gt;0,ROUND(+C116/C117,10),0)</f>
        <v>0.98740000000000006</v>
      </c>
      <c r="D118" s="816" t="s">
        <v>795</v>
      </c>
      <c r="E118" s="1306">
        <f>IF(IF(C117&gt;0,ROUND(+C116/C117,10),0)&gt;0,IF(IF(C117&gt;0,ROUND(+C116/C117,10),0)&gt;1.05,+(IF(C117&gt;0,ROUND(+C116/C117,10),0)-1)/2+1,1),0)</f>
        <v>1</v>
      </c>
      <c r="F118" s="816" t="s">
        <v>795</v>
      </c>
      <c r="G118" s="1306">
        <f>IF(IF(C117&gt;0,ROUND(+C116/C117,10),0)&gt;0,IF(IF(C117&gt;0,ROUND(+C116/C117,10),0)&gt;1.05,+(IF(C117&gt;0,ROUND(+C116/C117,10),0)-1)/2+1,1),0)</f>
        <v>1</v>
      </c>
      <c r="H118" s="816" t="s">
        <v>795</v>
      </c>
      <c r="I118" s="1306">
        <f>IF(IF(C117&gt;0,ROUND(+C116/C117,10),0)&gt;0,IF(IF(C117&gt;0,ROUND(+C116/C117,10),0)&gt;1.05,+(IF(C117&gt;0,ROUND(+C116/C117,10),0)-1)/2+1,1),0)</f>
        <v>1</v>
      </c>
      <c r="J118" s="816" t="s">
        <v>795</v>
      </c>
      <c r="K118" s="1306">
        <f>IF(IF(C117&gt;0,ROUND(+C116/C117,10),0)&gt;0,IF(IF(C117&gt;0,ROUND(+C116/C117,10),0)&gt;1.05,+(IF(C117&gt;0,ROUND(+C116/C117,10),0)-1)/2+1,1),0)</f>
        <v>1</v>
      </c>
      <c r="L118" s="354"/>
      <c r="M118" s="1296"/>
      <c r="N118" s="122"/>
      <c r="O118" s="122"/>
      <c r="AA118" s="164"/>
    </row>
    <row r="119" spans="1:27" ht="15" customHeight="1">
      <c r="A119" s="354" t="s">
        <v>1041</v>
      </c>
      <c r="B119" s="354"/>
      <c r="C119" s="354"/>
      <c r="D119" s="354"/>
      <c r="E119" s="354"/>
      <c r="F119" s="354"/>
      <c r="G119" s="354"/>
      <c r="H119" s="354"/>
      <c r="I119" s="354"/>
      <c r="J119" s="354"/>
      <c r="K119" s="816"/>
      <c r="L119" s="354"/>
      <c r="M119" s="1296"/>
      <c r="N119" s="122"/>
      <c r="O119" s="122"/>
      <c r="AA119" s="164"/>
    </row>
    <row r="120" spans="1:27" ht="15" customHeight="1">
      <c r="A120" s="1806" t="s">
        <v>1042</v>
      </c>
      <c r="B120" s="1806"/>
      <c r="C120" s="1806"/>
      <c r="D120" s="1307"/>
      <c r="E120" s="354"/>
      <c r="F120" s="354"/>
      <c r="G120" s="354"/>
      <c r="H120" s="354"/>
      <c r="I120" s="354"/>
      <c r="J120" s="354"/>
      <c r="K120" s="816"/>
      <c r="L120" s="354"/>
      <c r="M120" s="816"/>
      <c r="N120" s="122"/>
      <c r="O120" s="122"/>
      <c r="AA120" s="164"/>
    </row>
    <row r="121" spans="1:27" ht="15" customHeight="1">
      <c r="A121" s="1806"/>
      <c r="B121" s="1806"/>
      <c r="C121" s="1806"/>
      <c r="D121" s="1307"/>
      <c r="E121" s="354"/>
      <c r="F121" s="354"/>
      <c r="G121" s="354"/>
      <c r="H121" s="354"/>
      <c r="I121" s="354"/>
      <c r="J121" s="354"/>
      <c r="K121" s="816"/>
      <c r="L121" s="354"/>
      <c r="M121" s="1296"/>
      <c r="N121" s="122"/>
      <c r="O121" s="122"/>
      <c r="AA121" s="164"/>
    </row>
    <row r="122" spans="1:27" ht="15" customHeight="1">
      <c r="A122" s="372" t="s">
        <v>1043</v>
      </c>
      <c r="B122" s="354"/>
      <c r="C122" s="354"/>
      <c r="D122" s="354"/>
      <c r="E122" s="1220">
        <f>IF(E118&gt;0,ROUND(E113*E118,2),0)</f>
        <v>11002.74</v>
      </c>
      <c r="F122" s="1159"/>
      <c r="G122" s="1303">
        <f>IF(G118&gt;0,ROUND(G113*G118,2),0)</f>
        <v>2878685.97</v>
      </c>
      <c r="H122" s="1159"/>
      <c r="I122" s="1303">
        <f>IF(I118&gt;0,ROUND(I113*I118,2),0)</f>
        <v>0</v>
      </c>
      <c r="J122" s="1159"/>
      <c r="K122" s="1303">
        <f>IF(K118&gt;0,ROUND(K113*K118,2),0)</f>
        <v>0</v>
      </c>
      <c r="L122" s="372"/>
      <c r="M122" s="1303">
        <f>(IF(E118&gt;0,(E111*E112)*E118,0))+(IF(G118&gt;0,(G111*G112)*G118,0))+(IF(K118&gt;0,(K111*K112)*I118,0))+(IF(I118&gt;0,(I111*I112)*I118,0))</f>
        <v>2889688.7</v>
      </c>
      <c r="N122" s="122"/>
      <c r="O122" s="122"/>
      <c r="AA122" s="164"/>
    </row>
    <row r="123" spans="1:27" ht="15" customHeight="1">
      <c r="A123" s="354"/>
      <c r="B123" s="354"/>
      <c r="C123" s="354"/>
      <c r="D123" s="354"/>
      <c r="E123" s="354"/>
      <c r="F123" s="354"/>
      <c r="G123" s="354"/>
      <c r="H123" s="354"/>
      <c r="I123" s="354"/>
      <c r="J123" s="354"/>
      <c r="K123" s="354"/>
      <c r="L123" s="354"/>
      <c r="M123" s="1296"/>
      <c r="N123" s="122"/>
      <c r="O123" s="122"/>
      <c r="AA123" s="164"/>
    </row>
    <row r="124" spans="1:27" ht="15" customHeight="1" thickBot="1">
      <c r="A124" s="1308" t="s">
        <v>1044</v>
      </c>
      <c r="B124" s="354"/>
      <c r="C124" s="354"/>
      <c r="D124" s="354"/>
      <c r="E124" s="354"/>
      <c r="F124" s="354"/>
      <c r="G124" s="1312"/>
      <c r="H124" s="354"/>
      <c r="I124" s="354"/>
      <c r="J124" s="354"/>
      <c r="K124" s="354"/>
      <c r="L124" s="354"/>
      <c r="M124" s="1296"/>
      <c r="N124" s="122"/>
      <c r="O124" s="122"/>
      <c r="AA124" s="164"/>
    </row>
    <row r="125" spans="1:27" ht="15" customHeight="1">
      <c r="A125" s="354" t="s">
        <v>1045</v>
      </c>
      <c r="B125" s="354"/>
      <c r="C125" s="354"/>
      <c r="D125" s="354"/>
      <c r="E125" s="354"/>
      <c r="F125" s="354"/>
      <c r="G125" s="354"/>
      <c r="H125" s="354"/>
      <c r="I125" s="1169">
        <f>UnweightedStudCnt912PY</f>
        <v>0</v>
      </c>
      <c r="J125" s="354"/>
      <c r="K125" s="354"/>
      <c r="L125" s="354"/>
      <c r="M125" s="816"/>
      <c r="N125" s="122"/>
      <c r="O125" s="122"/>
      <c r="AA125" s="164"/>
    </row>
    <row r="126" spans="1:27" ht="15" customHeight="1">
      <c r="A126" s="354" t="s">
        <v>1046</v>
      </c>
      <c r="B126" s="354"/>
      <c r="C126" s="354"/>
      <c r="D126" s="354"/>
      <c r="E126" s="354"/>
      <c r="F126" s="354"/>
      <c r="G126" s="354"/>
      <c r="H126" s="816" t="s">
        <v>795</v>
      </c>
      <c r="I126" s="1309">
        <v>84.93</v>
      </c>
      <c r="J126" s="354"/>
      <c r="K126" s="354"/>
      <c r="L126" s="354"/>
      <c r="M126" s="1296"/>
      <c r="N126" s="122"/>
      <c r="O126" s="122"/>
      <c r="AA126" s="164"/>
    </row>
    <row r="127" spans="1:27" ht="15" customHeight="1">
      <c r="A127" s="1175" t="s">
        <v>1044</v>
      </c>
      <c r="B127" s="354"/>
      <c r="C127" s="354"/>
      <c r="D127" s="354"/>
      <c r="E127" s="354"/>
      <c r="F127" s="354"/>
      <c r="G127" s="354"/>
      <c r="H127" s="354"/>
      <c r="I127" s="816"/>
      <c r="J127" s="354"/>
      <c r="K127" s="354"/>
      <c r="L127" s="354"/>
      <c r="M127" s="1303">
        <f>IF(I125&gt;0,ROUND(+I125*I126,2),0)</f>
        <v>0</v>
      </c>
      <c r="N127" s="122"/>
      <c r="O127" s="122"/>
      <c r="AA127" s="164"/>
    </row>
    <row r="128" spans="1:27" ht="15" customHeight="1">
      <c r="A128" s="354"/>
      <c r="B128" s="354"/>
      <c r="C128" s="354"/>
      <c r="D128" s="354"/>
      <c r="E128" s="354"/>
      <c r="F128" s="354"/>
      <c r="G128" s="354"/>
      <c r="H128" s="354"/>
      <c r="I128" s="354"/>
      <c r="J128" s="354"/>
      <c r="K128" s="354"/>
      <c r="L128" s="354"/>
      <c r="M128" s="1310"/>
      <c r="N128" s="122"/>
      <c r="O128" s="122"/>
      <c r="AA128" s="164"/>
    </row>
    <row r="129" spans="1:28" ht="15" customHeight="1" thickBot="1">
      <c r="A129" s="354"/>
      <c r="B129" s="354"/>
      <c r="C129" s="354"/>
      <c r="D129" s="354"/>
      <c r="E129" s="1311" t="s">
        <v>1047</v>
      </c>
      <c r="F129" s="354"/>
      <c r="G129" s="1311" t="s">
        <v>683</v>
      </c>
      <c r="H129" s="354"/>
      <c r="I129" s="354"/>
      <c r="J129" s="354"/>
      <c r="K129" s="354"/>
      <c r="L129" s="354"/>
      <c r="M129" s="1310"/>
      <c r="N129" s="122"/>
      <c r="O129" s="122"/>
      <c r="AA129" s="164"/>
    </row>
    <row r="130" spans="1:28" ht="15" customHeight="1">
      <c r="A130" s="372" t="s">
        <v>1048</v>
      </c>
      <c r="B130" s="354"/>
      <c r="C130" s="354"/>
      <c r="D130" s="354"/>
      <c r="E130" s="1282">
        <f>E122+G122</f>
        <v>2889688.71</v>
      </c>
      <c r="F130" s="1312"/>
      <c r="G130" s="1282">
        <f>I122+M127</f>
        <v>0</v>
      </c>
      <c r="H130" s="354"/>
      <c r="I130" s="354"/>
      <c r="J130" s="354"/>
      <c r="K130" s="354"/>
      <c r="L130" s="354"/>
      <c r="M130" s="1303">
        <f>E130+G130+G131</f>
        <v>2889688.71</v>
      </c>
      <c r="N130" s="122"/>
      <c r="O130" s="122"/>
      <c r="AA130" s="164"/>
    </row>
    <row r="131" spans="1:28" ht="15" customHeight="1">
      <c r="A131" s="875" t="s">
        <v>1032</v>
      </c>
      <c r="B131" s="354"/>
      <c r="C131" s="354"/>
      <c r="D131" s="445"/>
      <c r="E131" s="1282"/>
      <c r="F131" s="1312"/>
      <c r="G131" s="1282">
        <f>K122</f>
        <v>0</v>
      </c>
      <c r="H131" s="354"/>
      <c r="I131" s="354"/>
      <c r="J131" s="354"/>
      <c r="K131" s="354"/>
      <c r="L131" s="354"/>
      <c r="M131" s="1313"/>
      <c r="N131" s="122"/>
      <c r="O131" s="122"/>
      <c r="AA131" s="164"/>
    </row>
    <row r="132" spans="1:28" ht="15" customHeight="1" thickBot="1">
      <c r="A132" s="354"/>
      <c r="B132" s="354"/>
      <c r="C132" s="354"/>
      <c r="D132" s="354"/>
      <c r="E132" s="1297">
        <f>CapTransportAdjPSD+CapTransportAdjK8</f>
        <v>0</v>
      </c>
      <c r="F132" s="1312"/>
      <c r="G132" s="1297">
        <f>CapTransportAdj912</f>
        <v>0</v>
      </c>
      <c r="H132" s="354"/>
      <c r="I132" s="354"/>
      <c r="J132" s="354"/>
      <c r="K132" s="354"/>
      <c r="L132" s="354"/>
      <c r="M132" s="1314">
        <f>E132+G132</f>
        <v>0</v>
      </c>
      <c r="N132" s="122"/>
      <c r="O132" s="122"/>
      <c r="AA132" s="164"/>
    </row>
    <row r="133" spans="1:28" ht="15" customHeight="1">
      <c r="A133" s="372" t="s">
        <v>1049</v>
      </c>
      <c r="B133" s="354"/>
      <c r="C133" s="354"/>
      <c r="D133" s="354"/>
      <c r="E133" s="1282">
        <f>SUM(E132)</f>
        <v>0</v>
      </c>
      <c r="F133" s="1312"/>
      <c r="G133" s="1282">
        <f>G132</f>
        <v>0</v>
      </c>
      <c r="H133" s="354"/>
      <c r="I133" s="354"/>
      <c r="J133" s="354"/>
      <c r="K133" s="354"/>
      <c r="L133" s="354"/>
      <c r="M133" s="1303">
        <f>E133+G133</f>
        <v>0</v>
      </c>
      <c r="N133" s="122"/>
      <c r="O133" s="122"/>
      <c r="AA133" s="164"/>
    </row>
    <row r="134" spans="1:28" ht="15" customHeight="1">
      <c r="A134" s="372" t="s">
        <v>1050</v>
      </c>
      <c r="B134" s="354"/>
      <c r="C134" s="354"/>
      <c r="D134" s="354"/>
      <c r="E134" s="1282">
        <f>E130+E133</f>
        <v>2889688.71</v>
      </c>
      <c r="F134" s="1312"/>
      <c r="G134" s="1282">
        <f>G133+G130+G131</f>
        <v>0</v>
      </c>
      <c r="H134" s="354"/>
      <c r="I134" s="354"/>
      <c r="J134" s="354"/>
      <c r="K134" s="354"/>
      <c r="L134" s="354"/>
      <c r="M134" s="1220">
        <f>E134+G134</f>
        <v>2889688.71</v>
      </c>
      <c r="N134" s="122"/>
      <c r="O134" s="122"/>
      <c r="AA134" s="164"/>
    </row>
    <row r="135" spans="1:28" ht="15" customHeight="1">
      <c r="E135" s="282"/>
      <c r="AA135" s="164"/>
    </row>
    <row r="136" spans="1:28" ht="15" customHeight="1">
      <c r="AA136" s="164"/>
    </row>
    <row r="137" spans="1:28" ht="15" customHeight="1">
      <c r="A137" s="450"/>
      <c r="B137" s="450"/>
      <c r="C137" s="450"/>
      <c r="D137" s="1421" t="str">
        <f>IF(DistrictName&lt;&gt;0,DistrictName,"")</f>
        <v>MADISON ELEMENTARY SCHOOL DISTRICT</v>
      </c>
      <c r="E137" s="1421"/>
      <c r="F137" s="1421"/>
      <c r="G137" s="1421"/>
      <c r="H137" s="1421"/>
      <c r="I137" s="450"/>
      <c r="J137" s="450"/>
      <c r="K137" s="450"/>
      <c r="L137" s="450"/>
      <c r="M137" s="450"/>
    </row>
    <row r="138" spans="1:28" ht="34.5" customHeight="1">
      <c r="A138" s="449"/>
      <c r="B138" s="449"/>
      <c r="C138" s="449"/>
      <c r="D138" s="1799" t="s">
        <v>949</v>
      </c>
      <c r="E138" s="1799"/>
      <c r="F138" s="1799"/>
      <c r="G138" s="1799"/>
      <c r="H138" s="1799"/>
      <c r="I138" s="449"/>
      <c r="J138" s="449"/>
      <c r="K138" s="449"/>
      <c r="L138" s="449"/>
      <c r="M138" s="449"/>
      <c r="AA138" s="1315" t="str">
        <f>IF(AND(VALUE(LEFT(RIGHT(L1,7),2))=3,DailyRteMilesPerElgStud&gt;1),0.18,IF(AND(VALUE(LEFT(RIGHT(L1,7),2))=3,DailyRteMilesPerElgStud&lt;=1),0.15," "))</f>
        <v xml:space="preserve"> </v>
      </c>
    </row>
    <row r="139" spans="1:28" ht="15" customHeight="1" thickBot="1">
      <c r="A139" s="1163"/>
      <c r="B139" s="1163"/>
      <c r="C139" s="1163"/>
      <c r="D139" s="1163"/>
      <c r="E139" s="1163"/>
      <c r="F139" s="1162" t="s">
        <v>950</v>
      </c>
      <c r="G139" s="1163" t="str">
        <f>IF(AND(SmallIsolatedPSD8Checkbox="X",SmallIsolated912Checkbox="X"),"Elementary and High School",IF(SmallIsolatedPSD8Checkbox="X","Elementary",IF(SmallIsolated912Checkbox="X","High School","Not Isolated")))</f>
        <v>Not Isolated</v>
      </c>
      <c r="H139" s="1163"/>
      <c r="I139" s="1163"/>
      <c r="J139" s="1163"/>
      <c r="K139" s="1163"/>
      <c r="L139" s="1164" t="s">
        <v>951</v>
      </c>
      <c r="M139" s="1164" t="s">
        <v>1051</v>
      </c>
      <c r="AA139" s="1315" t="str">
        <f>IF(AND(VALUE(LEFT(RIGHT(L1,7),2))=2,DailyRteMilesPerElgStud&gt;1),0.18,IF(AND(VALUE(LEFT(RIGHT(L1,7),2))=2,DailyRteMilesPerElgStud&lt;=1),0.15," "))</f>
        <v xml:space="preserve"> </v>
      </c>
      <c r="AB139" s="328"/>
    </row>
    <row r="140" spans="1:28" ht="15" customHeight="1">
      <c r="A140" s="1316" t="s">
        <v>1052</v>
      </c>
      <c r="B140" s="354"/>
      <c r="C140" s="354"/>
      <c r="D140" s="354"/>
      <c r="E140" s="439"/>
      <c r="F140" s="354"/>
      <c r="G140" s="439"/>
      <c r="H140" s="354"/>
      <c r="I140" s="1800" t="s">
        <v>1053</v>
      </c>
      <c r="J140" s="439"/>
      <c r="K140" s="354"/>
      <c r="L140" s="439"/>
      <c r="M140" s="1242"/>
      <c r="N140" s="122"/>
      <c r="AA140" s="1315">
        <f>IF(AND(VALUE(LEFT(RIGHT(L1,7),2))=4,DailyRteMilesPerElgStud&gt;1),0.12,IF(AND(VALUE(LEFT(RIGHT(L1,7),2))=4,DailyRteMilesPerElgStud&lt;=1),0.1," "))</f>
        <v>0.1</v>
      </c>
    </row>
    <row r="141" spans="1:28" ht="15" customHeight="1" thickBot="1">
      <c r="A141" s="354"/>
      <c r="B141" s="354"/>
      <c r="C141" s="354"/>
      <c r="D141" s="354"/>
      <c r="E141" s="1317" t="s">
        <v>1054</v>
      </c>
      <c r="F141" s="354"/>
      <c r="G141" s="1311" t="s">
        <v>1055</v>
      </c>
      <c r="H141" s="354"/>
      <c r="I141" s="1801"/>
      <c r="J141" s="439"/>
      <c r="K141" s="354"/>
      <c r="L141" s="1311" t="s">
        <v>1056</v>
      </c>
      <c r="M141" s="1242"/>
      <c r="N141" s="122"/>
      <c r="AA141" s="1315" t="str">
        <f>IF(AND(VALUE(LEFT(RIGHT(L1,7),2))=5,DailyRteMilesPerElgStud&gt;1),0.3,IF(AND(VALUE(LEFT(RIGHT(L1,7),2))=5,DailyRteMilesPerElgStud&lt;=1),0.25," "))</f>
        <v xml:space="preserve"> </v>
      </c>
    </row>
    <row r="142" spans="1:28" ht="15" customHeight="1">
      <c r="A142" s="354" t="s">
        <v>1047</v>
      </c>
      <c r="B142" s="354"/>
      <c r="C142" s="354"/>
      <c r="D142" s="354"/>
      <c r="E142" s="1169">
        <f>((C7*F7)+(D7*F7)+(E7*F7)+(C8*F8)+(D8*F8)+(E8*F8))</f>
        <v>6096.0456999999997</v>
      </c>
      <c r="F142" s="354"/>
      <c r="G142" s="1318">
        <f>ROUND(IF(E144&gt;0,(((C7*F7)+(D7*F7)+(E7*F7)+(C8*F8)+(D8*F8)+(E8*F8))/(((C7*F7)+(D7*F7)+(E7*F7)+(C8*F8)+(D8*F8)+(E8*F8))+((C9*F9)+(D9*F9)+(E9*F9)))),0),10)</f>
        <v>1</v>
      </c>
      <c r="H142" s="816" t="s">
        <v>795</v>
      </c>
      <c r="I142" s="1319">
        <f>IF(VALUE(LEFT(RIGHT(L1,7),2))=3,G142*J88,MIN(DSL,RCL))</f>
        <v>35171476.530000001</v>
      </c>
      <c r="J142" s="1320"/>
      <c r="K142" s="354"/>
      <c r="L142" s="1321">
        <f>G142*I142</f>
        <v>35171476.530000001</v>
      </c>
      <c r="M142" s="1242"/>
      <c r="N142" s="122"/>
      <c r="AA142" s="1315"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3" spans="1:28" ht="15" customHeight="1">
      <c r="A143" s="396" t="s">
        <v>683</v>
      </c>
      <c r="B143" s="354"/>
      <c r="C143" s="354"/>
      <c r="D143" s="354"/>
      <c r="E143" s="1169">
        <f>((C9*F9)+(D9*F9)+(E9*F9))</f>
        <v>0</v>
      </c>
      <c r="F143" s="354"/>
      <c r="G143" s="1318">
        <f>ROUND(IF(E144&gt;0,(((C9*F9)+(D9*F9)+(E9*F9))/(((C7*F7)+(D7*F7)+(E7*F7)+(C8*F8)+(D8*F8)+(E8*F8))+((C9*F9)+(D9*F9)+(E9*F9)))),0),10)</f>
        <v>0</v>
      </c>
      <c r="H143" s="816" t="s">
        <v>795</v>
      </c>
      <c r="I143" s="1319">
        <f>IF(VALUE(LEFT(RIGHT(L1,7),2))=3,G142*J88,MIN(DSL,RCL))</f>
        <v>35171476.530000001</v>
      </c>
      <c r="J143" s="1320"/>
      <c r="K143" s="816" t="s">
        <v>797</v>
      </c>
      <c r="L143" s="1312">
        <f>G143*I143</f>
        <v>0</v>
      </c>
      <c r="M143" s="1242"/>
      <c r="N143" s="122"/>
      <c r="AA143" s="164"/>
    </row>
    <row r="144" spans="1:28" ht="15" customHeight="1" thickBot="1">
      <c r="A144" s="1317" t="s">
        <v>615</v>
      </c>
      <c r="B144" s="1163"/>
      <c r="C144" s="1163"/>
      <c r="D144" s="1163"/>
      <c r="E144" s="1322">
        <f>E142+E143</f>
        <v>6096.0456999999997</v>
      </c>
      <c r="F144" s="1163"/>
      <c r="G144" s="1163"/>
      <c r="H144" s="1163"/>
      <c r="I144" s="1163"/>
      <c r="J144" s="1163"/>
      <c r="K144" s="1163"/>
      <c r="L144" s="1323">
        <f>SUM(L142:L143)</f>
        <v>35171476.530000001</v>
      </c>
      <c r="M144" s="1262"/>
      <c r="N144" s="122"/>
      <c r="AA144" s="164"/>
    </row>
    <row r="145" spans="1:27" ht="15" customHeight="1">
      <c r="A145" s="354"/>
      <c r="B145" s="354"/>
      <c r="C145" s="354"/>
      <c r="D145" s="354"/>
      <c r="E145" s="354"/>
      <c r="F145" s="354"/>
      <c r="G145" s="354"/>
      <c r="H145" s="354"/>
      <c r="I145" s="354"/>
      <c r="J145" s="354"/>
      <c r="K145" s="354"/>
      <c r="L145" s="354"/>
      <c r="M145" s="1242"/>
      <c r="N145" s="122"/>
      <c r="AA145" s="164"/>
    </row>
    <row r="146" spans="1:27" ht="15" customHeight="1" thickBot="1">
      <c r="A146" s="1316" t="s">
        <v>1057</v>
      </c>
      <c r="B146" s="354"/>
      <c r="C146" s="354"/>
      <c r="D146" s="354"/>
      <c r="E146" s="1311" t="s">
        <v>1047</v>
      </c>
      <c r="F146" s="354"/>
      <c r="G146" s="1311" t="s">
        <v>1058</v>
      </c>
      <c r="H146" s="354"/>
      <c r="I146" s="354"/>
      <c r="J146" s="354"/>
      <c r="K146" s="354"/>
      <c r="L146" s="1311" t="s">
        <v>615</v>
      </c>
      <c r="M146" s="1242"/>
      <c r="N146" s="122"/>
      <c r="AA146" s="164"/>
    </row>
    <row r="147" spans="1:27" ht="15" customHeight="1">
      <c r="A147" s="354" t="s">
        <v>1059</v>
      </c>
      <c r="B147" s="354"/>
      <c r="C147" s="354"/>
      <c r="D147" s="354"/>
      <c r="E147" s="1282">
        <f>PAV</f>
        <v>1289478606</v>
      </c>
      <c r="F147" s="1312"/>
      <c r="G147" s="1282">
        <f>PAV</f>
        <v>1289478606</v>
      </c>
      <c r="H147" s="354"/>
      <c r="I147" s="354"/>
      <c r="J147" s="354"/>
      <c r="K147" s="354"/>
      <c r="L147" s="354"/>
      <c r="M147" s="1242"/>
      <c r="N147" s="122"/>
      <c r="AA147" s="164"/>
    </row>
    <row r="148" spans="1:27" ht="15" customHeight="1">
      <c r="A148" s="354" t="s">
        <v>1060</v>
      </c>
      <c r="B148" s="354"/>
      <c r="C148" s="354"/>
      <c r="D148" s="354"/>
      <c r="E148" s="1282">
        <f>_PAV2</f>
        <v>0</v>
      </c>
      <c r="F148" s="1312"/>
      <c r="G148" s="1282">
        <f>_PAV2</f>
        <v>0</v>
      </c>
      <c r="H148" s="354"/>
      <c r="I148" s="354"/>
      <c r="J148" s="354"/>
      <c r="K148" s="354"/>
      <c r="L148" s="354"/>
      <c r="M148" s="1242"/>
      <c r="N148" s="122"/>
      <c r="AA148" s="164"/>
    </row>
    <row r="149" spans="1:27" ht="15" customHeight="1">
      <c r="A149" s="354" t="s">
        <v>1061</v>
      </c>
      <c r="B149" s="354"/>
      <c r="C149" s="354"/>
      <c r="D149" s="354"/>
      <c r="E149" s="1282">
        <f>SRPV</f>
        <v>3846213</v>
      </c>
      <c r="F149" s="1312"/>
      <c r="G149" s="1282">
        <f>SRPV</f>
        <v>3846213</v>
      </c>
      <c r="H149" s="354"/>
      <c r="I149" s="354"/>
      <c r="J149" s="354"/>
      <c r="K149" s="354"/>
      <c r="L149" s="354"/>
      <c r="M149" s="1242"/>
      <c r="N149" s="122"/>
      <c r="AA149" s="164"/>
    </row>
    <row r="150" spans="1:27" ht="15" customHeight="1" thickBot="1">
      <c r="A150" s="354" t="s">
        <v>1062</v>
      </c>
      <c r="B150" s="354"/>
      <c r="C150" s="354"/>
      <c r="D150" s="354"/>
      <c r="E150" s="1283">
        <f>GPLETV</f>
        <v>0</v>
      </c>
      <c r="F150" s="1312"/>
      <c r="G150" s="1283">
        <f>GPLETV</f>
        <v>0</v>
      </c>
      <c r="H150" s="354"/>
      <c r="I150" s="354"/>
      <c r="J150" s="354"/>
      <c r="K150" s="354"/>
      <c r="L150" s="354"/>
      <c r="M150" s="1242"/>
      <c r="N150" s="122"/>
      <c r="AA150" s="164"/>
    </row>
    <row r="151" spans="1:27" ht="15" customHeight="1">
      <c r="A151" s="372" t="s">
        <v>1063</v>
      </c>
      <c r="B151" s="354"/>
      <c r="C151" s="354"/>
      <c r="D151" s="354"/>
      <c r="E151" s="1282">
        <f>SUM(E147:E150)</f>
        <v>1293324819</v>
      </c>
      <c r="F151" s="1312"/>
      <c r="G151" s="1282">
        <f>SUM(G147:G150)</f>
        <v>1293324819</v>
      </c>
      <c r="H151" s="354"/>
      <c r="I151" s="354"/>
      <c r="J151" s="354"/>
      <c r="K151" s="354"/>
      <c r="L151" s="354"/>
      <c r="M151" s="1242"/>
      <c r="N151" s="122"/>
      <c r="AA151" s="164"/>
    </row>
    <row r="152" spans="1:27" ht="15" customHeight="1" thickBot="1">
      <c r="A152" s="354"/>
      <c r="B152" s="354"/>
      <c r="C152" s="354"/>
      <c r="D152" s="816" t="s">
        <v>1039</v>
      </c>
      <c r="E152" s="1162">
        <v>100</v>
      </c>
      <c r="F152" s="816" t="s">
        <v>1039</v>
      </c>
      <c r="G152" s="1162">
        <v>100</v>
      </c>
      <c r="H152" s="354"/>
      <c r="I152" s="354"/>
      <c r="J152" s="354"/>
      <c r="K152" s="354"/>
      <c r="L152" s="354"/>
      <c r="M152" s="1242"/>
      <c r="N152" s="122"/>
      <c r="AA152" s="164"/>
    </row>
    <row r="153" spans="1:27" ht="15" customHeight="1">
      <c r="A153" s="354"/>
      <c r="B153" s="354"/>
      <c r="C153" s="354"/>
      <c r="D153" s="354"/>
      <c r="E153" s="1282">
        <f>E151/E152</f>
        <v>12933248.189999999</v>
      </c>
      <c r="F153" s="1312"/>
      <c r="G153" s="1282">
        <f>G151/G152</f>
        <v>12933248.189999999</v>
      </c>
      <c r="H153" s="354"/>
      <c r="I153" s="354"/>
      <c r="J153" s="354"/>
      <c r="K153" s="354"/>
      <c r="L153" s="354"/>
      <c r="M153" s="1242"/>
      <c r="N153" s="122"/>
      <c r="AA153" s="164"/>
    </row>
    <row r="154" spans="1:27" ht="15" customHeight="1" thickBot="1">
      <c r="A154" s="354" t="s">
        <v>1064</v>
      </c>
      <c r="B154" s="354"/>
      <c r="C154" s="354"/>
      <c r="D154" s="816" t="s">
        <v>795</v>
      </c>
      <c r="E154" s="1306">
        <f>IF(VALUE(LEFT(RIGHT(L1,7),2))=8,0.05,QTR)</f>
        <v>1.6549</v>
      </c>
      <c r="F154" s="816" t="s">
        <v>795</v>
      </c>
      <c r="G154" s="1306">
        <f>IF(VALUE(LEFT(RIGHT(L1,7),2))=8,0.05,QTR)</f>
        <v>1.6549</v>
      </c>
      <c r="H154" s="354"/>
      <c r="I154" s="354"/>
      <c r="J154" s="354"/>
      <c r="K154" s="354"/>
      <c r="L154" s="354"/>
      <c r="M154" s="1242"/>
      <c r="N154" s="122"/>
      <c r="AA154" s="164"/>
    </row>
    <row r="155" spans="1:27" ht="15" customHeight="1">
      <c r="A155" s="372" t="s">
        <v>1065</v>
      </c>
      <c r="B155" s="354"/>
      <c r="C155" s="354"/>
      <c r="D155" s="354"/>
      <c r="E155" s="1282">
        <f>E153*E154</f>
        <v>21403232.43</v>
      </c>
      <c r="F155" s="1312"/>
      <c r="G155" s="1282">
        <f>G153*G154</f>
        <v>21403232.43</v>
      </c>
      <c r="H155" s="1312"/>
      <c r="I155" s="1312"/>
      <c r="J155" s="1312"/>
      <c r="K155" s="1312"/>
      <c r="L155" s="1282">
        <f>E155+G155</f>
        <v>42806464.859999999</v>
      </c>
      <c r="M155" s="1242"/>
      <c r="N155" s="122"/>
      <c r="AA155" s="164"/>
    </row>
    <row r="156" spans="1:27" ht="15" customHeight="1" thickBot="1">
      <c r="A156" s="1163"/>
      <c r="B156" s="1163"/>
      <c r="C156" s="1163"/>
      <c r="D156" s="1163"/>
      <c r="E156" s="1163"/>
      <c r="F156" s="1163"/>
      <c r="G156" s="1163"/>
      <c r="H156" s="1163"/>
      <c r="I156" s="1163"/>
      <c r="J156" s="1163"/>
      <c r="K156" s="1163"/>
      <c r="L156" s="1163"/>
      <c r="M156" s="1262"/>
      <c r="N156" s="122"/>
      <c r="AA156" s="164"/>
    </row>
    <row r="157" spans="1:27" ht="15" customHeight="1">
      <c r="A157" s="439"/>
      <c r="B157" s="354"/>
      <c r="C157" s="354"/>
      <c r="D157" s="354"/>
      <c r="E157" s="354"/>
      <c r="F157" s="354"/>
      <c r="G157" s="354"/>
      <c r="H157" s="354"/>
      <c r="I157" s="354"/>
      <c r="J157" s="354"/>
      <c r="K157" s="354"/>
      <c r="L157" s="354"/>
      <c r="M157" s="1242"/>
      <c r="N157" s="122"/>
      <c r="AA157" s="164"/>
    </row>
    <row r="158" spans="1:27" ht="15" customHeight="1">
      <c r="A158" s="1243" t="s">
        <v>1066</v>
      </c>
      <c r="B158" s="354"/>
      <c r="C158" s="354"/>
      <c r="D158" s="354"/>
      <c r="E158" s="354"/>
      <c r="F158" s="354"/>
      <c r="G158" s="354"/>
      <c r="H158" s="354"/>
      <c r="I158" s="354"/>
      <c r="J158" s="354"/>
      <c r="K158" s="354"/>
      <c r="L158" s="354"/>
      <c r="M158" s="1242"/>
      <c r="N158" s="122"/>
      <c r="AA158" s="164"/>
    </row>
    <row r="159" spans="1:27" ht="15" customHeight="1" thickBot="1">
      <c r="A159" s="354"/>
      <c r="B159" s="354"/>
      <c r="C159" s="354"/>
      <c r="D159" s="354"/>
      <c r="E159" s="1311" t="s">
        <v>1047</v>
      </c>
      <c r="F159" s="354"/>
      <c r="G159" s="1311" t="s">
        <v>683</v>
      </c>
      <c r="H159" s="354"/>
      <c r="I159" s="354"/>
      <c r="J159" s="354"/>
      <c r="K159" s="354"/>
      <c r="L159" s="1311" t="s">
        <v>615</v>
      </c>
      <c r="M159" s="1242"/>
      <c r="N159" s="122"/>
      <c r="AA159" s="164"/>
    </row>
    <row r="160" spans="1:27" ht="15" customHeight="1">
      <c r="A160" s="354" t="s">
        <v>1067</v>
      </c>
      <c r="B160" s="354"/>
      <c r="C160" s="354"/>
      <c r="D160" s="354"/>
      <c r="E160" s="1282">
        <f>L142</f>
        <v>35171476.530000001</v>
      </c>
      <c r="F160" s="354"/>
      <c r="G160" s="1282">
        <f>L143</f>
        <v>0</v>
      </c>
      <c r="H160" s="354"/>
      <c r="I160" s="354"/>
      <c r="J160" s="354"/>
      <c r="K160" s="354"/>
      <c r="L160" s="1282">
        <f>E160+G160</f>
        <v>35171476.530000001</v>
      </c>
      <c r="M160" s="1242"/>
      <c r="N160" s="122"/>
      <c r="AA160" s="164"/>
    </row>
    <row r="161" spans="1:27" ht="15" customHeight="1">
      <c r="A161" s="354" t="s">
        <v>1068</v>
      </c>
      <c r="B161" s="354"/>
      <c r="C161" s="354"/>
      <c r="D161" s="816" t="s">
        <v>797</v>
      </c>
      <c r="E161" s="1282">
        <f>E134</f>
        <v>2889688.71</v>
      </c>
      <c r="F161" s="816" t="s">
        <v>797</v>
      </c>
      <c r="G161" s="1282">
        <f>G134</f>
        <v>0</v>
      </c>
      <c r="H161" s="354"/>
      <c r="I161" s="354"/>
      <c r="J161" s="354"/>
      <c r="K161" s="816" t="s">
        <v>797</v>
      </c>
      <c r="L161" s="1282">
        <f>E161+G161</f>
        <v>2889688.71</v>
      </c>
      <c r="M161" s="1242"/>
      <c r="N161" s="122"/>
      <c r="AA161" s="164"/>
    </row>
    <row r="162" spans="1:27" ht="15" customHeight="1">
      <c r="A162" s="372" t="s">
        <v>1069</v>
      </c>
      <c r="B162" s="354"/>
      <c r="C162" s="354"/>
      <c r="D162" s="816"/>
      <c r="E162" s="1282">
        <f>SUM(E160:E161)</f>
        <v>38061165.240000002</v>
      </c>
      <c r="F162" s="354"/>
      <c r="G162" s="1301">
        <f>SUM(G160:G161)</f>
        <v>0</v>
      </c>
      <c r="H162" s="354"/>
      <c r="I162" s="354"/>
      <c r="J162" s="354"/>
      <c r="K162" s="816"/>
      <c r="L162" s="1301">
        <f>EqualBasePSD8+EqualBase912</f>
        <v>38061165.240000002</v>
      </c>
      <c r="M162" s="1242"/>
      <c r="N162" s="122"/>
      <c r="AA162" s="164"/>
    </row>
    <row r="163" spans="1:27" ht="15" customHeight="1" thickBot="1">
      <c r="A163" s="372" t="s">
        <v>1070</v>
      </c>
      <c r="B163" s="354"/>
      <c r="C163" s="354"/>
      <c r="D163" s="816" t="s">
        <v>791</v>
      </c>
      <c r="E163" s="1283">
        <f>MIN(IF(VALUE(LEFT(RIGHT(L1,7),2))=8,0,IF(E148&gt;0,(E147+E149+E150)*E154/100,E151*E154/100)),EqualBasePSD8)</f>
        <v>21403232.43</v>
      </c>
      <c r="F163" s="816" t="s">
        <v>791</v>
      </c>
      <c r="G163" s="1283">
        <f>MIN(IF(G148&gt;0,(G148+G149+G150)*G154/100,G151*G154/100),EqualBase912)</f>
        <v>0</v>
      </c>
      <c r="H163" s="354"/>
      <c r="I163" s="354"/>
      <c r="J163" s="354"/>
      <c r="K163" s="816" t="s">
        <v>791</v>
      </c>
      <c r="L163" s="1283">
        <f>QLPSD8+_QL912</f>
        <v>21403232.43</v>
      </c>
      <c r="M163" s="1242"/>
      <c r="N163" s="122"/>
      <c r="AA163" s="164"/>
    </row>
    <row r="164" spans="1:27" ht="15" customHeight="1">
      <c r="A164" s="372" t="s">
        <v>1071</v>
      </c>
      <c r="B164" s="354"/>
      <c r="C164" s="354"/>
      <c r="D164" s="354"/>
      <c r="E164" s="1301">
        <f>IF(E162-E163&lt;0,0,E162-E163)</f>
        <v>16657932.810000001</v>
      </c>
      <c r="F164" s="354"/>
      <c r="G164" s="1301">
        <f>IF(G162-G163&lt;0,0,G162-G163)</f>
        <v>0</v>
      </c>
      <c r="H164" s="354"/>
      <c r="I164" s="354"/>
      <c r="J164" s="354"/>
      <c r="K164" s="354"/>
      <c r="L164" s="1301">
        <f>E164+G164</f>
        <v>16657932.810000001</v>
      </c>
      <c r="M164" s="1242"/>
      <c r="AA164" s="164"/>
    </row>
    <row r="165" spans="1:27" ht="15" customHeight="1">
      <c r="AA165" s="164"/>
    </row>
    <row r="166" spans="1:27" ht="15" customHeight="1">
      <c r="AA166" s="16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7" spans="1:27" ht="15" customHeight="1">
      <c r="AA167" s="164"/>
    </row>
    <row r="168" spans="1:27" ht="15" customHeight="1">
      <c r="AA168" s="164"/>
    </row>
    <row r="169" spans="1:27" ht="15" customHeight="1">
      <c r="AA169" s="164"/>
    </row>
    <row r="170" spans="1:27" ht="15" customHeight="1">
      <c r="AA170" s="164"/>
    </row>
    <row r="171" spans="1:27" ht="15" customHeight="1">
      <c r="AA171" s="164"/>
    </row>
    <row r="172" spans="1:27" ht="15" customHeight="1">
      <c r="AA172" s="164"/>
    </row>
    <row r="173" spans="1:27" ht="15" customHeight="1">
      <c r="AA173" s="164"/>
    </row>
    <row r="174" spans="1:27" ht="15" customHeight="1">
      <c r="AA174" s="164"/>
    </row>
    <row r="175" spans="1:27" ht="15" customHeight="1">
      <c r="AA175" s="164"/>
    </row>
    <row r="176" spans="1:27" ht="15" customHeight="1">
      <c r="AA176" s="164"/>
    </row>
    <row r="177" spans="27:27" ht="15" customHeight="1">
      <c r="AA177" s="164"/>
    </row>
    <row r="178" spans="27:27" ht="15" customHeight="1">
      <c r="AA178" s="164"/>
    </row>
    <row r="179" spans="27:27" ht="15" customHeight="1">
      <c r="AA179" s="164"/>
    </row>
    <row r="180" spans="27:27" ht="15" customHeight="1">
      <c r="AA180" s="164"/>
    </row>
    <row r="181" spans="27:27" ht="15" customHeight="1">
      <c r="AA181" s="164"/>
    </row>
    <row r="182" spans="27:27" ht="15" customHeight="1">
      <c r="AA182" s="164"/>
    </row>
    <row r="183" spans="27:27" ht="15" customHeight="1">
      <c r="AA183" s="164"/>
    </row>
    <row r="184" spans="27:27" ht="15" customHeight="1">
      <c r="AA184" s="164"/>
    </row>
    <row r="185" spans="27:27" ht="15" customHeight="1">
      <c r="AA185" s="164"/>
    </row>
    <row r="186" spans="27:27" ht="15" customHeight="1">
      <c r="AA186" s="164"/>
    </row>
    <row r="187" spans="27:27" ht="15" customHeight="1">
      <c r="AA187" s="164"/>
    </row>
    <row r="188" spans="27:27" ht="15" customHeight="1">
      <c r="AA188" s="164"/>
    </row>
    <row r="189" spans="27:27" ht="15" customHeight="1">
      <c r="AA189" s="164"/>
    </row>
    <row r="190" spans="27:27" ht="15" customHeight="1">
      <c r="AA190" s="164"/>
    </row>
    <row r="191" spans="27:27" ht="15" customHeight="1">
      <c r="AA191" s="164"/>
    </row>
    <row r="192" spans="27:27" ht="15" customHeight="1">
      <c r="AA192" s="164"/>
    </row>
    <row r="193" spans="27:27" ht="15" customHeight="1">
      <c r="AA193" s="164"/>
    </row>
    <row r="194" spans="27:27" ht="15" customHeight="1">
      <c r="AA194" s="164"/>
    </row>
    <row r="195" spans="27:27" ht="15" customHeight="1">
      <c r="AA195" s="164"/>
    </row>
    <row r="196" spans="27:27" ht="15" customHeight="1">
      <c r="AA196" s="164"/>
    </row>
    <row r="197" spans="27:27" ht="15" customHeight="1">
      <c r="AA197" s="164"/>
    </row>
    <row r="198" spans="27:27" ht="15" customHeight="1">
      <c r="AA198" s="164"/>
    </row>
    <row r="199" spans="27:27" ht="15" customHeight="1">
      <c r="AA199" s="164"/>
    </row>
    <row r="200" spans="27:27" ht="15" customHeight="1">
      <c r="AA200" s="164"/>
    </row>
    <row r="201" spans="27:27" ht="15" customHeight="1">
      <c r="AA201" s="164"/>
    </row>
    <row r="202" spans="27:27" ht="15" customHeight="1">
      <c r="AA202" s="164"/>
    </row>
    <row r="203" spans="27:27" ht="15" customHeight="1">
      <c r="AA203" s="164"/>
    </row>
    <row r="204" spans="27:27" ht="15" customHeight="1">
      <c r="AA204" s="164"/>
    </row>
    <row r="205" spans="27:27" ht="15" customHeight="1">
      <c r="AA205" s="164"/>
    </row>
    <row r="206" spans="27:27" ht="15" customHeight="1">
      <c r="AA206" s="164"/>
    </row>
    <row r="207" spans="27:27" ht="15" customHeight="1">
      <c r="AA207" s="164"/>
    </row>
    <row r="208" spans="27:27" ht="15" customHeight="1">
      <c r="AA208" s="164"/>
    </row>
    <row r="209" spans="27:27" ht="15" customHeight="1">
      <c r="AA209" s="164"/>
    </row>
    <row r="210" spans="27:27" ht="15" customHeight="1">
      <c r="AA210" s="164"/>
    </row>
    <row r="211" spans="27:27" ht="15" customHeight="1">
      <c r="AA211" s="164"/>
    </row>
    <row r="212" spans="27:27" ht="15" customHeight="1">
      <c r="AA212" s="164"/>
    </row>
    <row r="213" spans="27:27" ht="15" customHeight="1">
      <c r="AA213" s="164"/>
    </row>
    <row r="214" spans="27:27" ht="15" customHeight="1">
      <c r="AA214" s="164"/>
    </row>
    <row r="215" spans="27:27" ht="15" customHeight="1">
      <c r="AA215" s="164"/>
    </row>
    <row r="216" spans="27:27" ht="15" customHeight="1">
      <c r="AA216" s="164"/>
    </row>
    <row r="217" spans="27:27" ht="15" customHeight="1">
      <c r="AA217" s="164"/>
    </row>
    <row r="218" spans="27:27" ht="15" customHeight="1">
      <c r="AA218" s="164"/>
    </row>
    <row r="219" spans="27:27" ht="15" customHeight="1">
      <c r="AA219" s="164"/>
    </row>
    <row r="220" spans="27:27" ht="15" customHeight="1">
      <c r="AA220" s="164"/>
    </row>
    <row r="221" spans="27:27" ht="15" customHeight="1">
      <c r="AA221" s="164"/>
    </row>
    <row r="222" spans="27:27" ht="15" customHeight="1">
      <c r="AA222" s="164"/>
    </row>
    <row r="223" spans="27:27" ht="15" customHeight="1">
      <c r="AA223" s="164"/>
    </row>
    <row r="224" spans="27:27" ht="15" customHeight="1">
      <c r="AA224" s="164"/>
    </row>
    <row r="225" spans="27:27" ht="15" customHeight="1">
      <c r="AA225" s="164"/>
    </row>
    <row r="226" spans="27:27" ht="15" customHeight="1">
      <c r="AA226" s="164"/>
    </row>
    <row r="227" spans="27:27" ht="15" customHeight="1">
      <c r="AA227" s="164"/>
    </row>
    <row r="228" spans="27:27" ht="15" customHeight="1">
      <c r="AA228" s="164"/>
    </row>
    <row r="229" spans="27:27" ht="15" customHeight="1">
      <c r="AA229" s="164"/>
    </row>
    <row r="230" spans="27:27" ht="15" customHeight="1">
      <c r="AA230" s="164"/>
    </row>
    <row r="231" spans="27:27" ht="15" customHeight="1">
      <c r="AA231" s="164"/>
    </row>
    <row r="232" spans="27:27" ht="15" customHeight="1">
      <c r="AA232" s="164"/>
    </row>
    <row r="233" spans="27:27" ht="15" customHeight="1">
      <c r="AA233" s="164"/>
    </row>
    <row r="234" spans="27:27" ht="15" customHeight="1">
      <c r="AA234" s="164"/>
    </row>
    <row r="235" spans="27:27" ht="15" customHeight="1">
      <c r="AA235" s="164"/>
    </row>
    <row r="236" spans="27:27" ht="15" customHeight="1">
      <c r="AA236" s="164"/>
    </row>
    <row r="237" spans="27:27" ht="15" customHeight="1">
      <c r="AA237" s="164"/>
    </row>
    <row r="238" spans="27:27" ht="15" customHeight="1">
      <c r="AA238" s="164"/>
    </row>
    <row r="239" spans="27:27" ht="15" customHeight="1">
      <c r="AA239" s="164"/>
    </row>
    <row r="240" spans="27:27" ht="15" customHeight="1">
      <c r="AA240" s="164"/>
    </row>
    <row r="241" spans="27:27" ht="15" customHeight="1">
      <c r="AA241" s="164"/>
    </row>
    <row r="242" spans="27:27" ht="15" customHeight="1">
      <c r="AA242" s="164"/>
    </row>
    <row r="243" spans="27:27" ht="15" customHeight="1">
      <c r="AA243" s="164"/>
    </row>
    <row r="244" spans="27:27" ht="15" customHeight="1">
      <c r="AA244" s="164"/>
    </row>
    <row r="245" spans="27:27" ht="15" customHeight="1">
      <c r="AA245" s="164"/>
    </row>
    <row r="246" spans="27:27" ht="15" customHeight="1">
      <c r="AA246" s="164"/>
    </row>
    <row r="247" spans="27:27" ht="15" customHeight="1">
      <c r="AA247" s="164"/>
    </row>
    <row r="248" spans="27:27" ht="15" customHeight="1">
      <c r="AA248" s="164"/>
    </row>
    <row r="249" spans="27:27" ht="15" customHeight="1">
      <c r="AA249" s="164"/>
    </row>
    <row r="250" spans="27:27" ht="15" customHeight="1">
      <c r="AA250" s="164"/>
    </row>
    <row r="251" spans="27:27" ht="15" customHeight="1">
      <c r="AA251" s="164"/>
    </row>
    <row r="252" spans="27:27" ht="15" customHeight="1">
      <c r="AA252" s="164"/>
    </row>
    <row r="253" spans="27:27" ht="15" customHeight="1">
      <c r="AA253" s="164"/>
    </row>
    <row r="254" spans="27:27" ht="15" customHeight="1">
      <c r="AA254" s="164"/>
    </row>
    <row r="255" spans="27:27" ht="15" customHeight="1">
      <c r="AA255" s="164"/>
    </row>
    <row r="256" spans="27:27" ht="15" customHeight="1">
      <c r="AA256" s="164"/>
    </row>
    <row r="257" spans="27:27" ht="15" customHeight="1">
      <c r="AA257" s="164"/>
    </row>
    <row r="258" spans="27:27" ht="15" customHeight="1">
      <c r="AA258" s="164"/>
    </row>
    <row r="259" spans="27:27" ht="15" customHeight="1">
      <c r="AA259" s="164"/>
    </row>
    <row r="260" spans="27:27" ht="15" customHeight="1">
      <c r="AA260" s="164"/>
    </row>
    <row r="261" spans="27:27" ht="15" customHeight="1">
      <c r="AA261" s="164"/>
    </row>
    <row r="262" spans="27:27" ht="15" customHeight="1">
      <c r="AA262" s="164"/>
    </row>
    <row r="263" spans="27:27" ht="15" customHeight="1">
      <c r="AA263" s="164"/>
    </row>
    <row r="264" spans="27:27" ht="15" customHeight="1">
      <c r="AA264" s="164"/>
    </row>
    <row r="265" spans="27:27" ht="15" customHeight="1">
      <c r="AA265" s="164"/>
    </row>
    <row r="266" spans="27:27" ht="15" customHeight="1">
      <c r="AA266" s="164"/>
    </row>
    <row r="267" spans="27:27" ht="15" customHeight="1">
      <c r="AA267" s="164"/>
    </row>
    <row r="268" spans="27:27" ht="15" customHeight="1">
      <c r="AA268" s="164"/>
    </row>
    <row r="269" spans="27:27" ht="15" customHeight="1">
      <c r="AA269" s="164"/>
    </row>
    <row r="270" spans="27:27" ht="15" customHeight="1">
      <c r="AA270" s="164"/>
    </row>
    <row r="271" spans="27:27" ht="15" customHeight="1">
      <c r="AA271" s="164"/>
    </row>
    <row r="272" spans="27:27" ht="15" customHeight="1">
      <c r="AA272" s="164"/>
    </row>
    <row r="273" spans="27:27" ht="15" customHeight="1">
      <c r="AA273" s="164"/>
    </row>
    <row r="274" spans="27:27" ht="15" customHeight="1">
      <c r="AA274" s="164"/>
    </row>
    <row r="275" spans="27:27" ht="15" customHeight="1">
      <c r="AA275" s="164"/>
    </row>
    <row r="276" spans="27:27" ht="15" customHeight="1">
      <c r="AA276" s="164"/>
    </row>
    <row r="277" spans="27:27" ht="15" customHeight="1">
      <c r="AA277" s="164"/>
    </row>
    <row r="278" spans="27:27" ht="15" customHeight="1">
      <c r="AA278" s="164"/>
    </row>
    <row r="279" spans="27:27" ht="15" customHeight="1">
      <c r="AA279" s="164"/>
    </row>
    <row r="280" spans="27:27" ht="15" customHeight="1">
      <c r="AA280" s="164"/>
    </row>
    <row r="281" spans="27:27" ht="15" customHeight="1">
      <c r="AA281" s="164"/>
    </row>
    <row r="282" spans="27:27" ht="15" customHeight="1">
      <c r="AA282" s="164"/>
    </row>
    <row r="283" spans="27:27" ht="15" customHeight="1">
      <c r="AA283" s="164"/>
    </row>
    <row r="284" spans="27:27" ht="15" customHeight="1">
      <c r="AA284" s="164"/>
    </row>
    <row r="285" spans="27:27" ht="15" customHeight="1">
      <c r="AA285" s="164"/>
    </row>
    <row r="286" spans="27:27" ht="15" customHeight="1">
      <c r="AA286" s="164"/>
    </row>
    <row r="287" spans="27:27" ht="15" customHeight="1">
      <c r="AA287" s="164"/>
    </row>
    <row r="288" spans="27:27" ht="15" customHeight="1">
      <c r="AA288" s="164"/>
    </row>
    <row r="289" spans="27:27" ht="15" customHeight="1">
      <c r="AA289" s="164"/>
    </row>
    <row r="290" spans="27:27" ht="15" customHeight="1">
      <c r="AA290" s="164"/>
    </row>
    <row r="291" spans="27:27" ht="15" customHeight="1">
      <c r="AA291" s="164"/>
    </row>
    <row r="292" spans="27:27" ht="15" customHeight="1">
      <c r="AA292" s="164"/>
    </row>
    <row r="293" spans="27:27" ht="15" customHeight="1">
      <c r="AA293" s="164"/>
    </row>
    <row r="294" spans="27:27" ht="15" customHeight="1">
      <c r="AA294" s="164"/>
    </row>
    <row r="295" spans="27:27" ht="15" customHeight="1">
      <c r="AA295" s="164"/>
    </row>
    <row r="296" spans="27:27" ht="15" customHeight="1">
      <c r="AA296" s="164"/>
    </row>
    <row r="297" spans="27:27" ht="15" customHeight="1">
      <c r="AA297" s="164"/>
    </row>
    <row r="298" spans="27:27" ht="15" customHeight="1">
      <c r="AA298" s="164"/>
    </row>
    <row r="299" spans="27:27" ht="15" customHeight="1">
      <c r="AA299" s="164"/>
    </row>
    <row r="300" spans="27:27" ht="15" customHeight="1">
      <c r="AA300" s="164"/>
    </row>
    <row r="301" spans="27:27" ht="15" customHeight="1">
      <c r="AA301" s="164"/>
    </row>
    <row r="302" spans="27:27" ht="15" customHeight="1">
      <c r="AA302" s="164"/>
    </row>
    <row r="303" spans="27:27" ht="15" customHeight="1">
      <c r="AA303" s="164"/>
    </row>
    <row r="304" spans="27:27" ht="15" customHeight="1">
      <c r="AA304" s="164"/>
    </row>
    <row r="305" spans="27:27" ht="15" customHeight="1">
      <c r="AA305" s="164"/>
    </row>
    <row r="306" spans="27:27" ht="15" customHeight="1">
      <c r="AA306" s="164"/>
    </row>
    <row r="307" spans="27:27" ht="15" customHeight="1">
      <c r="AA307" s="164"/>
    </row>
    <row r="308" spans="27:27" ht="15" customHeight="1">
      <c r="AA308" s="164"/>
    </row>
    <row r="309" spans="27:27" ht="15" customHeight="1">
      <c r="AA309" s="164"/>
    </row>
    <row r="310" spans="27:27" ht="15" customHeight="1">
      <c r="AA310" s="164"/>
    </row>
    <row r="311" spans="27:27" ht="15" customHeight="1">
      <c r="AA311" s="164"/>
    </row>
    <row r="312" spans="27:27" ht="15" customHeight="1">
      <c r="AA312" s="164"/>
    </row>
    <row r="313" spans="27:27" ht="15" customHeight="1">
      <c r="AA313" s="164"/>
    </row>
    <row r="314" spans="27:27" ht="15" customHeight="1">
      <c r="AA314" s="164"/>
    </row>
    <row r="315" spans="27:27" ht="15" customHeight="1">
      <c r="AA315" s="164"/>
    </row>
    <row r="316" spans="27:27" ht="15" customHeight="1">
      <c r="AA316" s="164"/>
    </row>
    <row r="317" spans="27:27" ht="15" customHeight="1">
      <c r="AA317" s="164"/>
    </row>
    <row r="318" spans="27:27" ht="15" customHeight="1">
      <c r="AA318" s="164"/>
    </row>
    <row r="319" spans="27:27" ht="15" customHeight="1">
      <c r="AA319" s="164"/>
    </row>
    <row r="320" spans="27:27" ht="15" customHeight="1">
      <c r="AA320" s="164"/>
    </row>
    <row r="321" spans="27:27" ht="15" customHeight="1">
      <c r="AA321" s="164"/>
    </row>
    <row r="322" spans="27:27" ht="15" customHeight="1">
      <c r="AA322" s="164"/>
    </row>
    <row r="323" spans="27:27" ht="15" customHeight="1">
      <c r="AA323" s="164"/>
    </row>
    <row r="324" spans="27:27" ht="15" customHeight="1">
      <c r="AA324" s="164"/>
    </row>
    <row r="325" spans="27:27" ht="15" customHeight="1">
      <c r="AA325" s="164"/>
    </row>
    <row r="326" spans="27:27" ht="15" customHeight="1">
      <c r="AA326" s="164"/>
    </row>
    <row r="327" spans="27:27" ht="15" customHeight="1">
      <c r="AA327" s="164"/>
    </row>
    <row r="328" spans="27:27" ht="15" customHeight="1">
      <c r="AA328" s="164"/>
    </row>
    <row r="329" spans="27:27" ht="15" customHeight="1">
      <c r="AA329" s="164"/>
    </row>
    <row r="330" spans="27:27" ht="15" customHeight="1">
      <c r="AA330" s="164"/>
    </row>
    <row r="331" spans="27:27" ht="15" customHeight="1">
      <c r="AA331" s="164"/>
    </row>
    <row r="332" spans="27:27" ht="15" customHeight="1">
      <c r="AA332" s="164"/>
    </row>
    <row r="333" spans="27:27" ht="15" customHeight="1">
      <c r="AA333" s="164"/>
    </row>
    <row r="334" spans="27:27" ht="15" customHeight="1">
      <c r="AA334" s="164"/>
    </row>
    <row r="335" spans="27:27" ht="15" customHeight="1">
      <c r="AA335" s="164"/>
    </row>
    <row r="336" spans="27:27" ht="15" customHeight="1">
      <c r="AA336" s="164"/>
    </row>
    <row r="337" spans="27:27" ht="15" customHeight="1">
      <c r="AA337" s="164"/>
    </row>
    <row r="338" spans="27:27" ht="15" customHeight="1">
      <c r="AA338" s="164"/>
    </row>
    <row r="339" spans="27:27" ht="15" customHeight="1">
      <c r="AA339" s="164"/>
    </row>
    <row r="340" spans="27:27" ht="15" customHeight="1">
      <c r="AA340" s="164"/>
    </row>
    <row r="341" spans="27:27" ht="15" customHeight="1">
      <c r="AA341" s="164"/>
    </row>
    <row r="342" spans="27:27" ht="15" customHeight="1">
      <c r="AA342" s="164"/>
    </row>
    <row r="343" spans="27:27" ht="15" customHeight="1">
      <c r="AA343" s="164"/>
    </row>
    <row r="344" spans="27:27" ht="15" customHeight="1">
      <c r="AA344" s="164"/>
    </row>
  </sheetData>
  <sheetProtection formatCells="0" formatColumns="0" formatRows="0"/>
  <mergeCells count="24">
    <mergeCell ref="J44:L44"/>
    <mergeCell ref="D40:H40"/>
    <mergeCell ref="D39:H39"/>
    <mergeCell ref="K38:L38"/>
    <mergeCell ref="G1:I1"/>
    <mergeCell ref="L1:M1"/>
    <mergeCell ref="L2:M2"/>
    <mergeCell ref="B1:E1"/>
    <mergeCell ref="D3:H3"/>
    <mergeCell ref="D137:H137"/>
    <mergeCell ref="D4:H4"/>
    <mergeCell ref="I140:I141"/>
    <mergeCell ref="F38:H38"/>
    <mergeCell ref="D138:H138"/>
    <mergeCell ref="B38:D38"/>
    <mergeCell ref="A44:B44"/>
    <mergeCell ref="A76:B76"/>
    <mergeCell ref="A120:C121"/>
    <mergeCell ref="A45:B45"/>
    <mergeCell ref="A54:B54"/>
    <mergeCell ref="D72:H72"/>
    <mergeCell ref="D107:H107"/>
    <mergeCell ref="D71:H71"/>
    <mergeCell ref="D106:H106"/>
  </mergeCells>
  <hyperlinks>
    <hyperlink ref="A60" location="BSA55P4AuditServiceExpense" display="Audit Service Expense"/>
    <hyperlink ref="A84" location="BSA55P4ActivityTripFactors" display="          Activity Trip Level Factor"/>
    <hyperlink ref="A63" location="DataEntryOtherInfol2" display="Adjustment for Remote Instructional Time calculated by ADE"/>
  </hyperlinks>
  <pageMargins left="0.5" right="0.2" top="0.75" bottom="0.75" header="0.3" footer="0.3"/>
  <pageSetup scale="62" orientation="landscape" r:id="rId1"/>
  <headerFooter>
    <oddFooter>&amp;L&amp;"Times New Roman,Bold"Rev. 5/23 Arizona Department of Education and Auditor General&amp;R&amp;"Times New Roman,Bold"Page &amp;P of &amp;N</oddFooter>
  </headerFooter>
  <rowBreaks count="4" manualBreakCount="4">
    <brk id="38" max="12" man="1"/>
    <brk id="70" max="12" man="1"/>
    <brk id="105" max="12" man="1"/>
    <brk id="136"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6"/>
  <sheetViews>
    <sheetView showGridLines="0" zoomScaleNormal="100" workbookViewId="0">
      <selection activeCell="C2" sqref="C2"/>
    </sheetView>
  </sheetViews>
  <sheetFormatPr defaultColWidth="8.90625" defaultRowHeight="18"/>
  <cols>
    <col min="1" max="1" width="12" style="1372" customWidth="1"/>
    <col min="2" max="2" width="15" style="1354" customWidth="1"/>
    <col min="3" max="3" width="79" style="1372" customWidth="1"/>
    <col min="4" max="4" width="25.90625" style="1373" customWidth="1"/>
    <col min="5" max="5" width="32.90625" style="1326" customWidth="1"/>
    <col min="6" max="8" width="8.90625" style="1326" customWidth="1"/>
    <col min="9" max="16384" width="8.90625" style="1326"/>
  </cols>
  <sheetData>
    <row r="1" spans="1:5" ht="40.5" customHeight="1">
      <c r="A1" s="1324" t="s">
        <v>1072</v>
      </c>
      <c r="B1" s="1324" t="s">
        <v>1073</v>
      </c>
      <c r="C1" s="1324" t="s">
        <v>1074</v>
      </c>
      <c r="D1" s="1324" t="s">
        <v>1075</v>
      </c>
      <c r="E1" s="1325" t="s">
        <v>1076</v>
      </c>
    </row>
    <row r="2" spans="1:5" ht="259.5" customHeight="1">
      <c r="A2" s="1327"/>
      <c r="B2" s="1328" t="s">
        <v>1077</v>
      </c>
      <c r="C2" s="1329" t="s">
        <v>1078</v>
      </c>
      <c r="D2" s="1330"/>
      <c r="E2" s="1331"/>
    </row>
    <row r="3" spans="1:5" ht="19.5" customHeight="1">
      <c r="A3" s="1332"/>
      <c r="B3" s="1333"/>
      <c r="C3" s="1334" t="s">
        <v>1079</v>
      </c>
      <c r="D3" s="1335"/>
      <c r="E3" s="1332"/>
    </row>
    <row r="4" spans="1:5" ht="138" customHeight="1">
      <c r="A4" s="1336"/>
      <c r="B4" s="1337" t="s">
        <v>1077</v>
      </c>
      <c r="C4" s="1329" t="s">
        <v>1346</v>
      </c>
      <c r="D4" s="1338"/>
      <c r="E4" s="1336"/>
    </row>
    <row r="5" spans="1:5" ht="62.25" customHeight="1">
      <c r="A5" s="1336"/>
      <c r="B5" s="1337" t="s">
        <v>1077</v>
      </c>
      <c r="C5" s="1329" t="s">
        <v>1080</v>
      </c>
      <c r="D5" s="1338"/>
      <c r="E5" s="1336" t="s">
        <v>1081</v>
      </c>
    </row>
    <row r="6" spans="1:5" ht="318.75" customHeight="1">
      <c r="A6" s="1336"/>
      <c r="B6" s="1337" t="s">
        <v>1082</v>
      </c>
      <c r="C6" s="1329" t="s">
        <v>1083</v>
      </c>
      <c r="D6" s="1339" t="s">
        <v>1084</v>
      </c>
      <c r="E6" s="1336"/>
    </row>
    <row r="7" spans="1:5" ht="54">
      <c r="A7" s="1336"/>
      <c r="B7" s="1337" t="s">
        <v>1085</v>
      </c>
      <c r="C7" s="1329" t="s">
        <v>1086</v>
      </c>
      <c r="D7" s="1339" t="s">
        <v>1084</v>
      </c>
      <c r="E7" s="1336"/>
    </row>
    <row r="8" spans="1:5" ht="144" customHeight="1">
      <c r="A8" s="1337" t="s">
        <v>1087</v>
      </c>
      <c r="B8" s="1337" t="s">
        <v>1088</v>
      </c>
      <c r="C8" s="1329" t="s">
        <v>1089</v>
      </c>
      <c r="D8" s="1338"/>
      <c r="E8" s="1336"/>
    </row>
    <row r="9" spans="1:5" ht="231.75" customHeight="1">
      <c r="A9" s="1337" t="s">
        <v>1087</v>
      </c>
      <c r="B9" s="1337" t="s">
        <v>1090</v>
      </c>
      <c r="C9" s="1329" t="s">
        <v>1091</v>
      </c>
      <c r="D9" s="1339" t="s">
        <v>1084</v>
      </c>
      <c r="E9" s="1336"/>
    </row>
    <row r="10" spans="1:5" ht="130.5" customHeight="1">
      <c r="A10" s="1337" t="s">
        <v>1092</v>
      </c>
      <c r="B10" s="1337"/>
      <c r="C10" s="1329" t="s">
        <v>1093</v>
      </c>
      <c r="D10" s="1339" t="s">
        <v>1084</v>
      </c>
      <c r="E10" s="1336"/>
    </row>
    <row r="11" spans="1:5" ht="76.5" customHeight="1">
      <c r="A11" s="1817">
        <v>1</v>
      </c>
      <c r="B11" s="1817" t="s">
        <v>1094</v>
      </c>
      <c r="C11" s="1340" t="s">
        <v>1095</v>
      </c>
      <c r="D11" s="1819"/>
      <c r="E11" s="1813"/>
    </row>
    <row r="12" spans="1:5" ht="18" customHeight="1">
      <c r="A12" s="1818"/>
      <c r="B12" s="1818"/>
      <c r="C12" s="1341" t="s">
        <v>1096</v>
      </c>
      <c r="D12" s="1820"/>
      <c r="E12" s="1814"/>
    </row>
    <row r="13" spans="1:5" ht="150" customHeight="1">
      <c r="A13" s="1337">
        <v>1</v>
      </c>
      <c r="B13" s="1337" t="s">
        <v>1097</v>
      </c>
      <c r="C13" s="1329" t="s">
        <v>1098</v>
      </c>
      <c r="D13" s="1339" t="s">
        <v>1084</v>
      </c>
      <c r="E13" s="1336"/>
    </row>
    <row r="14" spans="1:5" ht="67.5" customHeight="1">
      <c r="A14" s="1337">
        <v>1</v>
      </c>
      <c r="B14" s="1337" t="s">
        <v>1099</v>
      </c>
      <c r="C14" s="1329" t="s">
        <v>1100</v>
      </c>
      <c r="D14" s="1338"/>
      <c r="E14" s="1336"/>
    </row>
    <row r="15" spans="1:5" ht="162" customHeight="1">
      <c r="A15" s="1337">
        <v>1</v>
      </c>
      <c r="B15" s="1337" t="s">
        <v>1101</v>
      </c>
      <c r="C15" s="1329" t="s">
        <v>1102</v>
      </c>
      <c r="D15" s="1338"/>
      <c r="E15" s="1336"/>
    </row>
    <row r="16" spans="1:5" ht="141" customHeight="1">
      <c r="A16" s="1817">
        <v>1</v>
      </c>
      <c r="B16" s="1817" t="s">
        <v>1103</v>
      </c>
      <c r="C16" s="1342" t="s">
        <v>1104</v>
      </c>
      <c r="D16" s="1819"/>
      <c r="E16" s="1815"/>
    </row>
    <row r="17" spans="1:5" ht="21" customHeight="1">
      <c r="A17" s="1818"/>
      <c r="B17" s="1818"/>
      <c r="C17" s="1341" t="s">
        <v>1105</v>
      </c>
      <c r="D17" s="1820"/>
      <c r="E17" s="1816"/>
    </row>
    <row r="18" spans="1:5" ht="162.75" customHeight="1">
      <c r="A18" s="1337">
        <v>2</v>
      </c>
      <c r="B18" s="1337" t="s">
        <v>1106</v>
      </c>
      <c r="C18" s="1329" t="s">
        <v>1107</v>
      </c>
      <c r="D18" s="1338"/>
      <c r="E18" s="1343"/>
    </row>
    <row r="19" spans="1:5" ht="70.5" customHeight="1">
      <c r="A19" s="1337">
        <v>2</v>
      </c>
      <c r="B19" s="1337" t="s">
        <v>1108</v>
      </c>
      <c r="C19" s="1344" t="s">
        <v>1109</v>
      </c>
      <c r="D19" s="1338"/>
      <c r="E19" s="1336"/>
    </row>
    <row r="20" spans="1:5" ht="48.75" customHeight="1">
      <c r="A20" s="1337">
        <v>2</v>
      </c>
      <c r="B20" s="1337" t="s">
        <v>1110</v>
      </c>
      <c r="C20" s="1336" t="s">
        <v>1111</v>
      </c>
      <c r="D20" s="1338"/>
      <c r="E20" s="1336"/>
    </row>
    <row r="21" spans="1:5" ht="66.75" customHeight="1">
      <c r="A21" s="1337">
        <v>2</v>
      </c>
      <c r="B21" s="1337" t="s">
        <v>1112</v>
      </c>
      <c r="C21" s="1329" t="s">
        <v>1113</v>
      </c>
      <c r="D21" s="1338"/>
      <c r="E21" s="1336"/>
    </row>
    <row r="22" spans="1:5" ht="242.25" customHeight="1">
      <c r="A22" s="1337">
        <v>2</v>
      </c>
      <c r="B22" s="1337" t="s">
        <v>1114</v>
      </c>
      <c r="C22" s="1329" t="s">
        <v>1115</v>
      </c>
      <c r="D22" s="1339" t="s">
        <v>1084</v>
      </c>
      <c r="E22" s="1336"/>
    </row>
    <row r="23" spans="1:5" ht="153.75" customHeight="1">
      <c r="A23" s="1337">
        <v>3</v>
      </c>
      <c r="B23" s="1337" t="s">
        <v>1077</v>
      </c>
      <c r="C23" s="1329" t="s">
        <v>1116</v>
      </c>
      <c r="D23" s="1338"/>
      <c r="E23" s="1343"/>
    </row>
    <row r="24" spans="1:5" ht="48" customHeight="1">
      <c r="A24" s="1337">
        <v>3</v>
      </c>
      <c r="B24" s="1337" t="s">
        <v>1094</v>
      </c>
      <c r="C24" s="1345" t="s">
        <v>1117</v>
      </c>
      <c r="D24" s="1338"/>
      <c r="E24" s="1343"/>
    </row>
    <row r="25" spans="1:5" ht="92.25" customHeight="1">
      <c r="A25" s="1337">
        <v>3</v>
      </c>
      <c r="B25" s="1337" t="s">
        <v>1097</v>
      </c>
      <c r="C25" s="1329" t="s">
        <v>1118</v>
      </c>
      <c r="D25" s="1338"/>
      <c r="E25" s="1336"/>
    </row>
    <row r="26" spans="1:5" ht="72" customHeight="1">
      <c r="A26" s="1337">
        <v>3</v>
      </c>
      <c r="B26" s="1337" t="s">
        <v>1119</v>
      </c>
      <c r="C26" s="1329" t="s">
        <v>1120</v>
      </c>
      <c r="D26" s="1339" t="s">
        <v>1084</v>
      </c>
      <c r="E26" s="1343"/>
    </row>
    <row r="27" spans="1:5" ht="65.25" customHeight="1">
      <c r="A27" s="1337">
        <v>3</v>
      </c>
      <c r="B27" s="1337" t="s">
        <v>1121</v>
      </c>
      <c r="C27" s="1329" t="s">
        <v>1122</v>
      </c>
      <c r="D27" s="1339" t="s">
        <v>1084</v>
      </c>
      <c r="E27" s="1336"/>
    </row>
    <row r="28" spans="1:5" ht="147" customHeight="1">
      <c r="A28" s="1337">
        <v>3</v>
      </c>
      <c r="B28" s="1337" t="s">
        <v>1123</v>
      </c>
      <c r="C28" s="1336" t="s">
        <v>1356</v>
      </c>
      <c r="D28" s="1338"/>
      <c r="E28" s="1336"/>
    </row>
    <row r="29" spans="1:5" ht="28.5" customHeight="1">
      <c r="A29" s="1336"/>
      <c r="B29" s="1337"/>
      <c r="C29" s="1341" t="s">
        <v>1124</v>
      </c>
      <c r="D29" s="1338"/>
      <c r="E29" s="1336"/>
    </row>
    <row r="30" spans="1:5" ht="60.75" customHeight="1">
      <c r="A30" s="1337">
        <v>3</v>
      </c>
      <c r="B30" s="1337" t="s">
        <v>1125</v>
      </c>
      <c r="C30" s="1329" t="s">
        <v>1126</v>
      </c>
      <c r="D30" s="1338"/>
      <c r="E30" s="1336"/>
    </row>
    <row r="31" spans="1:5" ht="75.75" customHeight="1">
      <c r="A31" s="1337">
        <v>4</v>
      </c>
      <c r="B31" s="1337" t="s">
        <v>1127</v>
      </c>
      <c r="C31" s="1329" t="s">
        <v>1128</v>
      </c>
      <c r="D31" s="1338"/>
      <c r="E31" s="1346" t="s">
        <v>1347</v>
      </c>
    </row>
    <row r="32" spans="1:5" ht="223.5" customHeight="1">
      <c r="A32" s="1337">
        <v>4</v>
      </c>
      <c r="B32" s="1337" t="s">
        <v>1129</v>
      </c>
      <c r="C32" s="1329" t="s">
        <v>1130</v>
      </c>
      <c r="D32" s="1339" t="s">
        <v>1084</v>
      </c>
      <c r="E32" s="1336"/>
    </row>
    <row r="33" spans="1:5" ht="254.25" customHeight="1">
      <c r="A33" s="1337">
        <v>5</v>
      </c>
      <c r="B33" s="1337" t="s">
        <v>1131</v>
      </c>
      <c r="C33" s="1329" t="s">
        <v>1132</v>
      </c>
      <c r="D33" s="1338"/>
      <c r="E33" s="1329"/>
    </row>
    <row r="34" spans="1:5" ht="184.5" customHeight="1">
      <c r="A34" s="1337">
        <v>5</v>
      </c>
      <c r="B34" s="1337" t="s">
        <v>1133</v>
      </c>
      <c r="C34" s="1329" t="s">
        <v>1134</v>
      </c>
      <c r="D34" s="1338"/>
      <c r="E34" s="1336"/>
    </row>
    <row r="35" spans="1:5" ht="98.25" customHeight="1">
      <c r="A35" s="1337">
        <v>6</v>
      </c>
      <c r="B35" s="1337" t="s">
        <v>1135</v>
      </c>
      <c r="C35" s="1329" t="s">
        <v>1136</v>
      </c>
      <c r="D35" s="1338"/>
      <c r="E35" s="1336"/>
    </row>
    <row r="36" spans="1:5" ht="81.900000000000006" customHeight="1">
      <c r="A36" s="1337">
        <v>6</v>
      </c>
      <c r="B36" s="1337" t="s">
        <v>1137</v>
      </c>
      <c r="C36" s="1329" t="s">
        <v>1355</v>
      </c>
      <c r="D36" s="1338"/>
      <c r="E36" s="1336"/>
    </row>
    <row r="37" spans="1:5" ht="222.75" customHeight="1">
      <c r="A37" s="1337">
        <v>6</v>
      </c>
      <c r="B37" s="1337" t="s">
        <v>1138</v>
      </c>
      <c r="C37" s="1329" t="s">
        <v>1139</v>
      </c>
      <c r="D37" s="1338"/>
      <c r="E37" s="1336"/>
    </row>
    <row r="38" spans="1:5" ht="117.6" customHeight="1">
      <c r="A38" s="1347">
        <v>6</v>
      </c>
      <c r="B38" s="1347" t="s">
        <v>1140</v>
      </c>
      <c r="C38" s="1348" t="s">
        <v>1141</v>
      </c>
      <c r="D38" s="1338"/>
      <c r="E38" s="1346" t="s">
        <v>1348</v>
      </c>
    </row>
    <row r="39" spans="1:5" ht="57" customHeight="1">
      <c r="A39" s="1337">
        <v>6</v>
      </c>
      <c r="B39" s="1337" t="s">
        <v>1142</v>
      </c>
      <c r="C39" s="1329" t="s">
        <v>1143</v>
      </c>
      <c r="D39" s="1338"/>
      <c r="E39" s="1336"/>
    </row>
    <row r="40" spans="1:5" ht="124.5" customHeight="1">
      <c r="A40" s="1337">
        <v>6</v>
      </c>
      <c r="B40" s="1337" t="s">
        <v>1144</v>
      </c>
      <c r="C40" s="1329" t="s">
        <v>1145</v>
      </c>
      <c r="D40" s="1338"/>
      <c r="E40" s="1336"/>
    </row>
    <row r="41" spans="1:5" ht="315.75" customHeight="1">
      <c r="A41" s="1337">
        <v>6</v>
      </c>
      <c r="B41" s="1337" t="s">
        <v>1146</v>
      </c>
      <c r="C41" s="1329" t="s">
        <v>1147</v>
      </c>
      <c r="D41" s="1338"/>
      <c r="E41" s="1336"/>
    </row>
    <row r="42" spans="1:5" ht="108" customHeight="1">
      <c r="A42" s="1337">
        <v>6</v>
      </c>
      <c r="B42" s="1337" t="s">
        <v>1148</v>
      </c>
      <c r="C42" s="1329" t="s">
        <v>1149</v>
      </c>
      <c r="D42" s="1338"/>
      <c r="E42" s="1336"/>
    </row>
    <row r="43" spans="1:5" ht="61.5" customHeight="1">
      <c r="A43" s="1337">
        <v>6</v>
      </c>
      <c r="B43" s="1337" t="s">
        <v>1150</v>
      </c>
      <c r="C43" s="1329" t="s">
        <v>1151</v>
      </c>
      <c r="D43" s="1338"/>
      <c r="E43" s="1336"/>
    </row>
    <row r="44" spans="1:5" ht="42.75" customHeight="1">
      <c r="A44" s="1337">
        <v>6</v>
      </c>
      <c r="B44" s="1337" t="s">
        <v>1152</v>
      </c>
      <c r="C44" s="1329" t="s">
        <v>1153</v>
      </c>
      <c r="D44" s="1338"/>
      <c r="E44" s="1336"/>
    </row>
    <row r="45" spans="1:5" ht="59.25" customHeight="1">
      <c r="A45" s="1337">
        <v>6</v>
      </c>
      <c r="B45" s="1337" t="s">
        <v>1154</v>
      </c>
      <c r="C45" s="1329" t="s">
        <v>1155</v>
      </c>
      <c r="D45" s="1338"/>
      <c r="E45" s="1336"/>
    </row>
    <row r="46" spans="1:5" ht="68.25" customHeight="1">
      <c r="A46" s="1337">
        <v>6</v>
      </c>
      <c r="B46" s="1337" t="s">
        <v>1156</v>
      </c>
      <c r="C46" s="1329" t="s">
        <v>1157</v>
      </c>
      <c r="D46" s="1338"/>
      <c r="E46" s="1336"/>
    </row>
    <row r="47" spans="1:5" ht="255.75" customHeight="1">
      <c r="A47" s="1337">
        <v>7</v>
      </c>
      <c r="B47" s="1337" t="s">
        <v>1077</v>
      </c>
      <c r="C47" s="1329" t="s">
        <v>1158</v>
      </c>
      <c r="D47" s="1339" t="s">
        <v>1084</v>
      </c>
      <c r="E47" s="1336"/>
    </row>
    <row r="48" spans="1:5" ht="139.5" customHeight="1">
      <c r="A48" s="1337">
        <v>7</v>
      </c>
      <c r="B48" s="1337" t="s">
        <v>1159</v>
      </c>
      <c r="C48" s="1329" t="s">
        <v>1160</v>
      </c>
      <c r="D48" s="1339" t="s">
        <v>1084</v>
      </c>
      <c r="E48" s="1336"/>
    </row>
    <row r="49" spans="1:6" ht="116.25" customHeight="1">
      <c r="A49" s="1337">
        <v>7</v>
      </c>
      <c r="B49" s="1337" t="s">
        <v>1161</v>
      </c>
      <c r="C49" s="1329" t="s">
        <v>1162</v>
      </c>
      <c r="D49" s="1339" t="s">
        <v>1084</v>
      </c>
      <c r="E49" s="1336"/>
    </row>
    <row r="50" spans="1:6" ht="130.5" customHeight="1">
      <c r="A50" s="1337">
        <v>7</v>
      </c>
      <c r="B50" s="1337" t="s">
        <v>1163</v>
      </c>
      <c r="C50" s="1329" t="s">
        <v>1164</v>
      </c>
      <c r="D50" s="1338"/>
      <c r="E50" s="1343"/>
      <c r="F50" s="1349"/>
    </row>
    <row r="51" spans="1:6" ht="171" customHeight="1">
      <c r="A51" s="1337">
        <v>7</v>
      </c>
      <c r="B51" s="1337" t="s">
        <v>1165</v>
      </c>
      <c r="C51" s="1350" t="s">
        <v>1166</v>
      </c>
      <c r="D51" s="1338"/>
      <c r="E51" s="1336"/>
    </row>
    <row r="52" spans="1:6" ht="36">
      <c r="A52" s="1336"/>
      <c r="B52" s="1337"/>
      <c r="C52" s="1351" t="s">
        <v>1167</v>
      </c>
      <c r="D52" s="1338"/>
      <c r="E52" s="1336"/>
    </row>
    <row r="53" spans="1:6" ht="149.25" customHeight="1">
      <c r="A53" s="1337">
        <v>7</v>
      </c>
      <c r="B53" s="1337" t="s">
        <v>1168</v>
      </c>
      <c r="C53" s="1352" t="s">
        <v>1169</v>
      </c>
      <c r="D53" s="1338"/>
      <c r="E53" s="1336"/>
    </row>
    <row r="54" spans="1:6" ht="79.5" customHeight="1">
      <c r="A54" s="1337">
        <v>7</v>
      </c>
      <c r="B54" s="1337" t="s">
        <v>1170</v>
      </c>
      <c r="C54" s="1329" t="s">
        <v>1171</v>
      </c>
      <c r="D54" s="1338"/>
      <c r="E54" s="1336"/>
    </row>
    <row r="55" spans="1:6" ht="215.25" customHeight="1">
      <c r="A55" s="1337">
        <v>7</v>
      </c>
      <c r="B55" s="1337" t="s">
        <v>1172</v>
      </c>
      <c r="C55" s="1329" t="s">
        <v>1173</v>
      </c>
      <c r="D55" s="1338"/>
      <c r="E55" s="1336"/>
    </row>
    <row r="56" spans="1:6" ht="226.5" customHeight="1">
      <c r="A56" s="1337">
        <v>7</v>
      </c>
      <c r="B56" s="1337" t="s">
        <v>1174</v>
      </c>
      <c r="C56" s="1329" t="s">
        <v>1175</v>
      </c>
      <c r="D56" s="1338"/>
      <c r="E56" s="1336"/>
    </row>
    <row r="57" spans="1:6" ht="161.25" customHeight="1">
      <c r="A57" s="1337">
        <v>7</v>
      </c>
      <c r="B57" s="1337" t="s">
        <v>1176</v>
      </c>
      <c r="C57" s="1329" t="s">
        <v>1177</v>
      </c>
      <c r="D57" s="1339" t="s">
        <v>1084</v>
      </c>
      <c r="E57" s="1336"/>
    </row>
    <row r="58" spans="1:6" ht="284.25" customHeight="1">
      <c r="A58" s="1337">
        <v>7</v>
      </c>
      <c r="B58" s="1337" t="s">
        <v>1094</v>
      </c>
      <c r="C58" s="1329" t="s">
        <v>1178</v>
      </c>
      <c r="D58" s="1339" t="s">
        <v>1084</v>
      </c>
      <c r="E58" s="1336"/>
    </row>
    <row r="59" spans="1:6" ht="28.5" customHeight="1">
      <c r="A59" s="1337"/>
      <c r="B59" s="1337"/>
      <c r="C59" s="1334" t="s">
        <v>1179</v>
      </c>
      <c r="D59" s="1339"/>
      <c r="E59" s="1336"/>
    </row>
    <row r="60" spans="1:6" ht="159" customHeight="1">
      <c r="A60" s="1337">
        <v>7</v>
      </c>
      <c r="B60" s="1337" t="s">
        <v>1180</v>
      </c>
      <c r="C60" s="1329" t="s">
        <v>1349</v>
      </c>
      <c r="D60" s="1339" t="s">
        <v>1084</v>
      </c>
      <c r="E60" s="1336"/>
    </row>
    <row r="61" spans="1:6" ht="39" customHeight="1">
      <c r="A61" s="1337">
        <v>7</v>
      </c>
      <c r="B61" s="1337" t="s">
        <v>1181</v>
      </c>
      <c r="C61" s="1329" t="s">
        <v>1182</v>
      </c>
      <c r="D61" s="1338"/>
      <c r="E61" s="1336"/>
    </row>
    <row r="62" spans="1:6" ht="27.75" customHeight="1">
      <c r="A62" s="1337"/>
      <c r="B62" s="1337"/>
      <c r="C62" s="1353" t="s">
        <v>1183</v>
      </c>
      <c r="D62" s="1338"/>
      <c r="E62" s="1336"/>
    </row>
    <row r="63" spans="1:6" ht="195.75" customHeight="1">
      <c r="A63" s="1337">
        <v>7</v>
      </c>
      <c r="B63" s="1337" t="s">
        <v>1184</v>
      </c>
      <c r="C63" s="1329" t="s">
        <v>1185</v>
      </c>
      <c r="D63" s="1339" t="s">
        <v>1084</v>
      </c>
      <c r="E63" s="1336"/>
    </row>
    <row r="64" spans="1:6" ht="30" customHeight="1">
      <c r="A64" s="1337"/>
      <c r="B64" s="1337"/>
      <c r="C64" s="1353" t="s">
        <v>1183</v>
      </c>
      <c r="D64" s="1338"/>
      <c r="E64" s="1336"/>
    </row>
    <row r="65" spans="1:5" ht="390.75" customHeight="1">
      <c r="A65" s="1337">
        <v>7</v>
      </c>
      <c r="B65" s="1337" t="s">
        <v>1186</v>
      </c>
      <c r="C65" s="1329" t="s">
        <v>1187</v>
      </c>
      <c r="D65" s="1339" t="s">
        <v>1084</v>
      </c>
      <c r="E65" s="1336"/>
    </row>
    <row r="66" spans="1:5" ht="79.5" customHeight="1">
      <c r="A66" s="1337">
        <v>7</v>
      </c>
      <c r="B66" s="1337" t="s">
        <v>1188</v>
      </c>
      <c r="C66" s="1329" t="s">
        <v>1189</v>
      </c>
      <c r="D66" s="1338"/>
      <c r="E66" s="1336"/>
    </row>
    <row r="67" spans="1:5" ht="315.75" customHeight="1">
      <c r="A67" s="1337">
        <v>7</v>
      </c>
      <c r="B67" s="1337" t="s">
        <v>1190</v>
      </c>
      <c r="C67" s="1329" t="s">
        <v>1191</v>
      </c>
      <c r="D67" s="1339" t="s">
        <v>1084</v>
      </c>
      <c r="E67" s="1336"/>
    </row>
    <row r="68" spans="1:5" ht="102.75" customHeight="1">
      <c r="A68" s="1337">
        <v>7</v>
      </c>
      <c r="B68" s="1337" t="s">
        <v>1192</v>
      </c>
      <c r="C68" s="1329" t="s">
        <v>1193</v>
      </c>
      <c r="D68" s="1338"/>
      <c r="E68" s="1336"/>
    </row>
    <row r="69" spans="1:5" ht="182.25" customHeight="1">
      <c r="A69" s="1337">
        <v>7</v>
      </c>
      <c r="B69" s="1337" t="s">
        <v>1194</v>
      </c>
      <c r="C69" s="1329" t="s">
        <v>1195</v>
      </c>
      <c r="D69" s="1338"/>
      <c r="E69" s="1336"/>
    </row>
    <row r="70" spans="1:5" ht="163.5" customHeight="1">
      <c r="A70" s="1337">
        <v>7</v>
      </c>
      <c r="B70" s="1337" t="s">
        <v>1196</v>
      </c>
      <c r="C70" s="1344" t="s">
        <v>1197</v>
      </c>
      <c r="D70" s="1338"/>
      <c r="E70" s="1336"/>
    </row>
    <row r="71" spans="1:5" ht="121.5" customHeight="1">
      <c r="A71" s="1337">
        <v>7</v>
      </c>
      <c r="B71" s="1337" t="s">
        <v>1198</v>
      </c>
      <c r="C71" s="1329" t="s">
        <v>1199</v>
      </c>
      <c r="D71" s="1339" t="s">
        <v>1084</v>
      </c>
      <c r="E71" s="1336"/>
    </row>
    <row r="72" spans="1:5" ht="90.75" customHeight="1">
      <c r="A72" s="1337">
        <v>7</v>
      </c>
      <c r="B72" s="1337" t="s">
        <v>1200</v>
      </c>
      <c r="C72" s="1329" t="s">
        <v>1201</v>
      </c>
      <c r="D72" s="1338"/>
      <c r="E72" s="1336"/>
    </row>
    <row r="73" spans="1:5">
      <c r="A73" s="1337"/>
      <c r="C73" s="1341" t="s">
        <v>1202</v>
      </c>
      <c r="D73" s="1338"/>
      <c r="E73" s="1336"/>
    </row>
    <row r="74" spans="1:5" ht="147" customHeight="1">
      <c r="A74" s="1337">
        <v>7</v>
      </c>
      <c r="B74" s="1337" t="s">
        <v>1203</v>
      </c>
      <c r="C74" s="1329" t="s">
        <v>1204</v>
      </c>
      <c r="D74" s="1355" t="s">
        <v>1084</v>
      </c>
      <c r="E74" s="1336"/>
    </row>
    <row r="75" spans="1:5" ht="201.75" customHeight="1">
      <c r="A75" s="1337">
        <v>7</v>
      </c>
      <c r="B75" s="1337" t="s">
        <v>1097</v>
      </c>
      <c r="C75" s="1329" t="s">
        <v>1205</v>
      </c>
      <c r="D75" s="1355" t="s">
        <v>1084</v>
      </c>
      <c r="E75" s="1336"/>
    </row>
    <row r="76" spans="1:5" ht="247.5" customHeight="1">
      <c r="A76" s="1337">
        <v>7</v>
      </c>
      <c r="B76" s="1337" t="s">
        <v>1127</v>
      </c>
      <c r="C76" s="1329" t="s">
        <v>1206</v>
      </c>
      <c r="D76" s="1339" t="s">
        <v>1084</v>
      </c>
      <c r="E76" s="1336"/>
    </row>
    <row r="77" spans="1:5" ht="30" customHeight="1">
      <c r="A77" s="1337"/>
      <c r="B77" s="1337"/>
      <c r="C77" s="1334" t="s">
        <v>1124</v>
      </c>
      <c r="D77" s="1338"/>
      <c r="E77" s="1336"/>
    </row>
    <row r="78" spans="1:5" ht="26.25" customHeight="1">
      <c r="A78" s="1337"/>
      <c r="B78" s="1337"/>
      <c r="C78" s="1341" t="s">
        <v>1207</v>
      </c>
      <c r="D78" s="1339" t="s">
        <v>1084</v>
      </c>
      <c r="E78" s="1336"/>
    </row>
    <row r="79" spans="1:5" ht="229.5" customHeight="1">
      <c r="A79" s="1347">
        <v>7</v>
      </c>
      <c r="B79" s="1347" t="s">
        <v>1119</v>
      </c>
      <c r="C79" s="1348" t="s">
        <v>1353</v>
      </c>
      <c r="D79" s="1339" t="s">
        <v>1084</v>
      </c>
      <c r="E79" s="1356" t="s">
        <v>1350</v>
      </c>
    </row>
    <row r="80" spans="1:5" ht="120.75" customHeight="1">
      <c r="A80" s="1337">
        <v>8</v>
      </c>
      <c r="B80" s="1337" t="s">
        <v>1208</v>
      </c>
      <c r="C80" s="1329" t="s">
        <v>1209</v>
      </c>
      <c r="D80" s="1339" t="s">
        <v>1084</v>
      </c>
      <c r="E80" s="1336"/>
    </row>
    <row r="81" spans="1:5">
      <c r="A81" s="1337"/>
      <c r="B81" s="1337"/>
      <c r="C81" s="1341" t="s">
        <v>1210</v>
      </c>
      <c r="D81" s="1339"/>
      <c r="E81" s="1336"/>
    </row>
    <row r="82" spans="1:5" ht="86.25" customHeight="1">
      <c r="A82" s="1337">
        <v>8</v>
      </c>
      <c r="B82" s="1337" t="s">
        <v>1211</v>
      </c>
      <c r="C82" s="1329" t="s">
        <v>1212</v>
      </c>
      <c r="D82" s="1339" t="s">
        <v>1084</v>
      </c>
      <c r="E82" s="1336"/>
    </row>
    <row r="83" spans="1:5">
      <c r="A83" s="1337"/>
      <c r="B83" s="1337"/>
      <c r="C83" s="1341" t="s">
        <v>1210</v>
      </c>
      <c r="D83" s="1339"/>
      <c r="E83" s="1336"/>
    </row>
    <row r="84" spans="1:5" ht="93" customHeight="1">
      <c r="A84" s="1337">
        <v>8</v>
      </c>
      <c r="B84" s="1337" t="s">
        <v>1184</v>
      </c>
      <c r="C84" s="1329" t="s">
        <v>1213</v>
      </c>
      <c r="D84" s="1339" t="s">
        <v>1084</v>
      </c>
      <c r="E84" s="1336"/>
    </row>
    <row r="85" spans="1:5" ht="64.5" customHeight="1">
      <c r="A85" s="1337">
        <v>8</v>
      </c>
      <c r="B85" s="1337" t="s">
        <v>1214</v>
      </c>
      <c r="C85" s="1329" t="s">
        <v>1215</v>
      </c>
      <c r="D85" s="1339" t="s">
        <v>1084</v>
      </c>
      <c r="E85" s="1336"/>
    </row>
    <row r="86" spans="1:5" ht="132" customHeight="1">
      <c r="A86" s="1337">
        <v>8</v>
      </c>
      <c r="B86" s="1337" t="s">
        <v>1097</v>
      </c>
      <c r="C86" s="1329" t="s">
        <v>1216</v>
      </c>
      <c r="D86" s="1339" t="s">
        <v>1084</v>
      </c>
      <c r="E86" s="1336"/>
    </row>
    <row r="87" spans="1:5">
      <c r="A87" s="1337"/>
      <c r="B87" s="1337"/>
      <c r="C87" s="1341" t="s">
        <v>1210</v>
      </c>
      <c r="D87" s="1339"/>
      <c r="E87" s="1336"/>
    </row>
    <row r="88" spans="1:5" ht="125.25" customHeight="1">
      <c r="A88" s="1337">
        <v>8</v>
      </c>
      <c r="B88" s="1337" t="s">
        <v>1127</v>
      </c>
      <c r="C88" s="1329" t="s">
        <v>1217</v>
      </c>
      <c r="D88" s="1338"/>
      <c r="E88" s="1336"/>
    </row>
    <row r="89" spans="1:5">
      <c r="A89" s="1337"/>
      <c r="B89" s="1337"/>
      <c r="C89" s="1341" t="s">
        <v>1210</v>
      </c>
      <c r="D89" s="1338"/>
      <c r="E89" s="1336"/>
    </row>
    <row r="90" spans="1:5" ht="81.75" customHeight="1">
      <c r="A90" s="1337">
        <v>8</v>
      </c>
      <c r="B90" s="1337" t="s">
        <v>1218</v>
      </c>
      <c r="C90" s="1329" t="s">
        <v>1219</v>
      </c>
      <c r="D90" s="1339" t="s">
        <v>1084</v>
      </c>
      <c r="E90" s="1336"/>
    </row>
    <row r="91" spans="1:5" ht="305.25" customHeight="1">
      <c r="A91" s="1337" t="s">
        <v>1220</v>
      </c>
      <c r="B91" s="1337" t="s">
        <v>1221</v>
      </c>
      <c r="C91" s="1329" t="s">
        <v>1222</v>
      </c>
      <c r="D91" s="1338"/>
      <c r="E91" s="1336"/>
    </row>
    <row r="92" spans="1:5" ht="152.25" customHeight="1">
      <c r="A92" s="1337" t="s">
        <v>1223</v>
      </c>
      <c r="B92" s="1337" t="s">
        <v>1224</v>
      </c>
      <c r="C92" s="1329" t="s">
        <v>1225</v>
      </c>
      <c r="D92" s="1338"/>
      <c r="E92" s="1336"/>
    </row>
    <row r="93" spans="1:5" ht="187.5" customHeight="1">
      <c r="A93" s="1337" t="s">
        <v>1223</v>
      </c>
      <c r="B93" s="1337" t="s">
        <v>1224</v>
      </c>
      <c r="C93" s="1329" t="s">
        <v>1226</v>
      </c>
      <c r="D93" s="1338"/>
      <c r="E93" s="1336"/>
    </row>
    <row r="94" spans="1:5" ht="183.75" customHeight="1">
      <c r="A94" s="1337" t="s">
        <v>1223</v>
      </c>
      <c r="B94" s="1337" t="s">
        <v>1224</v>
      </c>
      <c r="C94" s="1329" t="s">
        <v>1227</v>
      </c>
      <c r="D94" s="1338"/>
      <c r="E94" s="1336"/>
    </row>
    <row r="95" spans="1:5" ht="126" customHeight="1">
      <c r="A95" s="1337" t="s">
        <v>1223</v>
      </c>
      <c r="B95" s="1337" t="s">
        <v>1224</v>
      </c>
      <c r="C95" s="1329" t="s">
        <v>1228</v>
      </c>
      <c r="D95" s="1338"/>
      <c r="E95" s="1336"/>
    </row>
    <row r="96" spans="1:5" ht="82.5" customHeight="1">
      <c r="A96" s="1337" t="s">
        <v>1229</v>
      </c>
      <c r="B96" s="1337" t="s">
        <v>1230</v>
      </c>
      <c r="C96" s="1329" t="s">
        <v>1351</v>
      </c>
      <c r="D96" s="1338"/>
      <c r="E96" s="1336"/>
    </row>
    <row r="97" spans="1:6" ht="104.25" customHeight="1">
      <c r="A97" s="1337" t="s">
        <v>1231</v>
      </c>
      <c r="B97" s="1337" t="s">
        <v>1077</v>
      </c>
      <c r="C97" s="1329" t="s">
        <v>1232</v>
      </c>
      <c r="D97" s="1338"/>
      <c r="E97" s="1336"/>
    </row>
    <row r="98" spans="1:6" ht="262.5" customHeight="1">
      <c r="A98" s="1337" t="s">
        <v>1231</v>
      </c>
      <c r="B98" s="1337" t="s">
        <v>1233</v>
      </c>
      <c r="C98" s="1329" t="s">
        <v>1234</v>
      </c>
      <c r="D98" s="1338"/>
      <c r="E98" s="1336"/>
    </row>
    <row r="99" spans="1:6" ht="68.25" customHeight="1">
      <c r="A99" s="1337" t="s">
        <v>1231</v>
      </c>
      <c r="B99" s="1337" t="s">
        <v>1233</v>
      </c>
      <c r="C99" s="1329" t="s">
        <v>1235</v>
      </c>
      <c r="D99" s="1338"/>
      <c r="E99" s="1336"/>
    </row>
    <row r="100" spans="1:6" ht="105" customHeight="1">
      <c r="A100" s="1337" t="s">
        <v>1231</v>
      </c>
      <c r="B100" s="1337" t="s">
        <v>1159</v>
      </c>
      <c r="C100" s="1357" t="s">
        <v>1236</v>
      </c>
      <c r="D100" s="1338"/>
      <c r="E100" s="1336"/>
    </row>
    <row r="101" spans="1:6" ht="108.75" customHeight="1">
      <c r="A101" s="1328" t="s">
        <v>1231</v>
      </c>
      <c r="B101" s="1328" t="s">
        <v>1208</v>
      </c>
      <c r="C101" s="1329" t="s">
        <v>1237</v>
      </c>
      <c r="D101" s="1358"/>
      <c r="E101" s="1336"/>
    </row>
    <row r="102" spans="1:6" ht="54">
      <c r="A102" s="1337" t="s">
        <v>1231</v>
      </c>
      <c r="B102" s="1337" t="s">
        <v>1238</v>
      </c>
      <c r="C102" s="1336" t="s">
        <v>1239</v>
      </c>
      <c r="D102" s="1338"/>
      <c r="E102" s="1336"/>
    </row>
    <row r="103" spans="1:6" ht="84" customHeight="1">
      <c r="A103" s="1337" t="s">
        <v>1240</v>
      </c>
      <c r="B103" s="1337" t="s">
        <v>1077</v>
      </c>
      <c r="C103" s="1359" t="s">
        <v>1241</v>
      </c>
      <c r="D103" s="1338"/>
      <c r="E103" s="1336"/>
    </row>
    <row r="104" spans="1:6" ht="144.75" customHeight="1">
      <c r="A104" s="1337" t="s">
        <v>1240</v>
      </c>
      <c r="B104" s="1337" t="s">
        <v>1077</v>
      </c>
      <c r="C104" s="1359" t="s">
        <v>1242</v>
      </c>
      <c r="D104" s="1338"/>
      <c r="E104" s="1336"/>
    </row>
    <row r="105" spans="1:6" ht="110.25" customHeight="1">
      <c r="A105" s="1336" t="s">
        <v>1240</v>
      </c>
      <c r="B105" s="1337" t="s">
        <v>1243</v>
      </c>
      <c r="C105" s="1360" t="s">
        <v>1244</v>
      </c>
      <c r="D105" s="1361"/>
      <c r="E105" s="1336"/>
      <c r="F105" s="1349"/>
    </row>
    <row r="106" spans="1:6" ht="323.25" customHeight="1">
      <c r="A106" s="1336" t="s">
        <v>1240</v>
      </c>
      <c r="B106" s="1337" t="s">
        <v>1245</v>
      </c>
      <c r="C106" s="1360" t="s">
        <v>1246</v>
      </c>
      <c r="D106" s="1362" t="s">
        <v>1084</v>
      </c>
      <c r="E106" s="1336"/>
    </row>
    <row r="107" spans="1:6" ht="378.9" customHeight="1">
      <c r="A107" s="1336" t="s">
        <v>1240</v>
      </c>
      <c r="B107" s="1337" t="s">
        <v>1247</v>
      </c>
      <c r="C107" s="1363" t="s">
        <v>1352</v>
      </c>
      <c r="D107" s="1362" t="s">
        <v>1084</v>
      </c>
      <c r="E107" s="1364" t="s">
        <v>1248</v>
      </c>
    </row>
    <row r="108" spans="1:6" ht="291" customHeight="1">
      <c r="A108" s="1336" t="s">
        <v>1240</v>
      </c>
      <c r="B108" s="1337" t="s">
        <v>1249</v>
      </c>
      <c r="C108" s="1360" t="s">
        <v>1250</v>
      </c>
      <c r="D108" s="1362" t="s">
        <v>1084</v>
      </c>
      <c r="E108" s="1336"/>
    </row>
    <row r="109" spans="1:6" ht="408" customHeight="1">
      <c r="A109" s="1327" t="s">
        <v>1240</v>
      </c>
      <c r="B109" s="1328" t="s">
        <v>1251</v>
      </c>
      <c r="C109" s="1360" t="s">
        <v>1252</v>
      </c>
      <c r="D109" s="1330"/>
      <c r="E109" s="1336"/>
    </row>
    <row r="110" spans="1:6" ht="22.5" customHeight="1">
      <c r="A110" s="1327"/>
      <c r="B110" s="1328"/>
      <c r="C110" s="1365" t="s">
        <v>1105</v>
      </c>
      <c r="D110" s="1330"/>
      <c r="E110" s="1336"/>
    </row>
    <row r="111" spans="1:6" ht="59.25" customHeight="1">
      <c r="A111" s="1336" t="s">
        <v>1240</v>
      </c>
      <c r="B111" s="1337" t="s">
        <v>1253</v>
      </c>
      <c r="C111" s="1366" t="s">
        <v>1254</v>
      </c>
      <c r="D111" s="1330"/>
      <c r="E111" s="1336"/>
    </row>
    <row r="112" spans="1:6" ht="59.25" customHeight="1">
      <c r="A112" s="1336" t="s">
        <v>1240</v>
      </c>
      <c r="B112" s="1337" t="s">
        <v>1255</v>
      </c>
      <c r="C112" s="1366" t="s">
        <v>1256</v>
      </c>
      <c r="D112" s="1330"/>
      <c r="E112" s="1336"/>
    </row>
    <row r="113" spans="1:5" ht="60.75" customHeight="1">
      <c r="A113" s="1336" t="s">
        <v>1240</v>
      </c>
      <c r="B113" s="1337" t="s">
        <v>1257</v>
      </c>
      <c r="C113" s="1360" t="s">
        <v>1258</v>
      </c>
      <c r="D113" s="1338"/>
      <c r="E113" s="1336"/>
    </row>
    <row r="114" spans="1:5" ht="63.75" customHeight="1">
      <c r="A114" s="1336" t="s">
        <v>1240</v>
      </c>
      <c r="B114" s="1337" t="s">
        <v>1259</v>
      </c>
      <c r="C114" s="1360" t="s">
        <v>1260</v>
      </c>
      <c r="D114" s="1338"/>
      <c r="E114" s="1336"/>
    </row>
    <row r="115" spans="1:5" ht="58.5" customHeight="1">
      <c r="A115" s="1336" t="s">
        <v>1240</v>
      </c>
      <c r="B115" s="1337" t="s">
        <v>1261</v>
      </c>
      <c r="C115" s="1360" t="s">
        <v>1262</v>
      </c>
      <c r="D115" s="1338"/>
      <c r="E115" s="1336"/>
    </row>
    <row r="116" spans="1:5" ht="63" customHeight="1">
      <c r="A116" s="1336" t="s">
        <v>1240</v>
      </c>
      <c r="B116" s="1337" t="s">
        <v>1263</v>
      </c>
      <c r="C116" s="1360" t="s">
        <v>1264</v>
      </c>
      <c r="D116" s="1338"/>
      <c r="E116" s="1336"/>
    </row>
    <row r="117" spans="1:5" ht="61.5" customHeight="1">
      <c r="A117" s="1336" t="s">
        <v>1240</v>
      </c>
      <c r="B117" s="1337" t="s">
        <v>1265</v>
      </c>
      <c r="C117" s="1360" t="s">
        <v>1266</v>
      </c>
      <c r="D117" s="1338"/>
      <c r="E117" s="1336"/>
    </row>
    <row r="118" spans="1:5" ht="59.25" customHeight="1">
      <c r="A118" s="1336" t="s">
        <v>1240</v>
      </c>
      <c r="B118" s="1337" t="s">
        <v>1267</v>
      </c>
      <c r="C118" s="1360" t="s">
        <v>1268</v>
      </c>
      <c r="D118" s="1338"/>
      <c r="E118" s="1336"/>
    </row>
    <row r="119" spans="1:5" ht="63" customHeight="1">
      <c r="A119" s="1336" t="s">
        <v>1240</v>
      </c>
      <c r="B119" s="1337" t="s">
        <v>1269</v>
      </c>
      <c r="C119" s="1360" t="s">
        <v>1270</v>
      </c>
      <c r="D119" s="1338"/>
      <c r="E119" s="1336"/>
    </row>
    <row r="120" spans="1:5" ht="58.5" customHeight="1">
      <c r="A120" s="1336" t="s">
        <v>1240</v>
      </c>
      <c r="B120" s="1337" t="s">
        <v>1271</v>
      </c>
      <c r="C120" s="1360" t="s">
        <v>1272</v>
      </c>
      <c r="D120" s="1338"/>
      <c r="E120" s="1336"/>
    </row>
    <row r="121" spans="1:5" ht="59.25" customHeight="1">
      <c r="A121" s="1336" t="s">
        <v>1240</v>
      </c>
      <c r="B121" s="1337" t="s">
        <v>1273</v>
      </c>
      <c r="C121" s="1360" t="s">
        <v>1274</v>
      </c>
      <c r="D121" s="1338"/>
      <c r="E121" s="1336"/>
    </row>
    <row r="122" spans="1:5" ht="63.75" customHeight="1">
      <c r="A122" s="1336" t="s">
        <v>1240</v>
      </c>
      <c r="B122" s="1337" t="s">
        <v>1275</v>
      </c>
      <c r="C122" s="1360" t="s">
        <v>1276</v>
      </c>
      <c r="D122" s="1338"/>
      <c r="E122" s="1336"/>
    </row>
    <row r="123" spans="1:5" ht="83.25" customHeight="1">
      <c r="A123" s="1336" t="s">
        <v>1240</v>
      </c>
      <c r="B123" s="1337" t="s">
        <v>1277</v>
      </c>
      <c r="C123" s="1360" t="s">
        <v>1278</v>
      </c>
      <c r="D123" s="1338"/>
      <c r="E123" s="1343"/>
    </row>
    <row r="124" spans="1:5" ht="27" customHeight="1">
      <c r="A124" s="1336"/>
      <c r="B124" s="1337"/>
      <c r="C124" s="1367" t="s">
        <v>1279</v>
      </c>
      <c r="D124" s="1338"/>
      <c r="E124" s="1343"/>
    </row>
    <row r="125" spans="1:5" ht="104.25" customHeight="1">
      <c r="A125" s="1336" t="s">
        <v>1240</v>
      </c>
      <c r="B125" s="1337" t="s">
        <v>1280</v>
      </c>
      <c r="C125" s="1360" t="s">
        <v>1281</v>
      </c>
      <c r="D125" s="1338"/>
      <c r="E125" s="1336"/>
    </row>
    <row r="126" spans="1:5" ht="103.5" customHeight="1">
      <c r="A126" s="1336" t="s">
        <v>1240</v>
      </c>
      <c r="B126" s="1337" t="s">
        <v>1282</v>
      </c>
      <c r="C126" s="1360" t="s">
        <v>1283</v>
      </c>
      <c r="D126" s="1338"/>
      <c r="E126" s="1336"/>
    </row>
    <row r="127" spans="1:5" ht="161.25" customHeight="1">
      <c r="A127" s="1336" t="s">
        <v>1240</v>
      </c>
      <c r="B127" s="1337" t="s">
        <v>1284</v>
      </c>
      <c r="C127" s="1336" t="s">
        <v>1285</v>
      </c>
      <c r="D127" s="1338"/>
      <c r="E127" s="1336"/>
    </row>
    <row r="128" spans="1:5" ht="18.75" customHeight="1">
      <c r="A128" s="1336"/>
      <c r="B128" s="1337"/>
      <c r="C128" s="1368" t="s">
        <v>1286</v>
      </c>
      <c r="D128" s="1338"/>
      <c r="E128" s="1336"/>
    </row>
    <row r="129" spans="1:5" ht="66.75" customHeight="1">
      <c r="A129" s="1336" t="s">
        <v>1240</v>
      </c>
      <c r="B129" s="1337" t="s">
        <v>1287</v>
      </c>
      <c r="C129" s="1336" t="s">
        <v>1288</v>
      </c>
      <c r="D129" s="1338"/>
      <c r="E129" s="1336"/>
    </row>
    <row r="130" spans="1:5" ht="61.5" customHeight="1">
      <c r="A130" s="1336" t="s">
        <v>1240</v>
      </c>
      <c r="B130" s="1337" t="s">
        <v>1289</v>
      </c>
      <c r="C130" s="1336" t="s">
        <v>1290</v>
      </c>
      <c r="D130" s="1338"/>
      <c r="E130" s="1336"/>
    </row>
    <row r="131" spans="1:5">
      <c r="A131" s="1336"/>
      <c r="B131" s="1337"/>
      <c r="C131" s="1369" t="s">
        <v>1291</v>
      </c>
      <c r="D131" s="1338"/>
      <c r="E131" s="1336"/>
    </row>
    <row r="132" spans="1:5" ht="151.5" customHeight="1">
      <c r="A132" s="1336" t="s">
        <v>1240</v>
      </c>
      <c r="B132" s="1337" t="s">
        <v>1292</v>
      </c>
      <c r="C132" s="1370" t="s">
        <v>1293</v>
      </c>
      <c r="D132" s="1338"/>
      <c r="E132" s="1336"/>
    </row>
    <row r="133" spans="1:5" ht="130.5" customHeight="1">
      <c r="A133" s="1336" t="s">
        <v>1240</v>
      </c>
      <c r="B133" s="1337" t="s">
        <v>1294</v>
      </c>
      <c r="C133" s="1336" t="s">
        <v>1295</v>
      </c>
      <c r="D133" s="1338"/>
      <c r="E133" s="1336"/>
    </row>
    <row r="134" spans="1:5" ht="151.5" customHeight="1">
      <c r="A134" s="1336" t="s">
        <v>1240</v>
      </c>
      <c r="B134" s="1337" t="s">
        <v>1296</v>
      </c>
      <c r="C134" s="1336" t="s">
        <v>1297</v>
      </c>
      <c r="D134" s="1338"/>
      <c r="E134" s="1336"/>
    </row>
    <row r="135" spans="1:5" ht="86.25" customHeight="1">
      <c r="A135" s="1336" t="s">
        <v>1240</v>
      </c>
      <c r="B135" s="1337" t="s">
        <v>1298</v>
      </c>
      <c r="C135" s="1336" t="s">
        <v>1299</v>
      </c>
      <c r="D135" s="1338"/>
      <c r="E135" s="1336"/>
    </row>
    <row r="136" spans="1:5" ht="47.25" customHeight="1">
      <c r="A136" s="1336" t="s">
        <v>1240</v>
      </c>
      <c r="B136" s="1337" t="s">
        <v>1300</v>
      </c>
      <c r="C136" s="1336" t="s">
        <v>1301</v>
      </c>
      <c r="D136" s="1338"/>
      <c r="E136" s="1336"/>
    </row>
    <row r="137" spans="1:5" ht="275.25" customHeight="1">
      <c r="A137" s="1336" t="s">
        <v>1240</v>
      </c>
      <c r="B137" s="1337" t="s">
        <v>1302</v>
      </c>
      <c r="C137" s="1336" t="s">
        <v>1303</v>
      </c>
      <c r="D137" s="1338"/>
      <c r="E137" s="1336"/>
    </row>
    <row r="138" spans="1:5" ht="117" customHeight="1">
      <c r="A138" s="1336" t="s">
        <v>1240</v>
      </c>
      <c r="B138" s="1337" t="s">
        <v>1304</v>
      </c>
      <c r="C138" s="1360" t="s">
        <v>1305</v>
      </c>
      <c r="D138" s="1362" t="s">
        <v>1084</v>
      </c>
      <c r="E138" s="1336"/>
    </row>
    <row r="139" spans="1:5" ht="189" customHeight="1">
      <c r="A139" s="1336" t="s">
        <v>1240</v>
      </c>
      <c r="B139" s="1337" t="s">
        <v>1306</v>
      </c>
      <c r="C139" s="1336" t="s">
        <v>1307</v>
      </c>
      <c r="D139" s="1362" t="s">
        <v>1084</v>
      </c>
      <c r="E139" s="1343"/>
    </row>
    <row r="140" spans="1:5" ht="62.25" customHeight="1">
      <c r="A140" s="1336" t="s">
        <v>1240</v>
      </c>
      <c r="B140" s="1337" t="s">
        <v>1308</v>
      </c>
      <c r="C140" s="1336" t="s">
        <v>1309</v>
      </c>
      <c r="D140" s="1338"/>
      <c r="E140" s="1336"/>
    </row>
    <row r="141" spans="1:5" ht="54">
      <c r="A141" s="1336" t="s">
        <v>1240</v>
      </c>
      <c r="B141" s="1337" t="s">
        <v>1310</v>
      </c>
      <c r="C141" s="1336" t="s">
        <v>1311</v>
      </c>
      <c r="D141" s="1338"/>
      <c r="E141" s="1336"/>
    </row>
    <row r="142" spans="1:5" ht="81" customHeight="1">
      <c r="A142" s="1336" t="s">
        <v>1240</v>
      </c>
      <c r="B142" s="1337" t="s">
        <v>1312</v>
      </c>
      <c r="C142" s="1336" t="s">
        <v>1313</v>
      </c>
      <c r="D142" s="1339" t="s">
        <v>1084</v>
      </c>
      <c r="E142" s="1336"/>
    </row>
    <row r="143" spans="1:5" ht="136.5" customHeight="1">
      <c r="A143" s="1336" t="s">
        <v>1240</v>
      </c>
      <c r="B143" s="1337" t="s">
        <v>1314</v>
      </c>
      <c r="C143" s="1336" t="s">
        <v>1315</v>
      </c>
      <c r="D143" s="1339" t="s">
        <v>1084</v>
      </c>
      <c r="E143" s="1336"/>
    </row>
    <row r="144" spans="1:5" ht="138" customHeight="1">
      <c r="A144" s="1336" t="s">
        <v>1240</v>
      </c>
      <c r="B144" s="1337" t="s">
        <v>1316</v>
      </c>
      <c r="C144" s="1336" t="s">
        <v>1317</v>
      </c>
      <c r="D144" s="1338"/>
      <c r="E144" s="1336"/>
    </row>
    <row r="145" spans="1:5" ht="144.75" customHeight="1">
      <c r="A145" s="1336" t="s">
        <v>1240</v>
      </c>
      <c r="B145" s="1337" t="s">
        <v>1318</v>
      </c>
      <c r="C145" s="1336" t="s">
        <v>1319</v>
      </c>
      <c r="D145" s="1338"/>
      <c r="E145" s="1336"/>
    </row>
    <row r="146" spans="1:5" ht="122.25" customHeight="1">
      <c r="A146" s="1336" t="s">
        <v>1240</v>
      </c>
      <c r="B146" s="1337" t="s">
        <v>1320</v>
      </c>
      <c r="C146" s="1336" t="s">
        <v>1321</v>
      </c>
      <c r="D146" s="1338"/>
      <c r="E146" s="1336"/>
    </row>
    <row r="147" spans="1:5" ht="66.75" customHeight="1">
      <c r="A147" s="1336" t="s">
        <v>1240</v>
      </c>
      <c r="B147" s="1337" t="s">
        <v>1322</v>
      </c>
      <c r="C147" s="1336" t="s">
        <v>1323</v>
      </c>
      <c r="D147" s="1338"/>
      <c r="E147" s="1336"/>
    </row>
    <row r="148" spans="1:5" ht="176.25" customHeight="1">
      <c r="A148" s="1336" t="s">
        <v>1240</v>
      </c>
      <c r="B148" s="1337" t="s">
        <v>1324</v>
      </c>
      <c r="C148" s="1336" t="s">
        <v>1325</v>
      </c>
      <c r="D148" s="1338"/>
      <c r="E148" s="1336"/>
    </row>
    <row r="149" spans="1:5" ht="85.5" customHeight="1">
      <c r="A149" s="1336" t="s">
        <v>1240</v>
      </c>
      <c r="B149" s="1337" t="s">
        <v>1326</v>
      </c>
      <c r="C149" s="1336" t="s">
        <v>1327</v>
      </c>
      <c r="D149" s="1338"/>
      <c r="E149" s="1336"/>
    </row>
    <row r="150" spans="1:5">
      <c r="A150" s="1336"/>
      <c r="B150" s="1337"/>
      <c r="C150" s="1371" t="s">
        <v>1210</v>
      </c>
      <c r="D150" s="1338"/>
      <c r="E150" s="1336"/>
    </row>
    <row r="151" spans="1:5" ht="100.5" customHeight="1">
      <c r="A151" s="1336" t="s">
        <v>1240</v>
      </c>
      <c r="B151" s="1337" t="s">
        <v>1328</v>
      </c>
      <c r="C151" s="1336" t="s">
        <v>1329</v>
      </c>
      <c r="D151" s="1338"/>
      <c r="E151" s="1336"/>
    </row>
    <row r="152" spans="1:5" ht="170.25" customHeight="1">
      <c r="A152" s="1336" t="s">
        <v>1240</v>
      </c>
      <c r="B152" s="1337" t="s">
        <v>1330</v>
      </c>
      <c r="C152" s="1336" t="s">
        <v>1331</v>
      </c>
      <c r="D152" s="1338"/>
      <c r="E152" s="1336"/>
    </row>
    <row r="153" spans="1:5" ht="163.5" customHeight="1">
      <c r="A153" s="1336" t="s">
        <v>1332</v>
      </c>
      <c r="B153" s="1337" t="s">
        <v>1077</v>
      </c>
      <c r="C153" s="1336" t="s">
        <v>1333</v>
      </c>
      <c r="D153" s="1338"/>
      <c r="E153" s="1336"/>
    </row>
    <row r="154" spans="1:5" ht="103.5" customHeight="1">
      <c r="A154" s="1336" t="s">
        <v>1334</v>
      </c>
      <c r="B154" s="1337" t="s">
        <v>1077</v>
      </c>
      <c r="C154" s="1336" t="s">
        <v>1335</v>
      </c>
      <c r="D154" s="1336"/>
      <c r="E154" s="1336"/>
    </row>
    <row r="155" spans="1:5" ht="42.75" customHeight="1">
      <c r="A155" s="1336" t="s">
        <v>1334</v>
      </c>
      <c r="B155" s="1337" t="s">
        <v>1336</v>
      </c>
      <c r="C155" s="1336" t="s">
        <v>1337</v>
      </c>
      <c r="D155" s="1338"/>
      <c r="E155" s="1336"/>
    </row>
    <row r="156" spans="1:5" ht="245.25" customHeight="1">
      <c r="A156" s="1336" t="s">
        <v>1334</v>
      </c>
      <c r="B156" s="1337" t="s">
        <v>1338</v>
      </c>
      <c r="C156" s="1336" t="s">
        <v>1339</v>
      </c>
      <c r="D156" s="1338"/>
      <c r="E156" s="1336"/>
    </row>
  </sheetData>
  <sheetProtection sheet="1" formatCells="0" formatColumns="0" formatRows="0" autoFilter="0"/>
  <autoFilter ref="D1:E156"/>
  <mergeCells count="8">
    <mergeCell ref="E11:E12"/>
    <mergeCell ref="E16:E17"/>
    <mergeCell ref="A11:A12"/>
    <mergeCell ref="B11:B12"/>
    <mergeCell ref="D11:D12"/>
    <mergeCell ref="A16:A17"/>
    <mergeCell ref="B16:B17"/>
    <mergeCell ref="D16:D17"/>
  </mergeCells>
  <hyperlinks>
    <hyperlink ref="C12" r:id="rId1" display="mailto:SFPaymentTeam@azed.gov"/>
    <hyperlink ref="C17" r:id="rId2"/>
    <hyperlink ref="C62" r:id="rId3"/>
    <hyperlink ref="C131" r:id="rId4" display="http://www.ade.az.gov/sder/publicreports.asp"/>
    <hyperlink ref="C128" r:id="rId5" display="mailto:SFAnalystTeam@azed.gov"/>
    <hyperlink ref="C29" r:id="rId6"/>
    <hyperlink ref="C64" r:id="rId7"/>
    <hyperlink ref="C110" r:id="rId8"/>
    <hyperlink ref="C3" location="DataEntryGeneral" display="Data Entry instructions"/>
    <hyperlink ref="C78" r:id="rId9"/>
    <hyperlink ref="C59" r:id="rId10" display="mailto:SFBudgetTeam@azed.gov"/>
    <hyperlink ref="C73" r:id="rId11" display="mailto:SFPaymentTeam@azed.gov"/>
    <hyperlink ref="C81" r:id="rId12" display="mailto:SFBudgetTeam@azed.gov"/>
    <hyperlink ref="C83" r:id="rId13" display="mailto:SFBudgetTeam@azed.gov"/>
    <hyperlink ref="C87" r:id="rId14" display="mailto:SFBudgetTeam@azed.gov"/>
    <hyperlink ref="C89" r:id="rId15" display="mailto:SFBudgetTeam@azed.gov"/>
    <hyperlink ref="C150" r:id="rId16" display="mailto:SFBudgetTeam@azed.gov"/>
    <hyperlink ref="C52" r:id="rId17"/>
    <hyperlink ref="C124" r:id="rId18"/>
    <hyperlink ref="C77" r:id="rId19"/>
  </hyperlinks>
  <pageMargins left="1" right="1" top="1" bottom="1" header="0.5" footer="0.5"/>
  <pageSetup scale="56" fitToHeight="0" orientation="portrait" r:id="rId20"/>
  <headerFooter>
    <oddFooter>&amp;L&amp;"Times New Roman,Bold"Rev. 5/23 Arizona Department of Education and Auditor General&amp;R&amp;"Times New Roman,Bold"Page &amp;P of &amp;N</oddFooter>
  </headerFooter>
  <rowBreaks count="1" manualBreakCount="1">
    <brk id="10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0" ma:contentTypeDescription="Create a new document." ma:contentTypeScope="" ma:versionID="0071ca5f4b6ee98f77bc82b2910829c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c062b0eec728b62cb4e942213e7d5b77"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35DFC1-F1A2-47B8-9050-73DF39795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B4F38B-0799-4886-B61C-8DBB46B47F73}">
  <ds:schemaRefs>
    <ds:schemaRef ds:uri="http://purl.org/dc/elements/1.1/"/>
    <ds:schemaRef ds:uri="http://purl.org/dc/dcmitype/"/>
    <ds:schemaRef ds:uri="http://www.w3.org/XML/1998/namespace"/>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ffcdc2e4-c8f2-4bf7-ab1d-ea300bde3fd8"/>
    <ds:schemaRef ds:uri="30e8ffde-18ad-4221-a68d-976eb256fe4f"/>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1009</vt:i4>
      </vt:variant>
    </vt:vector>
  </HeadingPairs>
  <TitlesOfParts>
    <vt:vector size="1027"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DataEntryOtherInfol5</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EstimatedFTECertified</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Page2n2</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Administrator</cp:lastModifiedBy>
  <cp:lastPrinted>2023-06-07T21:14:41Z</cp:lastPrinted>
  <dcterms:created xsi:type="dcterms:W3CDTF">1998-03-25T04:01:19Z</dcterms:created>
  <dcterms:modified xsi:type="dcterms:W3CDTF">2023-06-07T21:14:58Z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2024</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a4be9413-b463-4d3e-96d7-b7cfa0572427</vt:lpwstr>
  </property>
  <property fmtid="{D5CDD505-2E9C-101B-9397-08002B2CF9AE}" pid="7" name="ContentTypeId">
    <vt:lpwstr>0x010100740A7E3807644E4DA70E0D6B717B683A</vt:lpwstr>
  </property>
  <property fmtid="{D5CDD505-2E9C-101B-9397-08002B2CF9AE}" pid="8" name="MediaServiceImageTags">
    <vt:lpwstr/>
  </property>
</Properties>
</file>